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21.xml" ContentType="application/vnd.openxmlformats-officedocument.drawingml.chart+xml"/>
  <Override PartName="/xl/drawings/drawing16.xml" ContentType="application/vnd.openxmlformats-officedocument.drawing+xml"/>
  <Override PartName="/xl/charts/chart22.xml" ContentType="application/vnd.openxmlformats-officedocument.drawingml.chart+xml"/>
  <Override PartName="/xl/drawings/drawing17.xml" ContentType="application/vnd.openxmlformats-officedocument.drawing+xml"/>
  <Override PartName="/xl/charts/chart23.xml" ContentType="application/vnd.openxmlformats-officedocument.drawingml.chart+xml"/>
  <Override PartName="/xl/drawings/drawing18.xml" ContentType="application/vnd.openxmlformats-officedocument.drawing+xml"/>
  <Override PartName="/xl/charts/chart24.xml" ContentType="application/vnd.openxmlformats-officedocument.drawingml.chart+xml"/>
  <Override PartName="/xl/drawings/drawing19.xml" ContentType="application/vnd.openxmlformats-officedocument.drawing+xml"/>
  <Override PartName="/xl/charts/chart2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bmirus\Documents\Manuscripts\2.Submitted\Smith_etal_PuertoRico_OFR-DR\prDataRelease\IPDS\"/>
    </mc:Choice>
  </mc:AlternateContent>
  <xr:revisionPtr revIDLastSave="0" documentId="13_ncr:1_{BB0C6CA7-03E9-4582-9A37-2B5831184016}" xr6:coauthVersionLast="44" xr6:coauthVersionMax="44" xr10:uidLastSave="{00000000-0000-0000-0000-000000000000}"/>
  <bookViews>
    <workbookView xWindow="-28920" yWindow="-105" windowWidth="29040" windowHeight="15840" tabRatio="698" xr2:uid="{00000000-000D-0000-FFFF-FFFF00000000}"/>
  </bookViews>
  <sheets>
    <sheet name="Summary" sheetId="3" r:id="rId1"/>
    <sheet name="Atterberg" sheetId="9" r:id="rId2"/>
    <sheet name="PSD UTU z=0.0" sheetId="10" r:id="rId3"/>
    <sheet name="PSD UTU z=0.35" sheetId="15" r:id="rId4"/>
    <sheet name="PSD UTU z=0.7" sheetId="16" r:id="rId5"/>
    <sheet name="PSD ELT z=0.15" sheetId="17" r:id="rId6"/>
    <sheet name="PSD ELT z=0.42 " sheetId="18" r:id="rId7"/>
    <sheet name="PSD ELT z=0.82" sheetId="19" r:id="rId8"/>
    <sheet name="sat_density" sheetId="29" r:id="rId9"/>
    <sheet name="Direct_shear_ELT&amp;UTU" sheetId="27" r:id="rId10"/>
    <sheet name="Falling_head" sheetId="28" r:id="rId11"/>
    <sheet name="TRIM" sheetId="4" r:id="rId12"/>
    <sheet name="SWR_UTU07" sheetId="6" r:id="rId13"/>
    <sheet name="SWR_UTU035" sheetId="14" r:id="rId14"/>
    <sheet name="SWR_UTU0" sheetId="20" r:id="rId15"/>
    <sheet name="SWR_ELTz015" sheetId="24" r:id="rId16"/>
    <sheet name="SWR_ELTz042" sheetId="22" r:id="rId17"/>
  </sheets>
  <externalReferences>
    <externalReference r:id="rId18"/>
    <externalReference r:id="rId19"/>
    <externalReference r:id="rId2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9" i="19" l="1"/>
  <c r="B5" i="3" l="1"/>
  <c r="B4" i="3"/>
  <c r="H7" i="3" l="1"/>
  <c r="B59" i="29"/>
  <c r="B58" i="29"/>
  <c r="B53" i="29" s="1"/>
  <c r="B56" i="29"/>
  <c r="B55" i="29"/>
  <c r="B44" i="29"/>
  <c r="B43" i="29" s="1"/>
  <c r="B48" i="29" s="1"/>
  <c r="D69" i="4"/>
  <c r="B39" i="29"/>
  <c r="B33" i="29"/>
  <c r="B40" i="29" s="1"/>
  <c r="H6" i="3" s="1"/>
  <c r="B32" i="29"/>
  <c r="B25" i="29"/>
  <c r="B23" i="29"/>
  <c r="B22" i="29"/>
  <c r="B21" i="29" s="1"/>
  <c r="B26" i="29" s="1"/>
  <c r="H4" i="3" s="1"/>
  <c r="B19" i="29"/>
  <c r="B13" i="29"/>
  <c r="B7" i="29"/>
  <c r="B14" i="29" s="1"/>
  <c r="H3" i="3" s="1"/>
  <c r="B6" i="29"/>
  <c r="B60" i="29" l="1"/>
  <c r="H8" i="3" s="1"/>
  <c r="B34" i="29"/>
  <c r="G113" i="27"/>
  <c r="D25" i="27"/>
  <c r="D8" i="27"/>
  <c r="D7" i="27"/>
  <c r="G6" i="27"/>
  <c r="D6" i="27"/>
  <c r="G10" i="27"/>
  <c r="C24" i="27"/>
  <c r="C23" i="27"/>
  <c r="C22" i="27"/>
  <c r="D126" i="27"/>
  <c r="C21" i="27"/>
  <c r="D125" i="27"/>
  <c r="C20" i="27"/>
  <c r="D124" i="27"/>
  <c r="C19" i="27"/>
  <c r="G123" i="27"/>
  <c r="D123" i="27"/>
  <c r="C18" i="27"/>
  <c r="D122" i="27"/>
  <c r="C17" i="27"/>
  <c r="D121" i="27"/>
  <c r="D13" i="27"/>
  <c r="D12" i="27"/>
  <c r="D113" i="27"/>
  <c r="D11" i="27"/>
  <c r="D10" i="27"/>
  <c r="D110" i="27"/>
  <c r="D27" i="27"/>
  <c r="D109" i="27"/>
  <c r="D26" i="27"/>
  <c r="G108" i="27"/>
  <c r="D108" i="27"/>
  <c r="G25" i="27"/>
  <c r="B25" i="27"/>
  <c r="E103" i="27"/>
  <c r="E1" i="27"/>
  <c r="I7" i="3" l="1"/>
  <c r="Q52" i="18" l="1"/>
  <c r="S7" i="3" l="1"/>
  <c r="R7" i="3"/>
  <c r="Q7" i="3"/>
  <c r="P7" i="3"/>
  <c r="O7" i="3"/>
  <c r="N7" i="3"/>
  <c r="M7" i="3"/>
  <c r="L7" i="3"/>
  <c r="K7" i="3"/>
  <c r="J7" i="3"/>
  <c r="F154" i="24"/>
  <c r="B154" i="24"/>
  <c r="F153" i="24"/>
  <c r="B153" i="24"/>
  <c r="F152" i="24"/>
  <c r="B152" i="24"/>
  <c r="F151" i="24"/>
  <c r="B151" i="24"/>
  <c r="F150" i="24"/>
  <c r="B150" i="24"/>
  <c r="F149" i="24"/>
  <c r="B149" i="24"/>
  <c r="F148" i="24"/>
  <c r="B148" i="24"/>
  <c r="N147" i="24"/>
  <c r="J147" i="24"/>
  <c r="F147" i="24"/>
  <c r="B147" i="24"/>
  <c r="N146" i="24"/>
  <c r="J146" i="24"/>
  <c r="F146" i="24"/>
  <c r="B146" i="24"/>
  <c r="N145" i="24"/>
  <c r="J145" i="24"/>
  <c r="F145" i="24"/>
  <c r="B145" i="24"/>
  <c r="N144" i="24"/>
  <c r="J144" i="24"/>
  <c r="F144" i="24"/>
  <c r="B144" i="24"/>
  <c r="N143" i="24"/>
  <c r="J143" i="24"/>
  <c r="F143" i="24"/>
  <c r="B143" i="24"/>
  <c r="N142" i="24"/>
  <c r="J142" i="24"/>
  <c r="F142" i="24"/>
  <c r="B142" i="24"/>
  <c r="N141" i="24"/>
  <c r="J141" i="24"/>
  <c r="F141" i="24"/>
  <c r="B141" i="24"/>
  <c r="N140" i="24"/>
  <c r="J140" i="24"/>
  <c r="F140" i="24"/>
  <c r="B140" i="24"/>
  <c r="N139" i="24"/>
  <c r="J139" i="24"/>
  <c r="F139" i="24"/>
  <c r="B139" i="24"/>
  <c r="N138" i="24"/>
  <c r="J138" i="24"/>
  <c r="F138" i="24"/>
  <c r="B138" i="24"/>
  <c r="N137" i="24"/>
  <c r="J137" i="24"/>
  <c r="F137" i="24"/>
  <c r="B137" i="24"/>
  <c r="N136" i="24"/>
  <c r="J136" i="24"/>
  <c r="F136" i="24"/>
  <c r="B136" i="24"/>
  <c r="N135" i="24"/>
  <c r="J135" i="24"/>
  <c r="F135" i="24"/>
  <c r="B135" i="24"/>
  <c r="N134" i="24"/>
  <c r="J134" i="24"/>
  <c r="F134" i="24"/>
  <c r="B134" i="24"/>
  <c r="N133" i="24"/>
  <c r="J133" i="24"/>
  <c r="F133" i="24"/>
  <c r="B133" i="24"/>
  <c r="N132" i="24"/>
  <c r="J132" i="24"/>
  <c r="F132" i="24"/>
  <c r="B132" i="24"/>
  <c r="N131" i="24"/>
  <c r="J131" i="24"/>
  <c r="F131" i="24"/>
  <c r="B131" i="24"/>
  <c r="N130" i="24"/>
  <c r="J130" i="24"/>
  <c r="F130" i="24"/>
  <c r="B130" i="24"/>
  <c r="N129" i="24"/>
  <c r="J129" i="24"/>
  <c r="F129" i="24"/>
  <c r="B129" i="24"/>
  <c r="N128" i="24"/>
  <c r="J128" i="24"/>
  <c r="F128" i="24"/>
  <c r="B128" i="24"/>
  <c r="N127" i="24"/>
  <c r="J127" i="24"/>
  <c r="F127" i="24"/>
  <c r="B127" i="24"/>
  <c r="N126" i="24"/>
  <c r="J126" i="24"/>
  <c r="F126" i="24"/>
  <c r="B126" i="24"/>
  <c r="N125" i="24"/>
  <c r="J125" i="24"/>
  <c r="F125" i="24"/>
  <c r="B125" i="24"/>
  <c r="N124" i="24"/>
  <c r="J124" i="24"/>
  <c r="F124" i="24"/>
  <c r="B124" i="24"/>
  <c r="N123" i="24"/>
  <c r="J123" i="24"/>
  <c r="F123" i="24"/>
  <c r="B123" i="24"/>
  <c r="N122" i="24"/>
  <c r="J122" i="24"/>
  <c r="F122" i="24"/>
  <c r="B122" i="24"/>
  <c r="N121" i="24"/>
  <c r="J121" i="24"/>
  <c r="F121" i="24"/>
  <c r="B121" i="24"/>
  <c r="N120" i="24"/>
  <c r="J120" i="24"/>
  <c r="F120" i="24"/>
  <c r="B120" i="24"/>
  <c r="N119" i="24"/>
  <c r="J119" i="24"/>
  <c r="F119" i="24"/>
  <c r="B119" i="24"/>
  <c r="N118" i="24"/>
  <c r="J118" i="24"/>
  <c r="F118" i="24"/>
  <c r="B118" i="24"/>
  <c r="N117" i="24"/>
  <c r="J117" i="24"/>
  <c r="F117" i="24"/>
  <c r="B117" i="24"/>
  <c r="N116" i="24"/>
  <c r="J116" i="24"/>
  <c r="F116" i="24"/>
  <c r="B116" i="24"/>
  <c r="N115" i="24"/>
  <c r="J115" i="24"/>
  <c r="F115" i="24"/>
  <c r="B115" i="24"/>
  <c r="N114" i="24"/>
  <c r="J114" i="24"/>
  <c r="F114" i="24"/>
  <c r="B114" i="24"/>
  <c r="N113" i="24"/>
  <c r="J113" i="24"/>
  <c r="F113" i="24"/>
  <c r="B113" i="24"/>
  <c r="N112" i="24"/>
  <c r="J112" i="24"/>
  <c r="F112" i="24"/>
  <c r="B112" i="24"/>
  <c r="N111" i="24"/>
  <c r="J111" i="24"/>
  <c r="F111" i="24"/>
  <c r="B111" i="24"/>
  <c r="N110" i="24"/>
  <c r="J110" i="24"/>
  <c r="F110" i="24"/>
  <c r="B110" i="24"/>
  <c r="N109" i="24"/>
  <c r="J109" i="24"/>
  <c r="F109" i="24"/>
  <c r="B109" i="24"/>
  <c r="N108" i="24"/>
  <c r="J108" i="24"/>
  <c r="F108" i="24"/>
  <c r="B108" i="24"/>
  <c r="N107" i="24"/>
  <c r="J107" i="24"/>
  <c r="F107" i="24"/>
  <c r="B107" i="24"/>
  <c r="N106" i="24"/>
  <c r="J106" i="24"/>
  <c r="F106" i="24"/>
  <c r="B106" i="24"/>
  <c r="N105" i="24"/>
  <c r="J105" i="24"/>
  <c r="F105" i="24"/>
  <c r="B105" i="24"/>
  <c r="N104" i="24"/>
  <c r="J104" i="24"/>
  <c r="F104" i="24"/>
  <c r="B104" i="24"/>
  <c r="N103" i="24"/>
  <c r="J103" i="24"/>
  <c r="F103" i="24"/>
  <c r="B103" i="24"/>
  <c r="N102" i="24"/>
  <c r="J102" i="24"/>
  <c r="F102" i="24"/>
  <c r="B102" i="24"/>
  <c r="N101" i="24"/>
  <c r="J101" i="24"/>
  <c r="F101" i="24"/>
  <c r="B101" i="24"/>
  <c r="N100" i="24"/>
  <c r="J100" i="24"/>
  <c r="F100" i="24"/>
  <c r="B100" i="24"/>
  <c r="N99" i="24"/>
  <c r="J99" i="24"/>
  <c r="F99" i="24"/>
  <c r="B99" i="24"/>
  <c r="N98" i="24"/>
  <c r="J98" i="24"/>
  <c r="F98" i="24"/>
  <c r="B98" i="24"/>
  <c r="N97" i="24"/>
  <c r="J97" i="24"/>
  <c r="F97" i="24"/>
  <c r="B97" i="24"/>
  <c r="N96" i="24"/>
  <c r="J96" i="24"/>
  <c r="F96" i="24"/>
  <c r="B96" i="24"/>
  <c r="N95" i="24"/>
  <c r="J95" i="24"/>
  <c r="F95" i="24"/>
  <c r="B95" i="24"/>
  <c r="N94" i="24"/>
  <c r="J94" i="24"/>
  <c r="F94" i="24"/>
  <c r="B94" i="24"/>
  <c r="N93" i="24"/>
  <c r="J93" i="24"/>
  <c r="F93" i="24"/>
  <c r="B93" i="24"/>
  <c r="N92" i="24"/>
  <c r="J92" i="24"/>
  <c r="F92" i="24"/>
  <c r="B92" i="24"/>
  <c r="N91" i="24"/>
  <c r="J91" i="24"/>
  <c r="F91" i="24"/>
  <c r="B91" i="24"/>
  <c r="N90" i="24"/>
  <c r="J90" i="24"/>
  <c r="F90" i="24"/>
  <c r="B90" i="24"/>
  <c r="N89" i="24"/>
  <c r="J89" i="24"/>
  <c r="F89" i="24"/>
  <c r="B89" i="24"/>
  <c r="N88" i="24"/>
  <c r="J88" i="24"/>
  <c r="F88" i="24"/>
  <c r="B88" i="24"/>
  <c r="N87" i="24"/>
  <c r="J87" i="24"/>
  <c r="F87" i="24"/>
  <c r="B87" i="24"/>
  <c r="N86" i="24"/>
  <c r="J86" i="24"/>
  <c r="F86" i="24"/>
  <c r="B86" i="24"/>
  <c r="N85" i="24"/>
  <c r="J85" i="24"/>
  <c r="F85" i="24"/>
  <c r="B85" i="24"/>
  <c r="N84" i="24"/>
  <c r="J84" i="24"/>
  <c r="F84" i="24"/>
  <c r="B84" i="24"/>
  <c r="N83" i="24"/>
  <c r="J83" i="24"/>
  <c r="F83" i="24"/>
  <c r="B83" i="24"/>
  <c r="N82" i="24"/>
  <c r="J82" i="24"/>
  <c r="F82" i="24"/>
  <c r="B82" i="24"/>
  <c r="N81" i="24"/>
  <c r="J81" i="24"/>
  <c r="F81" i="24"/>
  <c r="B81" i="24"/>
  <c r="N80" i="24"/>
  <c r="J80" i="24"/>
  <c r="F80" i="24"/>
  <c r="B80" i="24"/>
  <c r="N79" i="24"/>
  <c r="J79" i="24"/>
  <c r="F79" i="24"/>
  <c r="B79" i="24"/>
  <c r="N78" i="24"/>
  <c r="J78" i="24"/>
  <c r="F78" i="24"/>
  <c r="B78" i="24"/>
  <c r="N77" i="24"/>
  <c r="J77" i="24"/>
  <c r="F77" i="24"/>
  <c r="B77" i="24"/>
  <c r="N76" i="24"/>
  <c r="J76" i="24"/>
  <c r="F76" i="24"/>
  <c r="B76" i="24"/>
  <c r="N75" i="24"/>
  <c r="J75" i="24"/>
  <c r="F75" i="24"/>
  <c r="B75" i="24"/>
  <c r="N74" i="24"/>
  <c r="J74" i="24"/>
  <c r="F74" i="24"/>
  <c r="B74" i="24"/>
  <c r="N73" i="24"/>
  <c r="J73" i="24"/>
  <c r="F73" i="24"/>
  <c r="B73" i="24"/>
  <c r="N72" i="24"/>
  <c r="J72" i="24"/>
  <c r="F72" i="24"/>
  <c r="B72" i="24"/>
  <c r="N71" i="24"/>
  <c r="J71" i="24"/>
  <c r="F71" i="24"/>
  <c r="B71" i="24"/>
  <c r="N70" i="24"/>
  <c r="J70" i="24"/>
  <c r="F70" i="24"/>
  <c r="B70" i="24"/>
  <c r="N69" i="24"/>
  <c r="J69" i="24"/>
  <c r="F69" i="24"/>
  <c r="B69" i="24"/>
  <c r="N68" i="24"/>
  <c r="J68" i="24"/>
  <c r="F68" i="24"/>
  <c r="B68" i="24"/>
  <c r="N67" i="24"/>
  <c r="J67" i="24"/>
  <c r="F67" i="24"/>
  <c r="B67" i="24"/>
  <c r="N66" i="24"/>
  <c r="J66" i="24"/>
  <c r="F66" i="24"/>
  <c r="B66" i="24"/>
  <c r="N65" i="24"/>
  <c r="J65" i="24"/>
  <c r="F65" i="24"/>
  <c r="B65" i="24"/>
  <c r="N64" i="24"/>
  <c r="J64" i="24"/>
  <c r="F64" i="24"/>
  <c r="B64" i="24"/>
  <c r="N63" i="24"/>
  <c r="J63" i="24"/>
  <c r="F63" i="24"/>
  <c r="B63" i="24"/>
  <c r="N62" i="24"/>
  <c r="J62" i="24"/>
  <c r="F62" i="24"/>
  <c r="B62" i="24"/>
  <c r="N61" i="24"/>
  <c r="J61" i="24"/>
  <c r="F61" i="24"/>
  <c r="B61" i="24"/>
  <c r="N60" i="24"/>
  <c r="J60" i="24"/>
  <c r="F60" i="24"/>
  <c r="B60" i="24"/>
  <c r="N59" i="24"/>
  <c r="J59" i="24"/>
  <c r="F59" i="24"/>
  <c r="B59" i="24"/>
  <c r="N58" i="24"/>
  <c r="J58" i="24"/>
  <c r="F58" i="24"/>
  <c r="B58" i="24"/>
  <c r="N57" i="24"/>
  <c r="J57" i="24"/>
  <c r="F57" i="24"/>
  <c r="B57" i="24"/>
  <c r="N56" i="24"/>
  <c r="J56" i="24"/>
  <c r="F56" i="24"/>
  <c r="B56" i="24"/>
  <c r="N55" i="24"/>
  <c r="J55" i="24"/>
  <c r="F55" i="24"/>
  <c r="B55" i="24"/>
  <c r="N54" i="24"/>
  <c r="J54" i="24"/>
  <c r="F54" i="24"/>
  <c r="B54" i="24"/>
  <c r="N53" i="24"/>
  <c r="J53" i="24"/>
  <c r="F53" i="24"/>
  <c r="B53" i="24"/>
  <c r="N52" i="24"/>
  <c r="J52" i="24"/>
  <c r="F52" i="24"/>
  <c r="B52" i="24"/>
  <c r="N51" i="24"/>
  <c r="J51" i="24"/>
  <c r="F51" i="24"/>
  <c r="B51" i="24"/>
  <c r="N50" i="24"/>
  <c r="J50" i="24"/>
  <c r="F50" i="24"/>
  <c r="B50" i="24"/>
  <c r="N49" i="24"/>
  <c r="J49" i="24"/>
  <c r="F49" i="24"/>
  <c r="B49" i="24"/>
  <c r="N48" i="24"/>
  <c r="J48" i="24"/>
  <c r="F48" i="24"/>
  <c r="B48" i="24"/>
  <c r="N47" i="24"/>
  <c r="J47" i="24"/>
  <c r="F47" i="24"/>
  <c r="B47" i="24"/>
  <c r="N46" i="24"/>
  <c r="J46" i="24"/>
  <c r="F46" i="24"/>
  <c r="B46" i="24"/>
  <c r="N45" i="24"/>
  <c r="J45" i="24"/>
  <c r="F45" i="24"/>
  <c r="B45" i="24"/>
  <c r="N44" i="24"/>
  <c r="J44" i="24"/>
  <c r="F44" i="24"/>
  <c r="B44" i="24"/>
  <c r="N43" i="24"/>
  <c r="J43" i="24"/>
  <c r="F43" i="24"/>
  <c r="B43" i="24"/>
  <c r="N42" i="24"/>
  <c r="J42" i="24"/>
  <c r="F42" i="24"/>
  <c r="B42" i="24"/>
  <c r="N41" i="24"/>
  <c r="J41" i="24"/>
  <c r="F41" i="24"/>
  <c r="B41" i="24"/>
  <c r="N40" i="24"/>
  <c r="J40" i="24"/>
  <c r="F40" i="24"/>
  <c r="B40" i="24"/>
  <c r="N39" i="24"/>
  <c r="J39" i="24"/>
  <c r="F39" i="24"/>
  <c r="B39" i="24"/>
  <c r="N38" i="24"/>
  <c r="J38" i="24"/>
  <c r="F38" i="24"/>
  <c r="B38" i="24"/>
  <c r="N37" i="24"/>
  <c r="J37" i="24"/>
  <c r="F37" i="24"/>
  <c r="B37" i="24"/>
  <c r="N36" i="24"/>
  <c r="J36" i="24"/>
  <c r="F36" i="24"/>
  <c r="B36" i="24"/>
  <c r="N35" i="24"/>
  <c r="J35" i="24"/>
  <c r="F35" i="24"/>
  <c r="B35" i="24"/>
  <c r="N34" i="24"/>
  <c r="J34" i="24"/>
  <c r="F34" i="24"/>
  <c r="B34" i="24"/>
  <c r="N33" i="24"/>
  <c r="J33" i="24"/>
  <c r="F33" i="24"/>
  <c r="B33" i="24"/>
  <c r="N32" i="24"/>
  <c r="J32" i="24"/>
  <c r="F32" i="24"/>
  <c r="B32" i="24"/>
  <c r="N31" i="24"/>
  <c r="J31" i="24"/>
  <c r="F31" i="24"/>
  <c r="B31" i="24"/>
  <c r="N30" i="24"/>
  <c r="J30" i="24"/>
  <c r="F30" i="24"/>
  <c r="B30" i="24"/>
  <c r="N29" i="24"/>
  <c r="J29" i="24"/>
  <c r="F29" i="24"/>
  <c r="B29" i="24"/>
  <c r="N28" i="24"/>
  <c r="J28" i="24"/>
  <c r="F28" i="24"/>
  <c r="B28" i="24"/>
  <c r="N27" i="24"/>
  <c r="J27" i="24"/>
  <c r="F27" i="24"/>
  <c r="B27" i="24"/>
  <c r="N26" i="24"/>
  <c r="J26" i="24"/>
  <c r="F26" i="24"/>
  <c r="B26" i="24"/>
  <c r="N25" i="24"/>
  <c r="J25" i="24"/>
  <c r="F25" i="24"/>
  <c r="B25" i="24"/>
  <c r="N24" i="24"/>
  <c r="J24" i="24"/>
  <c r="F24" i="24"/>
  <c r="B24" i="24"/>
  <c r="N23" i="24"/>
  <c r="J23" i="24"/>
  <c r="F23" i="24"/>
  <c r="B23" i="24"/>
  <c r="N22" i="24"/>
  <c r="J22" i="24"/>
  <c r="F22" i="24"/>
  <c r="B22" i="24"/>
  <c r="N21" i="24"/>
  <c r="J21" i="24"/>
  <c r="F21" i="24"/>
  <c r="B21" i="24"/>
  <c r="N20" i="24"/>
  <c r="J20" i="24"/>
  <c r="F20" i="24"/>
  <c r="B20" i="24"/>
  <c r="N19" i="24"/>
  <c r="J19" i="24"/>
  <c r="F19" i="24"/>
  <c r="B19" i="24"/>
  <c r="N18" i="24"/>
  <c r="J18" i="24"/>
  <c r="F18" i="24"/>
  <c r="B18" i="24"/>
  <c r="N17" i="24"/>
  <c r="J17" i="24"/>
  <c r="F17" i="24"/>
  <c r="B17" i="24"/>
  <c r="N16" i="24"/>
  <c r="J16" i="24"/>
  <c r="F16" i="24"/>
  <c r="B16" i="24"/>
  <c r="N15" i="24"/>
  <c r="J15" i="24"/>
  <c r="F15" i="24"/>
  <c r="B15" i="24"/>
  <c r="N14" i="24"/>
  <c r="J14" i="24"/>
  <c r="F14" i="24"/>
  <c r="B14" i="24"/>
  <c r="J5" i="24"/>
  <c r="K36" i="24" s="1"/>
  <c r="L36" i="24" s="1"/>
  <c r="B5" i="24"/>
  <c r="C45" i="24" s="1"/>
  <c r="D45" i="24" s="1"/>
  <c r="K3" i="24"/>
  <c r="L3" i="24" s="1"/>
  <c r="C3" i="24"/>
  <c r="D3" i="24" s="1"/>
  <c r="B66" i="4"/>
  <c r="B65" i="4" s="1"/>
  <c r="R8" i="3"/>
  <c r="S8" i="3"/>
  <c r="Q8" i="3"/>
  <c r="P8" i="3"/>
  <c r="O8" i="3"/>
  <c r="M8" i="3"/>
  <c r="N8" i="3"/>
  <c r="K8" i="3"/>
  <c r="L8" i="3"/>
  <c r="J8" i="3"/>
  <c r="I8" i="3"/>
  <c r="C70" i="4" l="1"/>
  <c r="D68" i="4"/>
  <c r="E45" i="24"/>
  <c r="G45" i="24"/>
  <c r="O36" i="24"/>
  <c r="M36" i="24"/>
  <c r="K14" i="24"/>
  <c r="L14" i="24" s="1"/>
  <c r="K22" i="24"/>
  <c r="L22" i="24" s="1"/>
  <c r="K38" i="24"/>
  <c r="L38" i="24" s="1"/>
  <c r="K48" i="24"/>
  <c r="L48" i="24" s="1"/>
  <c r="C14" i="24"/>
  <c r="D14" i="24" s="1"/>
  <c r="C16" i="24"/>
  <c r="D16" i="24" s="1"/>
  <c r="C18" i="24"/>
  <c r="D18" i="24" s="1"/>
  <c r="C20" i="24"/>
  <c r="D20" i="24" s="1"/>
  <c r="C22" i="24"/>
  <c r="D22" i="24" s="1"/>
  <c r="C24" i="24"/>
  <c r="D24" i="24" s="1"/>
  <c r="C26" i="24"/>
  <c r="D26" i="24" s="1"/>
  <c r="C28" i="24"/>
  <c r="D28" i="24" s="1"/>
  <c r="C30" i="24"/>
  <c r="D30" i="24" s="1"/>
  <c r="C32" i="24"/>
  <c r="D32" i="24" s="1"/>
  <c r="C34" i="24"/>
  <c r="D34" i="24" s="1"/>
  <c r="C36" i="24"/>
  <c r="D36" i="24" s="1"/>
  <c r="C38" i="24"/>
  <c r="D38" i="24" s="1"/>
  <c r="C40" i="24"/>
  <c r="D40" i="24" s="1"/>
  <c r="C42" i="24"/>
  <c r="D42" i="24" s="1"/>
  <c r="C44" i="24"/>
  <c r="D44" i="24" s="1"/>
  <c r="C46" i="24"/>
  <c r="D46" i="24" s="1"/>
  <c r="K146" i="24"/>
  <c r="L146" i="24" s="1"/>
  <c r="K144" i="24"/>
  <c r="L144" i="24" s="1"/>
  <c r="K142" i="24"/>
  <c r="L142" i="24" s="1"/>
  <c r="K140" i="24"/>
  <c r="L140" i="24" s="1"/>
  <c r="K138" i="24"/>
  <c r="L138" i="24" s="1"/>
  <c r="K136" i="24"/>
  <c r="L136" i="24" s="1"/>
  <c r="K134" i="24"/>
  <c r="L134" i="24" s="1"/>
  <c r="K132" i="24"/>
  <c r="L132" i="24" s="1"/>
  <c r="K130" i="24"/>
  <c r="L130" i="24" s="1"/>
  <c r="K128" i="24"/>
  <c r="L128" i="24" s="1"/>
  <c r="K126" i="24"/>
  <c r="L126" i="24" s="1"/>
  <c r="K124" i="24"/>
  <c r="L124" i="24" s="1"/>
  <c r="K122" i="24"/>
  <c r="L122" i="24" s="1"/>
  <c r="K120" i="24"/>
  <c r="L120" i="24" s="1"/>
  <c r="K118" i="24"/>
  <c r="L118" i="24" s="1"/>
  <c r="K116" i="24"/>
  <c r="L116" i="24" s="1"/>
  <c r="K114" i="24"/>
  <c r="L114" i="24" s="1"/>
  <c r="K112" i="24"/>
  <c r="L112" i="24" s="1"/>
  <c r="K110" i="24"/>
  <c r="L110" i="24" s="1"/>
  <c r="K108" i="24"/>
  <c r="L108" i="24" s="1"/>
  <c r="K106" i="24"/>
  <c r="L106" i="24" s="1"/>
  <c r="K104" i="24"/>
  <c r="L104" i="24" s="1"/>
  <c r="K102" i="24"/>
  <c r="L102" i="24" s="1"/>
  <c r="K100" i="24"/>
  <c r="L100" i="24" s="1"/>
  <c r="K98" i="24"/>
  <c r="L98" i="24" s="1"/>
  <c r="K96" i="24"/>
  <c r="L96" i="24" s="1"/>
  <c r="K147" i="24"/>
  <c r="L147" i="24" s="1"/>
  <c r="K145" i="24"/>
  <c r="L145" i="24" s="1"/>
  <c r="K143" i="24"/>
  <c r="L143" i="24" s="1"/>
  <c r="K141" i="24"/>
  <c r="L141" i="24" s="1"/>
  <c r="K139" i="24"/>
  <c r="L139" i="24" s="1"/>
  <c r="K137" i="24"/>
  <c r="L137" i="24" s="1"/>
  <c r="K135" i="24"/>
  <c r="L135" i="24" s="1"/>
  <c r="K133" i="24"/>
  <c r="L133" i="24" s="1"/>
  <c r="K131" i="24"/>
  <c r="L131" i="24" s="1"/>
  <c r="K129" i="24"/>
  <c r="L129" i="24" s="1"/>
  <c r="K127" i="24"/>
  <c r="L127" i="24" s="1"/>
  <c r="K125" i="24"/>
  <c r="L125" i="24" s="1"/>
  <c r="K123" i="24"/>
  <c r="L123" i="24" s="1"/>
  <c r="K121" i="24"/>
  <c r="L121" i="24" s="1"/>
  <c r="K119" i="24"/>
  <c r="L119" i="24" s="1"/>
  <c r="K117" i="24"/>
  <c r="L117" i="24" s="1"/>
  <c r="K115" i="24"/>
  <c r="L115" i="24" s="1"/>
  <c r="K113" i="24"/>
  <c r="L113" i="24" s="1"/>
  <c r="K111" i="24"/>
  <c r="L111" i="24" s="1"/>
  <c r="K109" i="24"/>
  <c r="L109" i="24" s="1"/>
  <c r="K107" i="24"/>
  <c r="L107" i="24" s="1"/>
  <c r="K105" i="24"/>
  <c r="L105" i="24" s="1"/>
  <c r="K103" i="24"/>
  <c r="L103" i="24" s="1"/>
  <c r="K101" i="24"/>
  <c r="L101" i="24" s="1"/>
  <c r="K99" i="24"/>
  <c r="L99" i="24" s="1"/>
  <c r="K97" i="24"/>
  <c r="L97" i="24" s="1"/>
  <c r="K94" i="24"/>
  <c r="L94" i="24" s="1"/>
  <c r="K92" i="24"/>
  <c r="L92" i="24" s="1"/>
  <c r="K90" i="24"/>
  <c r="L90" i="24" s="1"/>
  <c r="K88" i="24"/>
  <c r="L88" i="24" s="1"/>
  <c r="K86" i="24"/>
  <c r="L86" i="24" s="1"/>
  <c r="K84" i="24"/>
  <c r="L84" i="24" s="1"/>
  <c r="K82" i="24"/>
  <c r="L82" i="24" s="1"/>
  <c r="K80" i="24"/>
  <c r="L80" i="24" s="1"/>
  <c r="K78" i="24"/>
  <c r="L78" i="24" s="1"/>
  <c r="K76" i="24"/>
  <c r="L76" i="24" s="1"/>
  <c r="K74" i="24"/>
  <c r="L74" i="24" s="1"/>
  <c r="K72" i="24"/>
  <c r="L72" i="24" s="1"/>
  <c r="K70" i="24"/>
  <c r="L70" i="24" s="1"/>
  <c r="K68" i="24"/>
  <c r="L68" i="24" s="1"/>
  <c r="K66" i="24"/>
  <c r="L66" i="24" s="1"/>
  <c r="K64" i="24"/>
  <c r="L64" i="24" s="1"/>
  <c r="K62" i="24"/>
  <c r="L62" i="24" s="1"/>
  <c r="K60" i="24"/>
  <c r="L60" i="24" s="1"/>
  <c r="K58" i="24"/>
  <c r="L58" i="24" s="1"/>
  <c r="K56" i="24"/>
  <c r="L56" i="24" s="1"/>
  <c r="K54" i="24"/>
  <c r="L54" i="24" s="1"/>
  <c r="K52" i="24"/>
  <c r="L52" i="24" s="1"/>
  <c r="K93" i="24"/>
  <c r="L93" i="24" s="1"/>
  <c r="K91" i="24"/>
  <c r="L91" i="24" s="1"/>
  <c r="K89" i="24"/>
  <c r="L89" i="24" s="1"/>
  <c r="K87" i="24"/>
  <c r="L87" i="24" s="1"/>
  <c r="K85" i="24"/>
  <c r="L85" i="24" s="1"/>
  <c r="K83" i="24"/>
  <c r="L83" i="24" s="1"/>
  <c r="K81" i="24"/>
  <c r="L81" i="24" s="1"/>
  <c r="K79" i="24"/>
  <c r="L79" i="24" s="1"/>
  <c r="K77" i="24"/>
  <c r="L77" i="24" s="1"/>
  <c r="K75" i="24"/>
  <c r="L75" i="24" s="1"/>
  <c r="K73" i="24"/>
  <c r="L73" i="24" s="1"/>
  <c r="K71" i="24"/>
  <c r="L71" i="24" s="1"/>
  <c r="K69" i="24"/>
  <c r="L69" i="24" s="1"/>
  <c r="K67" i="24"/>
  <c r="L67" i="24" s="1"/>
  <c r="K65" i="24"/>
  <c r="L65" i="24" s="1"/>
  <c r="K63" i="24"/>
  <c r="L63" i="24" s="1"/>
  <c r="K61" i="24"/>
  <c r="L61" i="24" s="1"/>
  <c r="K59" i="24"/>
  <c r="L59" i="24" s="1"/>
  <c r="K57" i="24"/>
  <c r="L57" i="24" s="1"/>
  <c r="K55" i="24"/>
  <c r="L55" i="24" s="1"/>
  <c r="K53" i="24"/>
  <c r="L53" i="24" s="1"/>
  <c r="K51" i="24"/>
  <c r="L51" i="24" s="1"/>
  <c r="K49" i="24"/>
  <c r="L49" i="24" s="1"/>
  <c r="K47" i="24"/>
  <c r="L47" i="24" s="1"/>
  <c r="K20" i="24"/>
  <c r="L20" i="24" s="1"/>
  <c r="K26" i="24"/>
  <c r="L26" i="24" s="1"/>
  <c r="K32" i="24"/>
  <c r="L32" i="24" s="1"/>
  <c r="K50" i="24"/>
  <c r="L50" i="24" s="1"/>
  <c r="K18" i="24"/>
  <c r="L18" i="24" s="1"/>
  <c r="K15" i="24"/>
  <c r="L15" i="24" s="1"/>
  <c r="K17" i="24"/>
  <c r="L17" i="24" s="1"/>
  <c r="K19" i="24"/>
  <c r="L19" i="24" s="1"/>
  <c r="K21" i="24"/>
  <c r="L21" i="24" s="1"/>
  <c r="K23" i="24"/>
  <c r="L23" i="24" s="1"/>
  <c r="K25" i="24"/>
  <c r="L25" i="24" s="1"/>
  <c r="K27" i="24"/>
  <c r="L27" i="24" s="1"/>
  <c r="K29" i="24"/>
  <c r="L29" i="24" s="1"/>
  <c r="K31" i="24"/>
  <c r="L31" i="24" s="1"/>
  <c r="K33" i="24"/>
  <c r="L33" i="24" s="1"/>
  <c r="K35" i="24"/>
  <c r="L35" i="24" s="1"/>
  <c r="K37" i="24"/>
  <c r="L37" i="24" s="1"/>
  <c r="K39" i="24"/>
  <c r="L39" i="24" s="1"/>
  <c r="K41" i="24"/>
  <c r="L41" i="24" s="1"/>
  <c r="K43" i="24"/>
  <c r="L43" i="24" s="1"/>
  <c r="K45" i="24"/>
  <c r="L45" i="24" s="1"/>
  <c r="K28" i="24"/>
  <c r="L28" i="24" s="1"/>
  <c r="K42" i="24"/>
  <c r="L42" i="24" s="1"/>
  <c r="K44" i="24"/>
  <c r="L44" i="24" s="1"/>
  <c r="C48" i="24"/>
  <c r="D48" i="24" s="1"/>
  <c r="K95" i="24"/>
  <c r="L95" i="24" s="1"/>
  <c r="K16" i="24"/>
  <c r="L16" i="24" s="1"/>
  <c r="K24" i="24"/>
  <c r="L24" i="24" s="1"/>
  <c r="K30" i="24"/>
  <c r="L30" i="24" s="1"/>
  <c r="K34" i="24"/>
  <c r="L34" i="24" s="1"/>
  <c r="K40" i="24"/>
  <c r="L40" i="24" s="1"/>
  <c r="C15" i="24"/>
  <c r="D15" i="24" s="1"/>
  <c r="C17" i="24"/>
  <c r="D17" i="24" s="1"/>
  <c r="C19" i="24"/>
  <c r="D19" i="24" s="1"/>
  <c r="C21" i="24"/>
  <c r="D21" i="24" s="1"/>
  <c r="C23" i="24"/>
  <c r="D23" i="24" s="1"/>
  <c r="C25" i="24"/>
  <c r="D25" i="24" s="1"/>
  <c r="C27" i="24"/>
  <c r="D27" i="24" s="1"/>
  <c r="C29" i="24"/>
  <c r="D29" i="24" s="1"/>
  <c r="C31" i="24"/>
  <c r="D31" i="24" s="1"/>
  <c r="C33" i="24"/>
  <c r="D33" i="24" s="1"/>
  <c r="C35" i="24"/>
  <c r="D35" i="24" s="1"/>
  <c r="C37" i="24"/>
  <c r="D37" i="24" s="1"/>
  <c r="C39" i="24"/>
  <c r="D39" i="24" s="1"/>
  <c r="C41" i="24"/>
  <c r="D41" i="24" s="1"/>
  <c r="C43" i="24"/>
  <c r="D43" i="24" s="1"/>
  <c r="C152" i="24"/>
  <c r="D152" i="24" s="1"/>
  <c r="C148" i="24"/>
  <c r="D148" i="24" s="1"/>
  <c r="C146" i="24"/>
  <c r="D146" i="24" s="1"/>
  <c r="C144" i="24"/>
  <c r="D144" i="24" s="1"/>
  <c r="C142" i="24"/>
  <c r="D142" i="24" s="1"/>
  <c r="C140" i="24"/>
  <c r="D140" i="24" s="1"/>
  <c r="C138" i="24"/>
  <c r="D138" i="24" s="1"/>
  <c r="C136" i="24"/>
  <c r="D136" i="24" s="1"/>
  <c r="C134" i="24"/>
  <c r="D134" i="24" s="1"/>
  <c r="C132" i="24"/>
  <c r="D132" i="24" s="1"/>
  <c r="C130" i="24"/>
  <c r="D130" i="24" s="1"/>
  <c r="C128" i="24"/>
  <c r="D128" i="24" s="1"/>
  <c r="C126" i="24"/>
  <c r="D126" i="24" s="1"/>
  <c r="C124" i="24"/>
  <c r="D124" i="24" s="1"/>
  <c r="C122" i="24"/>
  <c r="D122" i="24" s="1"/>
  <c r="C120" i="24"/>
  <c r="D120" i="24" s="1"/>
  <c r="C118" i="24"/>
  <c r="D118" i="24" s="1"/>
  <c r="C116" i="24"/>
  <c r="D116" i="24" s="1"/>
  <c r="C114" i="24"/>
  <c r="D114" i="24" s="1"/>
  <c r="C112" i="24"/>
  <c r="D112" i="24" s="1"/>
  <c r="C110" i="24"/>
  <c r="D110" i="24" s="1"/>
  <c r="C108" i="24"/>
  <c r="D108" i="24" s="1"/>
  <c r="C106" i="24"/>
  <c r="D106" i="24" s="1"/>
  <c r="C104" i="24"/>
  <c r="D104" i="24" s="1"/>
  <c r="C102" i="24"/>
  <c r="D102" i="24" s="1"/>
  <c r="C100" i="24"/>
  <c r="D100" i="24" s="1"/>
  <c r="C98" i="24"/>
  <c r="D98" i="24" s="1"/>
  <c r="C96" i="24"/>
  <c r="D96" i="24" s="1"/>
  <c r="C153" i="24"/>
  <c r="D153" i="24" s="1"/>
  <c r="C149" i="24"/>
  <c r="D149" i="24" s="1"/>
  <c r="C154" i="24"/>
  <c r="D154" i="24" s="1"/>
  <c r="C150" i="24"/>
  <c r="D150" i="24" s="1"/>
  <c r="C147" i="24"/>
  <c r="D147" i="24" s="1"/>
  <c r="C145" i="24"/>
  <c r="D145" i="24" s="1"/>
  <c r="C143" i="24"/>
  <c r="D143" i="24" s="1"/>
  <c r="C141" i="24"/>
  <c r="D141" i="24" s="1"/>
  <c r="C139" i="24"/>
  <c r="D139" i="24" s="1"/>
  <c r="C137" i="24"/>
  <c r="D137" i="24" s="1"/>
  <c r="C135" i="24"/>
  <c r="D135" i="24" s="1"/>
  <c r="C133" i="24"/>
  <c r="D133" i="24" s="1"/>
  <c r="C131" i="24"/>
  <c r="D131" i="24" s="1"/>
  <c r="C129" i="24"/>
  <c r="D129" i="24" s="1"/>
  <c r="C127" i="24"/>
  <c r="D127" i="24" s="1"/>
  <c r="C125" i="24"/>
  <c r="D125" i="24" s="1"/>
  <c r="C123" i="24"/>
  <c r="D123" i="24" s="1"/>
  <c r="C121" i="24"/>
  <c r="D121" i="24" s="1"/>
  <c r="C119" i="24"/>
  <c r="D119" i="24" s="1"/>
  <c r="C117" i="24"/>
  <c r="D117" i="24" s="1"/>
  <c r="C115" i="24"/>
  <c r="D115" i="24" s="1"/>
  <c r="C113" i="24"/>
  <c r="D113" i="24" s="1"/>
  <c r="C111" i="24"/>
  <c r="D111" i="24" s="1"/>
  <c r="C109" i="24"/>
  <c r="D109" i="24" s="1"/>
  <c r="C107" i="24"/>
  <c r="D107" i="24" s="1"/>
  <c r="C105" i="24"/>
  <c r="D105" i="24" s="1"/>
  <c r="C103" i="24"/>
  <c r="D103" i="24" s="1"/>
  <c r="C101" i="24"/>
  <c r="D101" i="24" s="1"/>
  <c r="C99" i="24"/>
  <c r="D99" i="24" s="1"/>
  <c r="C97" i="24"/>
  <c r="D97" i="24" s="1"/>
  <c r="C151" i="24"/>
  <c r="D151" i="24" s="1"/>
  <c r="C94" i="24"/>
  <c r="D94" i="24" s="1"/>
  <c r="C92" i="24"/>
  <c r="D92" i="24" s="1"/>
  <c r="C90" i="24"/>
  <c r="D90" i="24" s="1"/>
  <c r="C88" i="24"/>
  <c r="D88" i="24" s="1"/>
  <c r="C86" i="24"/>
  <c r="D86" i="24" s="1"/>
  <c r="C84" i="24"/>
  <c r="D84" i="24" s="1"/>
  <c r="C82" i="24"/>
  <c r="D82" i="24" s="1"/>
  <c r="C80" i="24"/>
  <c r="D80" i="24" s="1"/>
  <c r="C78" i="24"/>
  <c r="D78" i="24" s="1"/>
  <c r="C76" i="24"/>
  <c r="D76" i="24" s="1"/>
  <c r="C74" i="24"/>
  <c r="D74" i="24" s="1"/>
  <c r="C72" i="24"/>
  <c r="D72" i="24" s="1"/>
  <c r="C70" i="24"/>
  <c r="D70" i="24" s="1"/>
  <c r="C68" i="24"/>
  <c r="D68" i="24" s="1"/>
  <c r="C66" i="24"/>
  <c r="D66" i="24" s="1"/>
  <c r="C64" i="24"/>
  <c r="D64" i="24" s="1"/>
  <c r="C62" i="24"/>
  <c r="D62" i="24" s="1"/>
  <c r="C60" i="24"/>
  <c r="D60" i="24" s="1"/>
  <c r="C58" i="24"/>
  <c r="D58" i="24" s="1"/>
  <c r="C56" i="24"/>
  <c r="D56" i="24" s="1"/>
  <c r="C54" i="24"/>
  <c r="D54" i="24" s="1"/>
  <c r="C52" i="24"/>
  <c r="D52" i="24" s="1"/>
  <c r="C95" i="24"/>
  <c r="D95" i="24" s="1"/>
  <c r="C93" i="24"/>
  <c r="D93" i="24" s="1"/>
  <c r="C91" i="24"/>
  <c r="D91" i="24" s="1"/>
  <c r="C89" i="24"/>
  <c r="D89" i="24" s="1"/>
  <c r="C87" i="24"/>
  <c r="D87" i="24" s="1"/>
  <c r="C85" i="24"/>
  <c r="D85" i="24" s="1"/>
  <c r="C83" i="24"/>
  <c r="D83" i="24" s="1"/>
  <c r="C81" i="24"/>
  <c r="D81" i="24" s="1"/>
  <c r="C79" i="24"/>
  <c r="D79" i="24" s="1"/>
  <c r="C77" i="24"/>
  <c r="D77" i="24" s="1"/>
  <c r="C75" i="24"/>
  <c r="D75" i="24" s="1"/>
  <c r="C73" i="24"/>
  <c r="D73" i="24" s="1"/>
  <c r="C71" i="24"/>
  <c r="D71" i="24" s="1"/>
  <c r="C69" i="24"/>
  <c r="D69" i="24" s="1"/>
  <c r="C67" i="24"/>
  <c r="D67" i="24" s="1"/>
  <c r="C65" i="24"/>
  <c r="D65" i="24" s="1"/>
  <c r="C63" i="24"/>
  <c r="D63" i="24" s="1"/>
  <c r="C61" i="24"/>
  <c r="D61" i="24" s="1"/>
  <c r="C59" i="24"/>
  <c r="D59" i="24" s="1"/>
  <c r="C57" i="24"/>
  <c r="D57" i="24" s="1"/>
  <c r="C55" i="24"/>
  <c r="D55" i="24" s="1"/>
  <c r="C53" i="24"/>
  <c r="D53" i="24" s="1"/>
  <c r="C51" i="24"/>
  <c r="D51" i="24" s="1"/>
  <c r="C49" i="24"/>
  <c r="D49" i="24" s="1"/>
  <c r="C47" i="24"/>
  <c r="D47" i="24" s="1"/>
  <c r="K46" i="24"/>
  <c r="L46" i="24" s="1"/>
  <c r="C50" i="24"/>
  <c r="D50" i="24" s="1"/>
  <c r="C71" i="4"/>
  <c r="B70" i="4"/>
  <c r="B71" i="4" s="1"/>
  <c r="F154" i="22"/>
  <c r="B154" i="22"/>
  <c r="F153" i="22"/>
  <c r="B153" i="22"/>
  <c r="F152" i="22"/>
  <c r="B152" i="22"/>
  <c r="F151" i="22"/>
  <c r="B151" i="22"/>
  <c r="F150" i="22"/>
  <c r="B150" i="22"/>
  <c r="F149" i="22"/>
  <c r="B149" i="22"/>
  <c r="F148" i="22"/>
  <c r="B148" i="22"/>
  <c r="N147" i="22"/>
  <c r="J147" i="22"/>
  <c r="F147" i="22"/>
  <c r="B147" i="22"/>
  <c r="N146" i="22"/>
  <c r="J146" i="22"/>
  <c r="F146" i="22"/>
  <c r="B146" i="22"/>
  <c r="N145" i="22"/>
  <c r="J145" i="22"/>
  <c r="F145" i="22"/>
  <c r="B145" i="22"/>
  <c r="N144" i="22"/>
  <c r="J144" i="22"/>
  <c r="F144" i="22"/>
  <c r="B144" i="22"/>
  <c r="N143" i="22"/>
  <c r="J143" i="22"/>
  <c r="F143" i="22"/>
  <c r="B143" i="22"/>
  <c r="N142" i="22"/>
  <c r="J142" i="22"/>
  <c r="F142" i="22"/>
  <c r="B142" i="22"/>
  <c r="N141" i="22"/>
  <c r="J141" i="22"/>
  <c r="F141" i="22"/>
  <c r="B141" i="22"/>
  <c r="N140" i="22"/>
  <c r="J140" i="22"/>
  <c r="F140" i="22"/>
  <c r="B140" i="22"/>
  <c r="N139" i="22"/>
  <c r="J139" i="22"/>
  <c r="F139" i="22"/>
  <c r="B139" i="22"/>
  <c r="N138" i="22"/>
  <c r="J138" i="22"/>
  <c r="F138" i="22"/>
  <c r="B138" i="22"/>
  <c r="N137" i="22"/>
  <c r="J137" i="22"/>
  <c r="F137" i="22"/>
  <c r="B137" i="22"/>
  <c r="N136" i="22"/>
  <c r="J136" i="22"/>
  <c r="F136" i="22"/>
  <c r="B136" i="22"/>
  <c r="N135" i="22"/>
  <c r="J135" i="22"/>
  <c r="F135" i="22"/>
  <c r="B135" i="22"/>
  <c r="N134" i="22"/>
  <c r="J134" i="22"/>
  <c r="F134" i="22"/>
  <c r="B134" i="22"/>
  <c r="N133" i="22"/>
  <c r="J133" i="22"/>
  <c r="F133" i="22"/>
  <c r="B133" i="22"/>
  <c r="N132" i="22"/>
  <c r="J132" i="22"/>
  <c r="F132" i="22"/>
  <c r="B132" i="22"/>
  <c r="N131" i="22"/>
  <c r="J131" i="22"/>
  <c r="F131" i="22"/>
  <c r="B131" i="22"/>
  <c r="N130" i="22"/>
  <c r="J130" i="22"/>
  <c r="F130" i="22"/>
  <c r="B130" i="22"/>
  <c r="N129" i="22"/>
  <c r="J129" i="22"/>
  <c r="F129" i="22"/>
  <c r="B129" i="22"/>
  <c r="N128" i="22"/>
  <c r="J128" i="22"/>
  <c r="F128" i="22"/>
  <c r="B128" i="22"/>
  <c r="N127" i="22"/>
  <c r="J127" i="22"/>
  <c r="F127" i="22"/>
  <c r="B127" i="22"/>
  <c r="N126" i="22"/>
  <c r="J126" i="22"/>
  <c r="F126" i="22"/>
  <c r="B126" i="22"/>
  <c r="N125" i="22"/>
  <c r="J125" i="22"/>
  <c r="F125" i="22"/>
  <c r="B125" i="22"/>
  <c r="N124" i="22"/>
  <c r="J124" i="22"/>
  <c r="F124" i="22"/>
  <c r="B124" i="22"/>
  <c r="N123" i="22"/>
  <c r="J123" i="22"/>
  <c r="F123" i="22"/>
  <c r="B123" i="22"/>
  <c r="N122" i="22"/>
  <c r="J122" i="22"/>
  <c r="F122" i="22"/>
  <c r="B122" i="22"/>
  <c r="N121" i="22"/>
  <c r="J121" i="22"/>
  <c r="F121" i="22"/>
  <c r="B121" i="22"/>
  <c r="N120" i="22"/>
  <c r="J120" i="22"/>
  <c r="F120" i="22"/>
  <c r="B120" i="22"/>
  <c r="N119" i="22"/>
  <c r="J119" i="22"/>
  <c r="F119" i="22"/>
  <c r="B119" i="22"/>
  <c r="N118" i="22"/>
  <c r="J118" i="22"/>
  <c r="F118" i="22"/>
  <c r="B118" i="22"/>
  <c r="N117" i="22"/>
  <c r="J117" i="22"/>
  <c r="F117" i="22"/>
  <c r="B117" i="22"/>
  <c r="N116" i="22"/>
  <c r="J116" i="22"/>
  <c r="F116" i="22"/>
  <c r="B116" i="22"/>
  <c r="N115" i="22"/>
  <c r="J115" i="22"/>
  <c r="F115" i="22"/>
  <c r="B115" i="22"/>
  <c r="N114" i="22"/>
  <c r="J114" i="22"/>
  <c r="F114" i="22"/>
  <c r="B114" i="22"/>
  <c r="N113" i="22"/>
  <c r="J113" i="22"/>
  <c r="F113" i="22"/>
  <c r="B113" i="22"/>
  <c r="N112" i="22"/>
  <c r="J112" i="22"/>
  <c r="F112" i="22"/>
  <c r="B112" i="22"/>
  <c r="N111" i="22"/>
  <c r="J111" i="22"/>
  <c r="F111" i="22"/>
  <c r="B111" i="22"/>
  <c r="N110" i="22"/>
  <c r="J110" i="22"/>
  <c r="F110" i="22"/>
  <c r="B110" i="22"/>
  <c r="N109" i="22"/>
  <c r="J109" i="22"/>
  <c r="F109" i="22"/>
  <c r="B109" i="22"/>
  <c r="N108" i="22"/>
  <c r="J108" i="22"/>
  <c r="F108" i="22"/>
  <c r="B108" i="22"/>
  <c r="N107" i="22"/>
  <c r="J107" i="22"/>
  <c r="F107" i="22"/>
  <c r="B107" i="22"/>
  <c r="N106" i="22"/>
  <c r="J106" i="22"/>
  <c r="F106" i="22"/>
  <c r="B106" i="22"/>
  <c r="N105" i="22"/>
  <c r="J105" i="22"/>
  <c r="F105" i="22"/>
  <c r="B105" i="22"/>
  <c r="N104" i="22"/>
  <c r="J104" i="22"/>
  <c r="F104" i="22"/>
  <c r="B104" i="22"/>
  <c r="N103" i="22"/>
  <c r="J103" i="22"/>
  <c r="F103" i="22"/>
  <c r="B103" i="22"/>
  <c r="N102" i="22"/>
  <c r="J102" i="22"/>
  <c r="F102" i="22"/>
  <c r="B102" i="22"/>
  <c r="N101" i="22"/>
  <c r="J101" i="22"/>
  <c r="F101" i="22"/>
  <c r="B101" i="22"/>
  <c r="N100" i="22"/>
  <c r="J100" i="22"/>
  <c r="F100" i="22"/>
  <c r="B100" i="22"/>
  <c r="N99" i="22"/>
  <c r="J99" i="22"/>
  <c r="F99" i="22"/>
  <c r="B99" i="22"/>
  <c r="N98" i="22"/>
  <c r="J98" i="22"/>
  <c r="F98" i="22"/>
  <c r="B98" i="22"/>
  <c r="N97" i="22"/>
  <c r="J97" i="22"/>
  <c r="F97" i="22"/>
  <c r="B97" i="22"/>
  <c r="N96" i="22"/>
  <c r="J96" i="22"/>
  <c r="F96" i="22"/>
  <c r="B96" i="22"/>
  <c r="N95" i="22"/>
  <c r="J95" i="22"/>
  <c r="F95" i="22"/>
  <c r="B95" i="22"/>
  <c r="N94" i="22"/>
  <c r="J94" i="22"/>
  <c r="F94" i="22"/>
  <c r="B94" i="22"/>
  <c r="N93" i="22"/>
  <c r="J93" i="22"/>
  <c r="F93" i="22"/>
  <c r="B93" i="22"/>
  <c r="N92" i="22"/>
  <c r="J92" i="22"/>
  <c r="F92" i="22"/>
  <c r="B92" i="22"/>
  <c r="N91" i="22"/>
  <c r="J91" i="22"/>
  <c r="F91" i="22"/>
  <c r="B91" i="22"/>
  <c r="N90" i="22"/>
  <c r="J90" i="22"/>
  <c r="F90" i="22"/>
  <c r="B90" i="22"/>
  <c r="N89" i="22"/>
  <c r="J89" i="22"/>
  <c r="F89" i="22"/>
  <c r="B89" i="22"/>
  <c r="N88" i="22"/>
  <c r="J88" i="22"/>
  <c r="F88" i="22"/>
  <c r="B88" i="22"/>
  <c r="N87" i="22"/>
  <c r="J87" i="22"/>
  <c r="F87" i="22"/>
  <c r="B87" i="22"/>
  <c r="N86" i="22"/>
  <c r="J86" i="22"/>
  <c r="F86" i="22"/>
  <c r="B86" i="22"/>
  <c r="N85" i="22"/>
  <c r="J85" i="22"/>
  <c r="F85" i="22"/>
  <c r="B85" i="22"/>
  <c r="N84" i="22"/>
  <c r="J84" i="22"/>
  <c r="F84" i="22"/>
  <c r="B84" i="22"/>
  <c r="N83" i="22"/>
  <c r="J83" i="22"/>
  <c r="F83" i="22"/>
  <c r="B83" i="22"/>
  <c r="N82" i="22"/>
  <c r="J82" i="22"/>
  <c r="F82" i="22"/>
  <c r="B82" i="22"/>
  <c r="N81" i="22"/>
  <c r="J81" i="22"/>
  <c r="F81" i="22"/>
  <c r="B81" i="22"/>
  <c r="N80" i="22"/>
  <c r="J80" i="22"/>
  <c r="F80" i="22"/>
  <c r="B80" i="22"/>
  <c r="N79" i="22"/>
  <c r="J79" i="22"/>
  <c r="F79" i="22"/>
  <c r="B79" i="22"/>
  <c r="N78" i="22"/>
  <c r="J78" i="22"/>
  <c r="F78" i="22"/>
  <c r="B78" i="22"/>
  <c r="N77" i="22"/>
  <c r="J77" i="22"/>
  <c r="F77" i="22"/>
  <c r="B77" i="22"/>
  <c r="N76" i="22"/>
  <c r="J76" i="22"/>
  <c r="F76" i="22"/>
  <c r="B76" i="22"/>
  <c r="N75" i="22"/>
  <c r="J75" i="22"/>
  <c r="F75" i="22"/>
  <c r="B75" i="22"/>
  <c r="N74" i="22"/>
  <c r="J74" i="22"/>
  <c r="F74" i="22"/>
  <c r="B74" i="22"/>
  <c r="N73" i="22"/>
  <c r="J73" i="22"/>
  <c r="F73" i="22"/>
  <c r="B73" i="22"/>
  <c r="N72" i="22"/>
  <c r="J72" i="22"/>
  <c r="F72" i="22"/>
  <c r="B72" i="22"/>
  <c r="N71" i="22"/>
  <c r="J71" i="22"/>
  <c r="F71" i="22"/>
  <c r="B71" i="22"/>
  <c r="N70" i="22"/>
  <c r="J70" i="22"/>
  <c r="F70" i="22"/>
  <c r="B70" i="22"/>
  <c r="N69" i="22"/>
  <c r="J69" i="22"/>
  <c r="F69" i="22"/>
  <c r="B69" i="22"/>
  <c r="N68" i="22"/>
  <c r="J68" i="22"/>
  <c r="F68" i="22"/>
  <c r="B68" i="22"/>
  <c r="N67" i="22"/>
  <c r="J67" i="22"/>
  <c r="F67" i="22"/>
  <c r="B67" i="22"/>
  <c r="N66" i="22"/>
  <c r="J66" i="22"/>
  <c r="F66" i="22"/>
  <c r="B66" i="22"/>
  <c r="N65" i="22"/>
  <c r="J65" i="22"/>
  <c r="F65" i="22"/>
  <c r="B65" i="22"/>
  <c r="N64" i="22"/>
  <c r="J64" i="22"/>
  <c r="F64" i="22"/>
  <c r="B64" i="22"/>
  <c r="N63" i="22"/>
  <c r="J63" i="22"/>
  <c r="F63" i="22"/>
  <c r="B63" i="22"/>
  <c r="N62" i="22"/>
  <c r="J62" i="22"/>
  <c r="F62" i="22"/>
  <c r="B62" i="22"/>
  <c r="N61" i="22"/>
  <c r="J61" i="22"/>
  <c r="F61" i="22"/>
  <c r="B61" i="22"/>
  <c r="N60" i="22"/>
  <c r="J60" i="22"/>
  <c r="F60" i="22"/>
  <c r="B60" i="22"/>
  <c r="N59" i="22"/>
  <c r="J59" i="22"/>
  <c r="F59" i="22"/>
  <c r="B59" i="22"/>
  <c r="N58" i="22"/>
  <c r="J58" i="22"/>
  <c r="F58" i="22"/>
  <c r="B58" i="22"/>
  <c r="N57" i="22"/>
  <c r="J57" i="22"/>
  <c r="F57" i="22"/>
  <c r="B57" i="22"/>
  <c r="N56" i="22"/>
  <c r="J56" i="22"/>
  <c r="F56" i="22"/>
  <c r="B56" i="22"/>
  <c r="N55" i="22"/>
  <c r="J55" i="22"/>
  <c r="F55" i="22"/>
  <c r="B55" i="22"/>
  <c r="N54" i="22"/>
  <c r="J54" i="22"/>
  <c r="F54" i="22"/>
  <c r="B54" i="22"/>
  <c r="N53" i="22"/>
  <c r="J53" i="22"/>
  <c r="F53" i="22"/>
  <c r="B53" i="22"/>
  <c r="N52" i="22"/>
  <c r="J52" i="22"/>
  <c r="F52" i="22"/>
  <c r="B52" i="22"/>
  <c r="N51" i="22"/>
  <c r="J51" i="22"/>
  <c r="F51" i="22"/>
  <c r="B51" i="22"/>
  <c r="N50" i="22"/>
  <c r="J50" i="22"/>
  <c r="F50" i="22"/>
  <c r="B50" i="22"/>
  <c r="N49" i="22"/>
  <c r="J49" i="22"/>
  <c r="F49" i="22"/>
  <c r="B49" i="22"/>
  <c r="N48" i="22"/>
  <c r="J48" i="22"/>
  <c r="F48" i="22"/>
  <c r="B48" i="22"/>
  <c r="N47" i="22"/>
  <c r="J47" i="22"/>
  <c r="F47" i="22"/>
  <c r="B47" i="22"/>
  <c r="N46" i="22"/>
  <c r="J46" i="22"/>
  <c r="F46" i="22"/>
  <c r="B46" i="22"/>
  <c r="N45" i="22"/>
  <c r="J45" i="22"/>
  <c r="F45" i="22"/>
  <c r="B45" i="22"/>
  <c r="N44" i="22"/>
  <c r="J44" i="22"/>
  <c r="F44" i="22"/>
  <c r="B44" i="22"/>
  <c r="N43" i="22"/>
  <c r="J43" i="22"/>
  <c r="F43" i="22"/>
  <c r="B43" i="22"/>
  <c r="N42" i="22"/>
  <c r="J42" i="22"/>
  <c r="F42" i="22"/>
  <c r="B42" i="22"/>
  <c r="N41" i="22"/>
  <c r="J41" i="22"/>
  <c r="F41" i="22"/>
  <c r="B41" i="22"/>
  <c r="N40" i="22"/>
  <c r="J40" i="22"/>
  <c r="F40" i="22"/>
  <c r="B40" i="22"/>
  <c r="N39" i="22"/>
  <c r="J39" i="22"/>
  <c r="F39" i="22"/>
  <c r="B39" i="22"/>
  <c r="N38" i="22"/>
  <c r="J38" i="22"/>
  <c r="F38" i="22"/>
  <c r="B38" i="22"/>
  <c r="N37" i="22"/>
  <c r="J37" i="22"/>
  <c r="F37" i="22"/>
  <c r="B37" i="22"/>
  <c r="N36" i="22"/>
  <c r="J36" i="22"/>
  <c r="F36" i="22"/>
  <c r="B36" i="22"/>
  <c r="N35" i="22"/>
  <c r="J35" i="22"/>
  <c r="F35" i="22"/>
  <c r="B35" i="22"/>
  <c r="N34" i="22"/>
  <c r="J34" i="22"/>
  <c r="F34" i="22"/>
  <c r="B34" i="22"/>
  <c r="N33" i="22"/>
  <c r="J33" i="22"/>
  <c r="F33" i="22"/>
  <c r="B33" i="22"/>
  <c r="N32" i="22"/>
  <c r="J32" i="22"/>
  <c r="F32" i="22"/>
  <c r="B32" i="22"/>
  <c r="N31" i="22"/>
  <c r="J31" i="22"/>
  <c r="F31" i="22"/>
  <c r="B31" i="22"/>
  <c r="N30" i="22"/>
  <c r="J30" i="22"/>
  <c r="F30" i="22"/>
  <c r="B30" i="22"/>
  <c r="N29" i="22"/>
  <c r="J29" i="22"/>
  <c r="F29" i="22"/>
  <c r="B29" i="22"/>
  <c r="N28" i="22"/>
  <c r="J28" i="22"/>
  <c r="F28" i="22"/>
  <c r="B28" i="22"/>
  <c r="N27" i="22"/>
  <c r="J27" i="22"/>
  <c r="F27" i="22"/>
  <c r="B27" i="22"/>
  <c r="N26" i="22"/>
  <c r="J26" i="22"/>
  <c r="F26" i="22"/>
  <c r="B26" i="22"/>
  <c r="N25" i="22"/>
  <c r="J25" i="22"/>
  <c r="F25" i="22"/>
  <c r="B25" i="22"/>
  <c r="N24" i="22"/>
  <c r="J24" i="22"/>
  <c r="F24" i="22"/>
  <c r="B24" i="22"/>
  <c r="N23" i="22"/>
  <c r="J23" i="22"/>
  <c r="F23" i="22"/>
  <c r="B23" i="22"/>
  <c r="N22" i="22"/>
  <c r="J22" i="22"/>
  <c r="F22" i="22"/>
  <c r="B22" i="22"/>
  <c r="N21" i="22"/>
  <c r="J21" i="22"/>
  <c r="F21" i="22"/>
  <c r="B21" i="22"/>
  <c r="N20" i="22"/>
  <c r="J20" i="22"/>
  <c r="F20" i="22"/>
  <c r="B20" i="22"/>
  <c r="N19" i="22"/>
  <c r="J19" i="22"/>
  <c r="F19" i="22"/>
  <c r="B19" i="22"/>
  <c r="N18" i="22"/>
  <c r="J18" i="22"/>
  <c r="F18" i="22"/>
  <c r="B18" i="22"/>
  <c r="N17" i="22"/>
  <c r="J17" i="22"/>
  <c r="F17" i="22"/>
  <c r="B17" i="22"/>
  <c r="N16" i="22"/>
  <c r="J16" i="22"/>
  <c r="F16" i="22"/>
  <c r="B16" i="22"/>
  <c r="N15" i="22"/>
  <c r="J15" i="22"/>
  <c r="F15" i="22"/>
  <c r="B15" i="22"/>
  <c r="N14" i="22"/>
  <c r="J14" i="22"/>
  <c r="F14" i="22"/>
  <c r="B14" i="22"/>
  <c r="J5" i="22"/>
  <c r="K14" i="22" s="1"/>
  <c r="L14" i="22" s="1"/>
  <c r="B5" i="22"/>
  <c r="C38" i="22" s="1"/>
  <c r="D38" i="22" s="1"/>
  <c r="L3" i="22"/>
  <c r="K3" i="22"/>
  <c r="C3" i="22"/>
  <c r="D3" i="22" s="1"/>
  <c r="B59" i="4"/>
  <c r="D59" i="4" s="1"/>
  <c r="B53" i="4" s="1"/>
  <c r="B58" i="4"/>
  <c r="B56" i="4"/>
  <c r="B55" i="4" s="1"/>
  <c r="C60" i="4" s="1"/>
  <c r="S3" i="3"/>
  <c r="R3" i="3"/>
  <c r="Q3" i="3"/>
  <c r="P3" i="3"/>
  <c r="O3" i="3"/>
  <c r="N3" i="3"/>
  <c r="M3" i="3"/>
  <c r="L3" i="3"/>
  <c r="K3" i="3"/>
  <c r="J3" i="3"/>
  <c r="I3" i="3"/>
  <c r="D58" i="4" l="1"/>
  <c r="G53" i="24"/>
  <c r="E53" i="24"/>
  <c r="G106" i="24"/>
  <c r="E106" i="24"/>
  <c r="O30" i="24"/>
  <c r="M30" i="24"/>
  <c r="O85" i="24"/>
  <c r="M85" i="24"/>
  <c r="O48" i="24"/>
  <c r="M48" i="24"/>
  <c r="G55" i="24"/>
  <c r="E55" i="24"/>
  <c r="G71" i="24"/>
  <c r="E71" i="24"/>
  <c r="G87" i="24"/>
  <c r="E87" i="24"/>
  <c r="G58" i="24"/>
  <c r="E58" i="24"/>
  <c r="G74" i="24"/>
  <c r="E74" i="24"/>
  <c r="G90" i="24"/>
  <c r="E90" i="24"/>
  <c r="G105" i="24"/>
  <c r="E105" i="24"/>
  <c r="G121" i="24"/>
  <c r="E121" i="24"/>
  <c r="G137" i="24"/>
  <c r="E137" i="24"/>
  <c r="E149" i="24"/>
  <c r="G149" i="24"/>
  <c r="G108" i="24"/>
  <c r="E108" i="24"/>
  <c r="G124" i="24"/>
  <c r="E124" i="24"/>
  <c r="G140" i="24"/>
  <c r="E140" i="24"/>
  <c r="E39" i="24"/>
  <c r="G39" i="24"/>
  <c r="E23" i="24"/>
  <c r="G23" i="24"/>
  <c r="O24" i="24"/>
  <c r="M24" i="24"/>
  <c r="M43" i="24"/>
  <c r="O43" i="24"/>
  <c r="M27" i="24"/>
  <c r="O27" i="24"/>
  <c r="O50" i="24"/>
  <c r="M50" i="24"/>
  <c r="O55" i="24"/>
  <c r="M55" i="24"/>
  <c r="O71" i="24"/>
  <c r="M71" i="24"/>
  <c r="O87" i="24"/>
  <c r="M87" i="24"/>
  <c r="M60" i="24"/>
  <c r="O60" i="24"/>
  <c r="M76" i="24"/>
  <c r="O76" i="24"/>
  <c r="M92" i="24"/>
  <c r="O92" i="24"/>
  <c r="O109" i="24"/>
  <c r="M109" i="24"/>
  <c r="O125" i="24"/>
  <c r="M125" i="24"/>
  <c r="O141" i="24"/>
  <c r="M141" i="24"/>
  <c r="M104" i="24"/>
  <c r="O104" i="24"/>
  <c r="M120" i="24"/>
  <c r="O120" i="24"/>
  <c r="M136" i="24"/>
  <c r="O136" i="24"/>
  <c r="G42" i="24"/>
  <c r="E42" i="24"/>
  <c r="G26" i="24"/>
  <c r="E26" i="24"/>
  <c r="O38" i="24"/>
  <c r="M38" i="24"/>
  <c r="G103" i="24"/>
  <c r="E103" i="24"/>
  <c r="G41" i="24"/>
  <c r="E41" i="24"/>
  <c r="O69" i="24"/>
  <c r="M69" i="24"/>
  <c r="G28" i="24"/>
  <c r="E28" i="24"/>
  <c r="G57" i="24"/>
  <c r="E57" i="24"/>
  <c r="G73" i="24"/>
  <c r="E73" i="24"/>
  <c r="G89" i="24"/>
  <c r="E89" i="24"/>
  <c r="G60" i="24"/>
  <c r="E60" i="24"/>
  <c r="G76" i="24"/>
  <c r="E76" i="24"/>
  <c r="G92" i="24"/>
  <c r="E92" i="24"/>
  <c r="G107" i="24"/>
  <c r="E107" i="24"/>
  <c r="G123" i="24"/>
  <c r="E123" i="24"/>
  <c r="G139" i="24"/>
  <c r="E139" i="24"/>
  <c r="E153" i="24"/>
  <c r="G153" i="24"/>
  <c r="G110" i="24"/>
  <c r="E110" i="24"/>
  <c r="G126" i="24"/>
  <c r="E126" i="24"/>
  <c r="G142" i="24"/>
  <c r="E142" i="24"/>
  <c r="E37" i="24"/>
  <c r="G37" i="24"/>
  <c r="E21" i="24"/>
  <c r="G21" i="24"/>
  <c r="O16" i="24"/>
  <c r="M16" i="24"/>
  <c r="M41" i="24"/>
  <c r="O41" i="24"/>
  <c r="M25" i="24"/>
  <c r="O25" i="24"/>
  <c r="O32" i="24"/>
  <c r="M32" i="24"/>
  <c r="O57" i="24"/>
  <c r="M57" i="24"/>
  <c r="O73" i="24"/>
  <c r="M73" i="24"/>
  <c r="O89" i="24"/>
  <c r="M89" i="24"/>
  <c r="M62" i="24"/>
  <c r="O62" i="24"/>
  <c r="M78" i="24"/>
  <c r="O78" i="24"/>
  <c r="M94" i="24"/>
  <c r="O94" i="24"/>
  <c r="O111" i="24"/>
  <c r="M111" i="24"/>
  <c r="O127" i="24"/>
  <c r="M127" i="24"/>
  <c r="O143" i="24"/>
  <c r="M143" i="24"/>
  <c r="M106" i="24"/>
  <c r="O106" i="24"/>
  <c r="M122" i="24"/>
  <c r="O122" i="24"/>
  <c r="M138" i="24"/>
  <c r="O138" i="24"/>
  <c r="G40" i="24"/>
  <c r="E40" i="24"/>
  <c r="G24" i="24"/>
  <c r="E24" i="24"/>
  <c r="O22" i="24"/>
  <c r="M22" i="24"/>
  <c r="G85" i="24"/>
  <c r="E85" i="24"/>
  <c r="G154" i="24"/>
  <c r="E154" i="24"/>
  <c r="G25" i="24"/>
  <c r="E25" i="24"/>
  <c r="M74" i="24"/>
  <c r="O74" i="24"/>
  <c r="G44" i="24"/>
  <c r="E44" i="24"/>
  <c r="G50" i="24"/>
  <c r="E50" i="24"/>
  <c r="G59" i="24"/>
  <c r="E59" i="24"/>
  <c r="G75" i="24"/>
  <c r="E75" i="24"/>
  <c r="G91" i="24"/>
  <c r="E91" i="24"/>
  <c r="G62" i="24"/>
  <c r="E62" i="24"/>
  <c r="G78" i="24"/>
  <c r="E78" i="24"/>
  <c r="G94" i="24"/>
  <c r="E94" i="24"/>
  <c r="G109" i="24"/>
  <c r="E109" i="24"/>
  <c r="G125" i="24"/>
  <c r="E125" i="24"/>
  <c r="G141" i="24"/>
  <c r="E141" i="24"/>
  <c r="E96" i="24"/>
  <c r="G96" i="24"/>
  <c r="G112" i="24"/>
  <c r="E112" i="24"/>
  <c r="G128" i="24"/>
  <c r="E128" i="24"/>
  <c r="G144" i="24"/>
  <c r="E144" i="24"/>
  <c r="E35" i="24"/>
  <c r="G35" i="24"/>
  <c r="G19" i="24"/>
  <c r="E19" i="24"/>
  <c r="O95" i="24"/>
  <c r="M95" i="24"/>
  <c r="M39" i="24"/>
  <c r="O39" i="24"/>
  <c r="M23" i="24"/>
  <c r="O23" i="24"/>
  <c r="O26" i="24"/>
  <c r="M26" i="24"/>
  <c r="O59" i="24"/>
  <c r="M59" i="24"/>
  <c r="O75" i="24"/>
  <c r="M75" i="24"/>
  <c r="O91" i="24"/>
  <c r="M91" i="24"/>
  <c r="M64" i="24"/>
  <c r="O64" i="24"/>
  <c r="M80" i="24"/>
  <c r="O80" i="24"/>
  <c r="O97" i="24"/>
  <c r="M97" i="24"/>
  <c r="O113" i="24"/>
  <c r="M113" i="24"/>
  <c r="O129" i="24"/>
  <c r="M129" i="24"/>
  <c r="O145" i="24"/>
  <c r="M145" i="24"/>
  <c r="M108" i="24"/>
  <c r="O108" i="24"/>
  <c r="M124" i="24"/>
  <c r="O124" i="24"/>
  <c r="M140" i="24"/>
  <c r="O140" i="24"/>
  <c r="G38" i="24"/>
  <c r="E38" i="24"/>
  <c r="G22" i="24"/>
  <c r="E22" i="24"/>
  <c r="O14" i="24"/>
  <c r="M14" i="24"/>
  <c r="G72" i="24"/>
  <c r="E72" i="24"/>
  <c r="G138" i="24"/>
  <c r="E138" i="24"/>
  <c r="O53" i="24"/>
  <c r="M53" i="24"/>
  <c r="O107" i="24"/>
  <c r="M107" i="24"/>
  <c r="M102" i="24"/>
  <c r="O102" i="24"/>
  <c r="O46" i="24"/>
  <c r="M46" i="24"/>
  <c r="G61" i="24"/>
  <c r="E61" i="24"/>
  <c r="G77" i="24"/>
  <c r="E77" i="24"/>
  <c r="G93" i="24"/>
  <c r="E93" i="24"/>
  <c r="G64" i="24"/>
  <c r="E64" i="24"/>
  <c r="G80" i="24"/>
  <c r="E80" i="24"/>
  <c r="G151" i="24"/>
  <c r="E151" i="24"/>
  <c r="G111" i="24"/>
  <c r="E111" i="24"/>
  <c r="G127" i="24"/>
  <c r="E127" i="24"/>
  <c r="G143" i="24"/>
  <c r="E143" i="24"/>
  <c r="G98" i="24"/>
  <c r="E98" i="24"/>
  <c r="G114" i="24"/>
  <c r="E114" i="24"/>
  <c r="G130" i="24"/>
  <c r="E130" i="24"/>
  <c r="G146" i="24"/>
  <c r="E146" i="24"/>
  <c r="G33" i="24"/>
  <c r="E33" i="24"/>
  <c r="E17" i="24"/>
  <c r="G17" i="24"/>
  <c r="G48" i="24"/>
  <c r="E48" i="24"/>
  <c r="M37" i="24"/>
  <c r="O37" i="24"/>
  <c r="M21" i="24"/>
  <c r="O21" i="24"/>
  <c r="O20" i="24"/>
  <c r="M20" i="24"/>
  <c r="O61" i="24"/>
  <c r="M61" i="24"/>
  <c r="O77" i="24"/>
  <c r="M77" i="24"/>
  <c r="O93" i="24"/>
  <c r="M93" i="24"/>
  <c r="M66" i="24"/>
  <c r="O66" i="24"/>
  <c r="M82" i="24"/>
  <c r="O82" i="24"/>
  <c r="O99" i="24"/>
  <c r="M99" i="24"/>
  <c r="O115" i="24"/>
  <c r="M115" i="24"/>
  <c r="O131" i="24"/>
  <c r="M131" i="24"/>
  <c r="O147" i="24"/>
  <c r="M147" i="24"/>
  <c r="M110" i="24"/>
  <c r="O110" i="24"/>
  <c r="M126" i="24"/>
  <c r="O126" i="24"/>
  <c r="M142" i="24"/>
  <c r="O142" i="24"/>
  <c r="G36" i="24"/>
  <c r="E36" i="24"/>
  <c r="G20" i="24"/>
  <c r="E20" i="24"/>
  <c r="G69" i="24"/>
  <c r="E69" i="24"/>
  <c r="G135" i="24"/>
  <c r="E135" i="24"/>
  <c r="M29" i="24"/>
  <c r="O29" i="24"/>
  <c r="M90" i="24"/>
  <c r="O90" i="24"/>
  <c r="M118" i="24"/>
  <c r="O118" i="24"/>
  <c r="G47" i="24"/>
  <c r="E47" i="24"/>
  <c r="G63" i="24"/>
  <c r="E63" i="24"/>
  <c r="G79" i="24"/>
  <c r="E79" i="24"/>
  <c r="E95" i="24"/>
  <c r="G95" i="24"/>
  <c r="G66" i="24"/>
  <c r="E66" i="24"/>
  <c r="G82" i="24"/>
  <c r="E82" i="24"/>
  <c r="G97" i="24"/>
  <c r="E97" i="24"/>
  <c r="G113" i="24"/>
  <c r="E113" i="24"/>
  <c r="G129" i="24"/>
  <c r="E129" i="24"/>
  <c r="G145" i="24"/>
  <c r="E145" i="24"/>
  <c r="G100" i="24"/>
  <c r="E100" i="24"/>
  <c r="G116" i="24"/>
  <c r="E116" i="24"/>
  <c r="G132" i="24"/>
  <c r="E132" i="24"/>
  <c r="G148" i="24"/>
  <c r="E148" i="24"/>
  <c r="E31" i="24"/>
  <c r="G31" i="24"/>
  <c r="G15" i="24"/>
  <c r="E15" i="24"/>
  <c r="O44" i="24"/>
  <c r="M44" i="24"/>
  <c r="M35" i="24"/>
  <c r="O35" i="24"/>
  <c r="M19" i="24"/>
  <c r="O19" i="24"/>
  <c r="M47" i="24"/>
  <c r="O47" i="24"/>
  <c r="O63" i="24"/>
  <c r="M63" i="24"/>
  <c r="O79" i="24"/>
  <c r="M79" i="24"/>
  <c r="M52" i="24"/>
  <c r="O52" i="24"/>
  <c r="M68" i="24"/>
  <c r="O68" i="24"/>
  <c r="M84" i="24"/>
  <c r="O84" i="24"/>
  <c r="O101" i="24"/>
  <c r="M101" i="24"/>
  <c r="O117" i="24"/>
  <c r="M117" i="24"/>
  <c r="O133" i="24"/>
  <c r="M133" i="24"/>
  <c r="M96" i="24"/>
  <c r="O96" i="24"/>
  <c r="M112" i="24"/>
  <c r="O112" i="24"/>
  <c r="M128" i="24"/>
  <c r="O128" i="24"/>
  <c r="M144" i="24"/>
  <c r="O144" i="24"/>
  <c r="G34" i="24"/>
  <c r="E34" i="24"/>
  <c r="G18" i="24"/>
  <c r="E18" i="24"/>
  <c r="G88" i="24"/>
  <c r="E88" i="24"/>
  <c r="G122" i="24"/>
  <c r="E122" i="24"/>
  <c r="O18" i="24"/>
  <c r="M18" i="24"/>
  <c r="O123" i="24"/>
  <c r="M123" i="24"/>
  <c r="O139" i="24"/>
  <c r="M139" i="24"/>
  <c r="E49" i="24"/>
  <c r="G49" i="24"/>
  <c r="G65" i="24"/>
  <c r="E65" i="24"/>
  <c r="G81" i="24"/>
  <c r="E81" i="24"/>
  <c r="G52" i="24"/>
  <c r="E52" i="24"/>
  <c r="G68" i="24"/>
  <c r="E68" i="24"/>
  <c r="G84" i="24"/>
  <c r="E84" i="24"/>
  <c r="G99" i="24"/>
  <c r="E99" i="24"/>
  <c r="G115" i="24"/>
  <c r="E115" i="24"/>
  <c r="G131" i="24"/>
  <c r="E131" i="24"/>
  <c r="G147" i="24"/>
  <c r="E147" i="24"/>
  <c r="G102" i="24"/>
  <c r="E102" i="24"/>
  <c r="G118" i="24"/>
  <c r="E118" i="24"/>
  <c r="G134" i="24"/>
  <c r="E134" i="24"/>
  <c r="G152" i="24"/>
  <c r="E152" i="24"/>
  <c r="G29" i="24"/>
  <c r="E29" i="24"/>
  <c r="O40" i="24"/>
  <c r="M40" i="24"/>
  <c r="O42" i="24"/>
  <c r="M42" i="24"/>
  <c r="M33" i="24"/>
  <c r="O33" i="24"/>
  <c r="M17" i="24"/>
  <c r="O17" i="24"/>
  <c r="M49" i="24"/>
  <c r="O49" i="24"/>
  <c r="O65" i="24"/>
  <c r="M65" i="24"/>
  <c r="O81" i="24"/>
  <c r="M81" i="24"/>
  <c r="M54" i="24"/>
  <c r="O54" i="24"/>
  <c r="M70" i="24"/>
  <c r="O70" i="24"/>
  <c r="M86" i="24"/>
  <c r="O86" i="24"/>
  <c r="O103" i="24"/>
  <c r="M103" i="24"/>
  <c r="O119" i="24"/>
  <c r="M119" i="24"/>
  <c r="O135" i="24"/>
  <c r="M135" i="24"/>
  <c r="M98" i="24"/>
  <c r="O98" i="24"/>
  <c r="M114" i="24"/>
  <c r="O114" i="24"/>
  <c r="M130" i="24"/>
  <c r="O130" i="24"/>
  <c r="M146" i="24"/>
  <c r="O146" i="24"/>
  <c r="G32" i="24"/>
  <c r="E32" i="24"/>
  <c r="G16" i="24"/>
  <c r="E16" i="24"/>
  <c r="G56" i="24"/>
  <c r="E56" i="24"/>
  <c r="G119" i="24"/>
  <c r="E119" i="24"/>
  <c r="M45" i="24"/>
  <c r="O45" i="24"/>
  <c r="M58" i="24"/>
  <c r="O58" i="24"/>
  <c r="M134" i="24"/>
  <c r="O134" i="24"/>
  <c r="G51" i="24"/>
  <c r="E51" i="24"/>
  <c r="G67" i="24"/>
  <c r="E67" i="24"/>
  <c r="G83" i="24"/>
  <c r="E83" i="24"/>
  <c r="G54" i="24"/>
  <c r="E54" i="24"/>
  <c r="G70" i="24"/>
  <c r="E70" i="24"/>
  <c r="G86" i="24"/>
  <c r="E86" i="24"/>
  <c r="G101" i="24"/>
  <c r="E101" i="24"/>
  <c r="G117" i="24"/>
  <c r="E117" i="24"/>
  <c r="G133" i="24"/>
  <c r="E133" i="24"/>
  <c r="G150" i="24"/>
  <c r="E150" i="24"/>
  <c r="G104" i="24"/>
  <c r="E104" i="24"/>
  <c r="G120" i="24"/>
  <c r="E120" i="24"/>
  <c r="G136" i="24"/>
  <c r="E136" i="24"/>
  <c r="E43" i="24"/>
  <c r="G43" i="24"/>
  <c r="E27" i="24"/>
  <c r="G27" i="24"/>
  <c r="O34" i="24"/>
  <c r="M34" i="24"/>
  <c r="O28" i="24"/>
  <c r="M28" i="24"/>
  <c r="M31" i="24"/>
  <c r="O31" i="24"/>
  <c r="M15" i="24"/>
  <c r="O15" i="24"/>
  <c r="M51" i="24"/>
  <c r="O51" i="24"/>
  <c r="O67" i="24"/>
  <c r="M67" i="24"/>
  <c r="O83" i="24"/>
  <c r="M83" i="24"/>
  <c r="M56" i="24"/>
  <c r="O56" i="24"/>
  <c r="M72" i="24"/>
  <c r="O72" i="24"/>
  <c r="M88" i="24"/>
  <c r="O88" i="24"/>
  <c r="O105" i="24"/>
  <c r="M105" i="24"/>
  <c r="O121" i="24"/>
  <c r="M121" i="24"/>
  <c r="O137" i="24"/>
  <c r="M137" i="24"/>
  <c r="M100" i="24"/>
  <c r="O100" i="24"/>
  <c r="M116" i="24"/>
  <c r="O116" i="24"/>
  <c r="M132" i="24"/>
  <c r="O132" i="24"/>
  <c r="E46" i="24"/>
  <c r="G46" i="24"/>
  <c r="G30" i="24"/>
  <c r="E30" i="24"/>
  <c r="G14" i="24"/>
  <c r="E14" i="24"/>
  <c r="C18" i="22"/>
  <c r="D18" i="22" s="1"/>
  <c r="E18" i="22" s="1"/>
  <c r="C46" i="22"/>
  <c r="D46" i="22" s="1"/>
  <c r="G46" i="22" s="1"/>
  <c r="C20" i="22"/>
  <c r="D20" i="22" s="1"/>
  <c r="G20" i="22" s="1"/>
  <c r="C44" i="22"/>
  <c r="D44" i="22" s="1"/>
  <c r="G44" i="22" s="1"/>
  <c r="G38" i="22"/>
  <c r="E38" i="22"/>
  <c r="O14" i="22"/>
  <c r="M14" i="22"/>
  <c r="C14" i="22"/>
  <c r="D14" i="22" s="1"/>
  <c r="C24" i="22"/>
  <c r="D24" i="22" s="1"/>
  <c r="C36" i="22"/>
  <c r="D36" i="22" s="1"/>
  <c r="C52" i="22"/>
  <c r="D52" i="22" s="1"/>
  <c r="K75" i="22"/>
  <c r="L75" i="22" s="1"/>
  <c r="E20" i="22"/>
  <c r="K16" i="22"/>
  <c r="L16" i="22" s="1"/>
  <c r="C28" i="22"/>
  <c r="D28" i="22" s="1"/>
  <c r="C32" i="22"/>
  <c r="D32" i="22" s="1"/>
  <c r="C42" i="22"/>
  <c r="D42" i="22" s="1"/>
  <c r="K62" i="22"/>
  <c r="L62" i="22" s="1"/>
  <c r="C15" i="22"/>
  <c r="D15" i="22" s="1"/>
  <c r="C48" i="22"/>
  <c r="D48" i="22" s="1"/>
  <c r="C61" i="22"/>
  <c r="D61" i="22" s="1"/>
  <c r="K90" i="22"/>
  <c r="L90" i="22" s="1"/>
  <c r="C22" i="22"/>
  <c r="D22" i="22" s="1"/>
  <c r="K59" i="22"/>
  <c r="L59" i="22" s="1"/>
  <c r="C152" i="22"/>
  <c r="D152" i="22" s="1"/>
  <c r="C148" i="22"/>
  <c r="D148" i="22" s="1"/>
  <c r="C146" i="22"/>
  <c r="D146" i="22" s="1"/>
  <c r="C144" i="22"/>
  <c r="D144" i="22" s="1"/>
  <c r="C142" i="22"/>
  <c r="D142" i="22" s="1"/>
  <c r="C140" i="22"/>
  <c r="D140" i="22" s="1"/>
  <c r="C138" i="22"/>
  <c r="D138" i="22" s="1"/>
  <c r="C136" i="22"/>
  <c r="D136" i="22" s="1"/>
  <c r="C134" i="22"/>
  <c r="D134" i="22" s="1"/>
  <c r="C132" i="22"/>
  <c r="D132" i="22" s="1"/>
  <c r="C130" i="22"/>
  <c r="D130" i="22" s="1"/>
  <c r="C128" i="22"/>
  <c r="D128" i="22" s="1"/>
  <c r="C126" i="22"/>
  <c r="D126" i="22" s="1"/>
  <c r="C124" i="22"/>
  <c r="D124" i="22" s="1"/>
  <c r="C122" i="22"/>
  <c r="D122" i="22" s="1"/>
  <c r="C120" i="22"/>
  <c r="D120" i="22" s="1"/>
  <c r="C118" i="22"/>
  <c r="D118" i="22" s="1"/>
  <c r="C116" i="22"/>
  <c r="D116" i="22" s="1"/>
  <c r="C114" i="22"/>
  <c r="D114" i="22" s="1"/>
  <c r="C112" i="22"/>
  <c r="D112" i="22" s="1"/>
  <c r="C110" i="22"/>
  <c r="D110" i="22" s="1"/>
  <c r="C108" i="22"/>
  <c r="D108" i="22" s="1"/>
  <c r="C106" i="22"/>
  <c r="D106" i="22" s="1"/>
  <c r="C104" i="22"/>
  <c r="D104" i="22" s="1"/>
  <c r="C102" i="22"/>
  <c r="D102" i="22" s="1"/>
  <c r="C100" i="22"/>
  <c r="D100" i="22" s="1"/>
  <c r="C98" i="22"/>
  <c r="D98" i="22" s="1"/>
  <c r="C96" i="22"/>
  <c r="D96" i="22" s="1"/>
  <c r="C153" i="22"/>
  <c r="D153" i="22" s="1"/>
  <c r="C149" i="22"/>
  <c r="D149" i="22" s="1"/>
  <c r="C154" i="22"/>
  <c r="D154" i="22" s="1"/>
  <c r="C150" i="22"/>
  <c r="D150" i="22" s="1"/>
  <c r="C147" i="22"/>
  <c r="D147" i="22" s="1"/>
  <c r="C145" i="22"/>
  <c r="D145" i="22" s="1"/>
  <c r="C143" i="22"/>
  <c r="D143" i="22" s="1"/>
  <c r="C141" i="22"/>
  <c r="D141" i="22" s="1"/>
  <c r="C139" i="22"/>
  <c r="D139" i="22" s="1"/>
  <c r="C137" i="22"/>
  <c r="D137" i="22" s="1"/>
  <c r="C135" i="22"/>
  <c r="D135" i="22" s="1"/>
  <c r="C133" i="22"/>
  <c r="D133" i="22" s="1"/>
  <c r="C131" i="22"/>
  <c r="D131" i="22" s="1"/>
  <c r="C129" i="22"/>
  <c r="D129" i="22" s="1"/>
  <c r="C127" i="22"/>
  <c r="D127" i="22" s="1"/>
  <c r="C125" i="22"/>
  <c r="D125" i="22" s="1"/>
  <c r="C123" i="22"/>
  <c r="D123" i="22" s="1"/>
  <c r="C121" i="22"/>
  <c r="D121" i="22" s="1"/>
  <c r="C119" i="22"/>
  <c r="D119" i="22" s="1"/>
  <c r="C117" i="22"/>
  <c r="D117" i="22" s="1"/>
  <c r="C115" i="22"/>
  <c r="D115" i="22" s="1"/>
  <c r="C113" i="22"/>
  <c r="D113" i="22" s="1"/>
  <c r="C111" i="22"/>
  <c r="D111" i="22" s="1"/>
  <c r="C109" i="22"/>
  <c r="D109" i="22" s="1"/>
  <c r="C107" i="22"/>
  <c r="D107" i="22" s="1"/>
  <c r="C105" i="22"/>
  <c r="D105" i="22" s="1"/>
  <c r="C103" i="22"/>
  <c r="D103" i="22" s="1"/>
  <c r="C101" i="22"/>
  <c r="D101" i="22" s="1"/>
  <c r="C99" i="22"/>
  <c r="D99" i="22" s="1"/>
  <c r="C97" i="22"/>
  <c r="D97" i="22" s="1"/>
  <c r="C151" i="22"/>
  <c r="D151" i="22" s="1"/>
  <c r="C95" i="22"/>
  <c r="D95" i="22" s="1"/>
  <c r="C93" i="22"/>
  <c r="D93" i="22" s="1"/>
  <c r="C91" i="22"/>
  <c r="D91" i="22" s="1"/>
  <c r="C89" i="22"/>
  <c r="D89" i="22" s="1"/>
  <c r="C87" i="22"/>
  <c r="D87" i="22" s="1"/>
  <c r="C85" i="22"/>
  <c r="D85" i="22" s="1"/>
  <c r="C83" i="22"/>
  <c r="D83" i="22" s="1"/>
  <c r="C81" i="22"/>
  <c r="D81" i="22" s="1"/>
  <c r="C94" i="22"/>
  <c r="D94" i="22" s="1"/>
  <c r="C92" i="22"/>
  <c r="D92" i="22" s="1"/>
  <c r="C90" i="22"/>
  <c r="D90" i="22" s="1"/>
  <c r="C88" i="22"/>
  <c r="D88" i="22" s="1"/>
  <c r="C86" i="22"/>
  <c r="D86" i="22" s="1"/>
  <c r="C84" i="22"/>
  <c r="D84" i="22" s="1"/>
  <c r="C82" i="22"/>
  <c r="D82" i="22" s="1"/>
  <c r="C80" i="22"/>
  <c r="D80" i="22" s="1"/>
  <c r="C78" i="22"/>
  <c r="D78" i="22" s="1"/>
  <c r="C76" i="22"/>
  <c r="D76" i="22" s="1"/>
  <c r="C74" i="22"/>
  <c r="D74" i="22" s="1"/>
  <c r="C72" i="22"/>
  <c r="D72" i="22" s="1"/>
  <c r="C70" i="22"/>
  <c r="D70" i="22" s="1"/>
  <c r="C68" i="22"/>
  <c r="D68" i="22" s="1"/>
  <c r="C66" i="22"/>
  <c r="D66" i="22" s="1"/>
  <c r="C64" i="22"/>
  <c r="D64" i="22" s="1"/>
  <c r="C62" i="22"/>
  <c r="D62" i="22" s="1"/>
  <c r="C60" i="22"/>
  <c r="D60" i="22" s="1"/>
  <c r="C58" i="22"/>
  <c r="D58" i="22" s="1"/>
  <c r="C56" i="22"/>
  <c r="D56" i="22" s="1"/>
  <c r="C54" i="22"/>
  <c r="D54" i="22" s="1"/>
  <c r="C79" i="22"/>
  <c r="D79" i="22" s="1"/>
  <c r="C77" i="22"/>
  <c r="D77" i="22" s="1"/>
  <c r="C67" i="22"/>
  <c r="D67" i="22" s="1"/>
  <c r="C73" i="22"/>
  <c r="D73" i="22" s="1"/>
  <c r="C57" i="22"/>
  <c r="D57" i="22" s="1"/>
  <c r="C63" i="22"/>
  <c r="D63" i="22" s="1"/>
  <c r="C69" i="22"/>
  <c r="D69" i="22" s="1"/>
  <c r="C53" i="22"/>
  <c r="D53" i="22" s="1"/>
  <c r="C51" i="22"/>
  <c r="D51" i="22" s="1"/>
  <c r="C49" i="22"/>
  <c r="D49" i="22" s="1"/>
  <c r="C47" i="22"/>
  <c r="D47" i="22" s="1"/>
  <c r="C45" i="22"/>
  <c r="D45" i="22" s="1"/>
  <c r="C43" i="22"/>
  <c r="D43" i="22" s="1"/>
  <c r="C41" i="22"/>
  <c r="D41" i="22" s="1"/>
  <c r="C39" i="22"/>
  <c r="D39" i="22" s="1"/>
  <c r="C37" i="22"/>
  <c r="D37" i="22" s="1"/>
  <c r="C35" i="22"/>
  <c r="D35" i="22" s="1"/>
  <c r="C33" i="22"/>
  <c r="D33" i="22" s="1"/>
  <c r="C31" i="22"/>
  <c r="D31" i="22" s="1"/>
  <c r="C29" i="22"/>
  <c r="D29" i="22" s="1"/>
  <c r="C27" i="22"/>
  <c r="D27" i="22" s="1"/>
  <c r="C25" i="22"/>
  <c r="D25" i="22" s="1"/>
  <c r="C23" i="22"/>
  <c r="D23" i="22" s="1"/>
  <c r="C21" i="22"/>
  <c r="D21" i="22" s="1"/>
  <c r="C19" i="22"/>
  <c r="D19" i="22" s="1"/>
  <c r="C17" i="22"/>
  <c r="D17" i="22" s="1"/>
  <c r="C75" i="22"/>
  <c r="D75" i="22" s="1"/>
  <c r="C59" i="22"/>
  <c r="D59" i="22" s="1"/>
  <c r="C65" i="22"/>
  <c r="D65" i="22" s="1"/>
  <c r="C71" i="22"/>
  <c r="D71" i="22" s="1"/>
  <c r="C55" i="22"/>
  <c r="D55" i="22" s="1"/>
  <c r="C16" i="22"/>
  <c r="D16" i="22" s="1"/>
  <c r="C26" i="22"/>
  <c r="D26" i="22" s="1"/>
  <c r="C30" i="22"/>
  <c r="D30" i="22" s="1"/>
  <c r="C34" i="22"/>
  <c r="D34" i="22" s="1"/>
  <c r="C50" i="22"/>
  <c r="D50" i="22" s="1"/>
  <c r="K146" i="22"/>
  <c r="L146" i="22" s="1"/>
  <c r="K144" i="22"/>
  <c r="L144" i="22" s="1"/>
  <c r="K142" i="22"/>
  <c r="L142" i="22" s="1"/>
  <c r="K140" i="22"/>
  <c r="L140" i="22" s="1"/>
  <c r="K138" i="22"/>
  <c r="L138" i="22" s="1"/>
  <c r="K136" i="22"/>
  <c r="L136" i="22" s="1"/>
  <c r="K134" i="22"/>
  <c r="L134" i="22" s="1"/>
  <c r="K132" i="22"/>
  <c r="L132" i="22" s="1"/>
  <c r="K130" i="22"/>
  <c r="L130" i="22" s="1"/>
  <c r="K147" i="22"/>
  <c r="L147" i="22" s="1"/>
  <c r="K145" i="22"/>
  <c r="L145" i="22" s="1"/>
  <c r="K143" i="22"/>
  <c r="L143" i="22" s="1"/>
  <c r="K141" i="22"/>
  <c r="L141" i="22" s="1"/>
  <c r="K139" i="22"/>
  <c r="L139" i="22" s="1"/>
  <c r="K137" i="22"/>
  <c r="L137" i="22" s="1"/>
  <c r="K135" i="22"/>
  <c r="L135" i="22" s="1"/>
  <c r="K133" i="22"/>
  <c r="L133" i="22" s="1"/>
  <c r="K131" i="22"/>
  <c r="L131" i="22" s="1"/>
  <c r="K129" i="22"/>
  <c r="L129" i="22" s="1"/>
  <c r="K127" i="22"/>
  <c r="L127" i="22" s="1"/>
  <c r="K125" i="22"/>
  <c r="L125" i="22" s="1"/>
  <c r="K123" i="22"/>
  <c r="L123" i="22" s="1"/>
  <c r="K121" i="22"/>
  <c r="L121" i="22" s="1"/>
  <c r="K119" i="22"/>
  <c r="L119" i="22" s="1"/>
  <c r="K117" i="22"/>
  <c r="L117" i="22" s="1"/>
  <c r="K115" i="22"/>
  <c r="L115" i="22" s="1"/>
  <c r="K113" i="22"/>
  <c r="L113" i="22" s="1"/>
  <c r="K128" i="22"/>
  <c r="L128" i="22" s="1"/>
  <c r="K105" i="22"/>
  <c r="L105" i="22" s="1"/>
  <c r="K97" i="22"/>
  <c r="L97" i="22" s="1"/>
  <c r="K114" i="22"/>
  <c r="L114" i="22" s="1"/>
  <c r="K112" i="22"/>
  <c r="L112" i="22" s="1"/>
  <c r="K104" i="22"/>
  <c r="L104" i="22" s="1"/>
  <c r="K96" i="22"/>
  <c r="L96" i="22" s="1"/>
  <c r="K116" i="22"/>
  <c r="L116" i="22" s="1"/>
  <c r="K111" i="22"/>
  <c r="L111" i="22" s="1"/>
  <c r="K103" i="22"/>
  <c r="L103" i="22" s="1"/>
  <c r="K118" i="22"/>
  <c r="L118" i="22" s="1"/>
  <c r="K110" i="22"/>
  <c r="L110" i="22" s="1"/>
  <c r="K102" i="22"/>
  <c r="L102" i="22" s="1"/>
  <c r="K93" i="22"/>
  <c r="L93" i="22" s="1"/>
  <c r="K91" i="22"/>
  <c r="L91" i="22" s="1"/>
  <c r="K89" i="22"/>
  <c r="L89" i="22" s="1"/>
  <c r="K87" i="22"/>
  <c r="L87" i="22" s="1"/>
  <c r="K85" i="22"/>
  <c r="L85" i="22" s="1"/>
  <c r="K83" i="22"/>
  <c r="L83" i="22" s="1"/>
  <c r="K81" i="22"/>
  <c r="L81" i="22" s="1"/>
  <c r="K79" i="22"/>
  <c r="L79" i="22" s="1"/>
  <c r="K77" i="22"/>
  <c r="L77" i="22" s="1"/>
  <c r="K120" i="22"/>
  <c r="L120" i="22" s="1"/>
  <c r="K109" i="22"/>
  <c r="L109" i="22" s="1"/>
  <c r="K101" i="22"/>
  <c r="L101" i="22" s="1"/>
  <c r="K95" i="22"/>
  <c r="L95" i="22" s="1"/>
  <c r="K122" i="22"/>
  <c r="L122" i="22" s="1"/>
  <c r="K108" i="22"/>
  <c r="L108" i="22" s="1"/>
  <c r="K100" i="22"/>
  <c r="L100" i="22" s="1"/>
  <c r="K124" i="22"/>
  <c r="L124" i="22" s="1"/>
  <c r="K107" i="22"/>
  <c r="L107" i="22" s="1"/>
  <c r="K99" i="22"/>
  <c r="L99" i="22" s="1"/>
  <c r="K68" i="22"/>
  <c r="L68" i="22" s="1"/>
  <c r="K65" i="22"/>
  <c r="L65" i="22" s="1"/>
  <c r="K126" i="22"/>
  <c r="L126" i="22" s="1"/>
  <c r="K106" i="22"/>
  <c r="L106" i="22" s="1"/>
  <c r="K94" i="22"/>
  <c r="L94" i="22" s="1"/>
  <c r="K84" i="22"/>
  <c r="L84" i="22" s="1"/>
  <c r="K74" i="22"/>
  <c r="L74" i="22" s="1"/>
  <c r="K71" i="22"/>
  <c r="L71" i="22" s="1"/>
  <c r="K58" i="22"/>
  <c r="L58" i="22" s="1"/>
  <c r="K55" i="22"/>
  <c r="L55" i="22" s="1"/>
  <c r="K52" i="22"/>
  <c r="L52" i="22" s="1"/>
  <c r="K50" i="22"/>
  <c r="L50" i="22" s="1"/>
  <c r="K48" i="22"/>
  <c r="L48" i="22" s="1"/>
  <c r="K46" i="22"/>
  <c r="L46" i="22" s="1"/>
  <c r="K44" i="22"/>
  <c r="L44" i="22" s="1"/>
  <c r="K42" i="22"/>
  <c r="L42" i="22" s="1"/>
  <c r="K40" i="22"/>
  <c r="L40" i="22" s="1"/>
  <c r="K38" i="22"/>
  <c r="L38" i="22" s="1"/>
  <c r="K36" i="22"/>
  <c r="L36" i="22" s="1"/>
  <c r="K34" i="22"/>
  <c r="L34" i="22" s="1"/>
  <c r="K32" i="22"/>
  <c r="L32" i="22" s="1"/>
  <c r="K30" i="22"/>
  <c r="L30" i="22" s="1"/>
  <c r="K28" i="22"/>
  <c r="L28" i="22" s="1"/>
  <c r="K26" i="22"/>
  <c r="L26" i="22" s="1"/>
  <c r="K24" i="22"/>
  <c r="L24" i="22" s="1"/>
  <c r="K22" i="22"/>
  <c r="L22" i="22" s="1"/>
  <c r="K20" i="22"/>
  <c r="L20" i="22" s="1"/>
  <c r="K18" i="22"/>
  <c r="L18" i="22" s="1"/>
  <c r="K88" i="22"/>
  <c r="L88" i="22" s="1"/>
  <c r="K64" i="22"/>
  <c r="L64" i="22" s="1"/>
  <c r="K61" i="22"/>
  <c r="L61" i="22" s="1"/>
  <c r="K80" i="22"/>
  <c r="L80" i="22" s="1"/>
  <c r="K78" i="22"/>
  <c r="L78" i="22" s="1"/>
  <c r="K70" i="22"/>
  <c r="L70" i="22" s="1"/>
  <c r="K67" i="22"/>
  <c r="L67" i="22" s="1"/>
  <c r="K54" i="22"/>
  <c r="L54" i="22" s="1"/>
  <c r="K92" i="22"/>
  <c r="L92" i="22" s="1"/>
  <c r="K76" i="22"/>
  <c r="L76" i="22" s="1"/>
  <c r="K73" i="22"/>
  <c r="L73" i="22" s="1"/>
  <c r="K60" i="22"/>
  <c r="L60" i="22" s="1"/>
  <c r="K57" i="22"/>
  <c r="L57" i="22" s="1"/>
  <c r="K86" i="22"/>
  <c r="L86" i="22" s="1"/>
  <c r="K66" i="22"/>
  <c r="L66" i="22" s="1"/>
  <c r="K63" i="22"/>
  <c r="L63" i="22" s="1"/>
  <c r="K51" i="22"/>
  <c r="L51" i="22" s="1"/>
  <c r="K49" i="22"/>
  <c r="L49" i="22" s="1"/>
  <c r="K47" i="22"/>
  <c r="L47" i="22" s="1"/>
  <c r="K45" i="22"/>
  <c r="L45" i="22" s="1"/>
  <c r="K43" i="22"/>
  <c r="L43" i="22" s="1"/>
  <c r="K41" i="22"/>
  <c r="L41" i="22" s="1"/>
  <c r="K39" i="22"/>
  <c r="L39" i="22" s="1"/>
  <c r="K37" i="22"/>
  <c r="L37" i="22" s="1"/>
  <c r="K35" i="22"/>
  <c r="L35" i="22" s="1"/>
  <c r="K33" i="22"/>
  <c r="L33" i="22" s="1"/>
  <c r="K31" i="22"/>
  <c r="L31" i="22" s="1"/>
  <c r="K29" i="22"/>
  <c r="L29" i="22" s="1"/>
  <c r="K27" i="22"/>
  <c r="L27" i="22" s="1"/>
  <c r="K25" i="22"/>
  <c r="L25" i="22" s="1"/>
  <c r="K23" i="22"/>
  <c r="L23" i="22" s="1"/>
  <c r="K21" i="22"/>
  <c r="L21" i="22" s="1"/>
  <c r="K19" i="22"/>
  <c r="L19" i="22" s="1"/>
  <c r="K17" i="22"/>
  <c r="L17" i="22" s="1"/>
  <c r="K15" i="22"/>
  <c r="L15" i="22" s="1"/>
  <c r="K98" i="22"/>
  <c r="L98" i="22" s="1"/>
  <c r="K82" i="22"/>
  <c r="L82" i="22" s="1"/>
  <c r="K72" i="22"/>
  <c r="L72" i="22" s="1"/>
  <c r="K69" i="22"/>
  <c r="L69" i="22" s="1"/>
  <c r="K56" i="22"/>
  <c r="L56" i="22" s="1"/>
  <c r="K53" i="22"/>
  <c r="L53" i="22" s="1"/>
  <c r="C40" i="22"/>
  <c r="D40" i="22" s="1"/>
  <c r="B60" i="4"/>
  <c r="B61" i="4" s="1"/>
  <c r="C61" i="4"/>
  <c r="F154" i="20"/>
  <c r="B154" i="20"/>
  <c r="F153" i="20"/>
  <c r="B153" i="20"/>
  <c r="F152" i="20"/>
  <c r="B152" i="20"/>
  <c r="F151" i="20"/>
  <c r="B151" i="20"/>
  <c r="F150" i="20"/>
  <c r="B150" i="20"/>
  <c r="F149" i="20"/>
  <c r="B149" i="20"/>
  <c r="F148" i="20"/>
  <c r="B148" i="20"/>
  <c r="N147" i="20"/>
  <c r="J147" i="20"/>
  <c r="F147" i="20"/>
  <c r="B147" i="20"/>
  <c r="N146" i="20"/>
  <c r="J146" i="20"/>
  <c r="F146" i="20"/>
  <c r="B146" i="20"/>
  <c r="N145" i="20"/>
  <c r="J145" i="20"/>
  <c r="F145" i="20"/>
  <c r="B145" i="20"/>
  <c r="N144" i="20"/>
  <c r="J144" i="20"/>
  <c r="F144" i="20"/>
  <c r="B144" i="20"/>
  <c r="N143" i="20"/>
  <c r="J143" i="20"/>
  <c r="F143" i="20"/>
  <c r="B143" i="20"/>
  <c r="N142" i="20"/>
  <c r="J142" i="20"/>
  <c r="F142" i="20"/>
  <c r="B142" i="20"/>
  <c r="N141" i="20"/>
  <c r="J141" i="20"/>
  <c r="F141" i="20"/>
  <c r="B141" i="20"/>
  <c r="N140" i="20"/>
  <c r="J140" i="20"/>
  <c r="F140" i="20"/>
  <c r="B140" i="20"/>
  <c r="N139" i="20"/>
  <c r="J139" i="20"/>
  <c r="F139" i="20"/>
  <c r="B139" i="20"/>
  <c r="N138" i="20"/>
  <c r="J138" i="20"/>
  <c r="F138" i="20"/>
  <c r="B138" i="20"/>
  <c r="N137" i="20"/>
  <c r="J137" i="20"/>
  <c r="F137" i="20"/>
  <c r="B137" i="20"/>
  <c r="N136" i="20"/>
  <c r="J136" i="20"/>
  <c r="F136" i="20"/>
  <c r="B136" i="20"/>
  <c r="N135" i="20"/>
  <c r="J135" i="20"/>
  <c r="F135" i="20"/>
  <c r="B135" i="20"/>
  <c r="N134" i="20"/>
  <c r="J134" i="20"/>
  <c r="F134" i="20"/>
  <c r="B134" i="20"/>
  <c r="N133" i="20"/>
  <c r="J133" i="20"/>
  <c r="F133" i="20"/>
  <c r="B133" i="20"/>
  <c r="N132" i="20"/>
  <c r="J132" i="20"/>
  <c r="F132" i="20"/>
  <c r="B132" i="20"/>
  <c r="N131" i="20"/>
  <c r="J131" i="20"/>
  <c r="F131" i="20"/>
  <c r="B131" i="20"/>
  <c r="N130" i="20"/>
  <c r="J130" i="20"/>
  <c r="F130" i="20"/>
  <c r="B130" i="20"/>
  <c r="N129" i="20"/>
  <c r="J129" i="20"/>
  <c r="F129" i="20"/>
  <c r="B129" i="20"/>
  <c r="N128" i="20"/>
  <c r="J128" i="20"/>
  <c r="F128" i="20"/>
  <c r="B128" i="20"/>
  <c r="N127" i="20"/>
  <c r="J127" i="20"/>
  <c r="F127" i="20"/>
  <c r="B127" i="20"/>
  <c r="N126" i="20"/>
  <c r="J126" i="20"/>
  <c r="F126" i="20"/>
  <c r="B126" i="20"/>
  <c r="N125" i="20"/>
  <c r="J125" i="20"/>
  <c r="F125" i="20"/>
  <c r="B125" i="20"/>
  <c r="N124" i="20"/>
  <c r="J124" i="20"/>
  <c r="F124" i="20"/>
  <c r="B124" i="20"/>
  <c r="N123" i="20"/>
  <c r="J123" i="20"/>
  <c r="F123" i="20"/>
  <c r="B123" i="20"/>
  <c r="N122" i="20"/>
  <c r="J122" i="20"/>
  <c r="F122" i="20"/>
  <c r="B122" i="20"/>
  <c r="N121" i="20"/>
  <c r="J121" i="20"/>
  <c r="F121" i="20"/>
  <c r="B121" i="20"/>
  <c r="N120" i="20"/>
  <c r="J120" i="20"/>
  <c r="F120" i="20"/>
  <c r="B120" i="20"/>
  <c r="N119" i="20"/>
  <c r="J119" i="20"/>
  <c r="F119" i="20"/>
  <c r="B119" i="20"/>
  <c r="N118" i="20"/>
  <c r="J118" i="20"/>
  <c r="F118" i="20"/>
  <c r="B118" i="20"/>
  <c r="N117" i="20"/>
  <c r="J117" i="20"/>
  <c r="F117" i="20"/>
  <c r="B117" i="20"/>
  <c r="N116" i="20"/>
  <c r="J116" i="20"/>
  <c r="F116" i="20"/>
  <c r="B116" i="20"/>
  <c r="N115" i="20"/>
  <c r="J115" i="20"/>
  <c r="F115" i="20"/>
  <c r="B115" i="20"/>
  <c r="N114" i="20"/>
  <c r="J114" i="20"/>
  <c r="F114" i="20"/>
  <c r="B114" i="20"/>
  <c r="N113" i="20"/>
  <c r="J113" i="20"/>
  <c r="F113" i="20"/>
  <c r="B113" i="20"/>
  <c r="N112" i="20"/>
  <c r="J112" i="20"/>
  <c r="F112" i="20"/>
  <c r="B112" i="20"/>
  <c r="N111" i="20"/>
  <c r="J111" i="20"/>
  <c r="F111" i="20"/>
  <c r="B111" i="20"/>
  <c r="N110" i="20"/>
  <c r="J110" i="20"/>
  <c r="F110" i="20"/>
  <c r="B110" i="20"/>
  <c r="N109" i="20"/>
  <c r="J109" i="20"/>
  <c r="F109" i="20"/>
  <c r="B109" i="20"/>
  <c r="N108" i="20"/>
  <c r="J108" i="20"/>
  <c r="F108" i="20"/>
  <c r="B108" i="20"/>
  <c r="N107" i="20"/>
  <c r="J107" i="20"/>
  <c r="F107" i="20"/>
  <c r="B107" i="20"/>
  <c r="N106" i="20"/>
  <c r="J106" i="20"/>
  <c r="F106" i="20"/>
  <c r="B106" i="20"/>
  <c r="N105" i="20"/>
  <c r="J105" i="20"/>
  <c r="F105" i="20"/>
  <c r="B105" i="20"/>
  <c r="N104" i="20"/>
  <c r="J104" i="20"/>
  <c r="F104" i="20"/>
  <c r="B104" i="20"/>
  <c r="N103" i="20"/>
  <c r="J103" i="20"/>
  <c r="F103" i="20"/>
  <c r="B103" i="20"/>
  <c r="N102" i="20"/>
  <c r="J102" i="20"/>
  <c r="F102" i="20"/>
  <c r="B102" i="20"/>
  <c r="N101" i="20"/>
  <c r="J101" i="20"/>
  <c r="F101" i="20"/>
  <c r="B101" i="20"/>
  <c r="N100" i="20"/>
  <c r="J100" i="20"/>
  <c r="F100" i="20"/>
  <c r="B100" i="20"/>
  <c r="N99" i="20"/>
  <c r="J99" i="20"/>
  <c r="F99" i="20"/>
  <c r="B99" i="20"/>
  <c r="N98" i="20"/>
  <c r="J98" i="20"/>
  <c r="F98" i="20"/>
  <c r="B98" i="20"/>
  <c r="N97" i="20"/>
  <c r="J97" i="20"/>
  <c r="F97" i="20"/>
  <c r="B97" i="20"/>
  <c r="N96" i="20"/>
  <c r="J96" i="20"/>
  <c r="F96" i="20"/>
  <c r="B96" i="20"/>
  <c r="N95" i="20"/>
  <c r="J95" i="20"/>
  <c r="F95" i="20"/>
  <c r="B95" i="20"/>
  <c r="N94" i="20"/>
  <c r="J94" i="20"/>
  <c r="F94" i="20"/>
  <c r="B94" i="20"/>
  <c r="N93" i="20"/>
  <c r="J93" i="20"/>
  <c r="F93" i="20"/>
  <c r="B93" i="20"/>
  <c r="N92" i="20"/>
  <c r="J92" i="20"/>
  <c r="F92" i="20"/>
  <c r="B92" i="20"/>
  <c r="N91" i="20"/>
  <c r="J91" i="20"/>
  <c r="F91" i="20"/>
  <c r="B91" i="20"/>
  <c r="N90" i="20"/>
  <c r="J90" i="20"/>
  <c r="F90" i="20"/>
  <c r="B90" i="20"/>
  <c r="N89" i="20"/>
  <c r="J89" i="20"/>
  <c r="F89" i="20"/>
  <c r="B89" i="20"/>
  <c r="N88" i="20"/>
  <c r="J88" i="20"/>
  <c r="F88" i="20"/>
  <c r="B88" i="20"/>
  <c r="N87" i="20"/>
  <c r="J87" i="20"/>
  <c r="F87" i="20"/>
  <c r="B87" i="20"/>
  <c r="N86" i="20"/>
  <c r="J86" i="20"/>
  <c r="F86" i="20"/>
  <c r="B86" i="20"/>
  <c r="N85" i="20"/>
  <c r="J85" i="20"/>
  <c r="F85" i="20"/>
  <c r="B85" i="20"/>
  <c r="N84" i="20"/>
  <c r="J84" i="20"/>
  <c r="F84" i="20"/>
  <c r="B84" i="20"/>
  <c r="N83" i="20"/>
  <c r="J83" i="20"/>
  <c r="F83" i="20"/>
  <c r="B83" i="20"/>
  <c r="N82" i="20"/>
  <c r="J82" i="20"/>
  <c r="F82" i="20"/>
  <c r="B82" i="20"/>
  <c r="N81" i="20"/>
  <c r="J81" i="20"/>
  <c r="F81" i="20"/>
  <c r="B81" i="20"/>
  <c r="N80" i="20"/>
  <c r="J80" i="20"/>
  <c r="F80" i="20"/>
  <c r="B80" i="20"/>
  <c r="N79" i="20"/>
  <c r="J79" i="20"/>
  <c r="F79" i="20"/>
  <c r="B79" i="20"/>
  <c r="N78" i="20"/>
  <c r="J78" i="20"/>
  <c r="F78" i="20"/>
  <c r="B78" i="20"/>
  <c r="N77" i="20"/>
  <c r="J77" i="20"/>
  <c r="F77" i="20"/>
  <c r="B77" i="20"/>
  <c r="N76" i="20"/>
  <c r="J76" i="20"/>
  <c r="F76" i="20"/>
  <c r="B76" i="20"/>
  <c r="N75" i="20"/>
  <c r="J75" i="20"/>
  <c r="F75" i="20"/>
  <c r="B75" i="20"/>
  <c r="N74" i="20"/>
  <c r="J74" i="20"/>
  <c r="F74" i="20"/>
  <c r="B74" i="20"/>
  <c r="N73" i="20"/>
  <c r="J73" i="20"/>
  <c r="F73" i="20"/>
  <c r="B73" i="20"/>
  <c r="N72" i="20"/>
  <c r="J72" i="20"/>
  <c r="F72" i="20"/>
  <c r="B72" i="20"/>
  <c r="N71" i="20"/>
  <c r="J71" i="20"/>
  <c r="F71" i="20"/>
  <c r="B71" i="20"/>
  <c r="N70" i="20"/>
  <c r="J70" i="20"/>
  <c r="F70" i="20"/>
  <c r="B70" i="20"/>
  <c r="N69" i="20"/>
  <c r="J69" i="20"/>
  <c r="F69" i="20"/>
  <c r="B69" i="20"/>
  <c r="N68" i="20"/>
  <c r="J68" i="20"/>
  <c r="F68" i="20"/>
  <c r="B68" i="20"/>
  <c r="N67" i="20"/>
  <c r="J67" i="20"/>
  <c r="F67" i="20"/>
  <c r="B67" i="20"/>
  <c r="N66" i="20"/>
  <c r="J66" i="20"/>
  <c r="F66" i="20"/>
  <c r="B66" i="20"/>
  <c r="N65" i="20"/>
  <c r="J65" i="20"/>
  <c r="F65" i="20"/>
  <c r="B65" i="20"/>
  <c r="N64" i="20"/>
  <c r="J64" i="20"/>
  <c r="F64" i="20"/>
  <c r="B64" i="20"/>
  <c r="N63" i="20"/>
  <c r="J63" i="20"/>
  <c r="F63" i="20"/>
  <c r="B63" i="20"/>
  <c r="N62" i="20"/>
  <c r="J62" i="20"/>
  <c r="F62" i="20"/>
  <c r="B62" i="20"/>
  <c r="N61" i="20"/>
  <c r="J61" i="20"/>
  <c r="F61" i="20"/>
  <c r="B61" i="20"/>
  <c r="N60" i="20"/>
  <c r="J60" i="20"/>
  <c r="F60" i="20"/>
  <c r="B60" i="20"/>
  <c r="N59" i="20"/>
  <c r="J59" i="20"/>
  <c r="F59" i="20"/>
  <c r="B59" i="20"/>
  <c r="N58" i="20"/>
  <c r="J58" i="20"/>
  <c r="F58" i="20"/>
  <c r="B58" i="20"/>
  <c r="N57" i="20"/>
  <c r="J57" i="20"/>
  <c r="F57" i="20"/>
  <c r="B57" i="20"/>
  <c r="N56" i="20"/>
  <c r="J56" i="20"/>
  <c r="F56" i="20"/>
  <c r="B56" i="20"/>
  <c r="N55" i="20"/>
  <c r="J55" i="20"/>
  <c r="F55" i="20"/>
  <c r="B55" i="20"/>
  <c r="N54" i="20"/>
  <c r="J54" i="20"/>
  <c r="F54" i="20"/>
  <c r="B54" i="20"/>
  <c r="N53" i="20"/>
  <c r="J53" i="20"/>
  <c r="F53" i="20"/>
  <c r="B53" i="20"/>
  <c r="N52" i="20"/>
  <c r="J52" i="20"/>
  <c r="F52" i="20"/>
  <c r="B52" i="20"/>
  <c r="N51" i="20"/>
  <c r="J51" i="20"/>
  <c r="F51" i="20"/>
  <c r="B51" i="20"/>
  <c r="N50" i="20"/>
  <c r="J50" i="20"/>
  <c r="F50" i="20"/>
  <c r="B50" i="20"/>
  <c r="N49" i="20"/>
  <c r="J49" i="20"/>
  <c r="F49" i="20"/>
  <c r="B49" i="20"/>
  <c r="N48" i="20"/>
  <c r="J48" i="20"/>
  <c r="F48" i="20"/>
  <c r="B48" i="20"/>
  <c r="N47" i="20"/>
  <c r="J47" i="20"/>
  <c r="F47" i="20"/>
  <c r="B47" i="20"/>
  <c r="N46" i="20"/>
  <c r="J46" i="20"/>
  <c r="F46" i="20"/>
  <c r="B46" i="20"/>
  <c r="N45" i="20"/>
  <c r="J45" i="20"/>
  <c r="F45" i="20"/>
  <c r="B45" i="20"/>
  <c r="N44" i="20"/>
  <c r="J44" i="20"/>
  <c r="F44" i="20"/>
  <c r="B44" i="20"/>
  <c r="N43" i="20"/>
  <c r="J43" i="20"/>
  <c r="F43" i="20"/>
  <c r="B43" i="20"/>
  <c r="N42" i="20"/>
  <c r="J42" i="20"/>
  <c r="F42" i="20"/>
  <c r="B42" i="20"/>
  <c r="N41" i="20"/>
  <c r="J41" i="20"/>
  <c r="F41" i="20"/>
  <c r="B41" i="20"/>
  <c r="N40" i="20"/>
  <c r="J40" i="20"/>
  <c r="F40" i="20"/>
  <c r="B40" i="20"/>
  <c r="N39" i="20"/>
  <c r="J39" i="20"/>
  <c r="F39" i="20"/>
  <c r="B39" i="20"/>
  <c r="N38" i="20"/>
  <c r="J38" i="20"/>
  <c r="F38" i="20"/>
  <c r="B38" i="20"/>
  <c r="N37" i="20"/>
  <c r="J37" i="20"/>
  <c r="F37" i="20"/>
  <c r="B37" i="20"/>
  <c r="N36" i="20"/>
  <c r="J36" i="20"/>
  <c r="F36" i="20"/>
  <c r="B36" i="20"/>
  <c r="N35" i="20"/>
  <c r="J35" i="20"/>
  <c r="F35" i="20"/>
  <c r="B35" i="20"/>
  <c r="N34" i="20"/>
  <c r="J34" i="20"/>
  <c r="F34" i="20"/>
  <c r="B34" i="20"/>
  <c r="N33" i="20"/>
  <c r="J33" i="20"/>
  <c r="F33" i="20"/>
  <c r="B33" i="20"/>
  <c r="N32" i="20"/>
  <c r="J32" i="20"/>
  <c r="F32" i="20"/>
  <c r="B32" i="20"/>
  <c r="N31" i="20"/>
  <c r="J31" i="20"/>
  <c r="F31" i="20"/>
  <c r="B31" i="20"/>
  <c r="N30" i="20"/>
  <c r="J30" i="20"/>
  <c r="F30" i="20"/>
  <c r="B30" i="20"/>
  <c r="N29" i="20"/>
  <c r="J29" i="20"/>
  <c r="F29" i="20"/>
  <c r="B29" i="20"/>
  <c r="N28" i="20"/>
  <c r="J28" i="20"/>
  <c r="F28" i="20"/>
  <c r="B28" i="20"/>
  <c r="N27" i="20"/>
  <c r="J27" i="20"/>
  <c r="F27" i="20"/>
  <c r="B27" i="20"/>
  <c r="N26" i="20"/>
  <c r="J26" i="20"/>
  <c r="F26" i="20"/>
  <c r="B26" i="20"/>
  <c r="N25" i="20"/>
  <c r="J25" i="20"/>
  <c r="F25" i="20"/>
  <c r="B25" i="20"/>
  <c r="N24" i="20"/>
  <c r="J24" i="20"/>
  <c r="F24" i="20"/>
  <c r="B24" i="20"/>
  <c r="N23" i="20"/>
  <c r="J23" i="20"/>
  <c r="F23" i="20"/>
  <c r="B23" i="20"/>
  <c r="N22" i="20"/>
  <c r="J22" i="20"/>
  <c r="F22" i="20"/>
  <c r="B22" i="20"/>
  <c r="N21" i="20"/>
  <c r="J21" i="20"/>
  <c r="F21" i="20"/>
  <c r="B21" i="20"/>
  <c r="N20" i="20"/>
  <c r="J20" i="20"/>
  <c r="F20" i="20"/>
  <c r="B20" i="20"/>
  <c r="N19" i="20"/>
  <c r="J19" i="20"/>
  <c r="F19" i="20"/>
  <c r="B19" i="20"/>
  <c r="N18" i="20"/>
  <c r="J18" i="20"/>
  <c r="F18" i="20"/>
  <c r="B18" i="20"/>
  <c r="N17" i="20"/>
  <c r="J17" i="20"/>
  <c r="F17" i="20"/>
  <c r="B17" i="20"/>
  <c r="N16" i="20"/>
  <c r="J16" i="20"/>
  <c r="F16" i="20"/>
  <c r="B16" i="20"/>
  <c r="N15" i="20"/>
  <c r="J15" i="20"/>
  <c r="F15" i="20"/>
  <c r="B15" i="20"/>
  <c r="N14" i="20"/>
  <c r="J14" i="20"/>
  <c r="F14" i="20"/>
  <c r="B14" i="20"/>
  <c r="J5" i="20"/>
  <c r="K76" i="20" s="1"/>
  <c r="L76" i="20" s="1"/>
  <c r="B5" i="20"/>
  <c r="C95" i="20" s="1"/>
  <c r="D95" i="20" s="1"/>
  <c r="L3" i="20"/>
  <c r="K3" i="20"/>
  <c r="C3" i="20"/>
  <c r="D3" i="20" s="1"/>
  <c r="C27" i="20" l="1"/>
  <c r="D27" i="20" s="1"/>
  <c r="C19" i="20"/>
  <c r="D19" i="20" s="1"/>
  <c r="C47" i="20"/>
  <c r="D47" i="20" s="1"/>
  <c r="C25" i="20"/>
  <c r="D25" i="20" s="1"/>
  <c r="C39" i="20"/>
  <c r="D39" i="20" s="1"/>
  <c r="K19" i="20"/>
  <c r="L19" i="20" s="1"/>
  <c r="E46" i="22"/>
  <c r="K17" i="20"/>
  <c r="L17" i="20" s="1"/>
  <c r="O17" i="20" s="1"/>
  <c r="C15" i="20"/>
  <c r="D15" i="20" s="1"/>
  <c r="G18" i="22"/>
  <c r="K15" i="20"/>
  <c r="L15" i="20" s="1"/>
  <c r="C29" i="20"/>
  <c r="D29" i="20" s="1"/>
  <c r="G29" i="20" s="1"/>
  <c r="E44" i="22"/>
  <c r="O88" i="22"/>
  <c r="M88" i="22"/>
  <c r="M112" i="22"/>
  <c r="O112" i="22"/>
  <c r="E45" i="22"/>
  <c r="G45" i="22"/>
  <c r="G94" i="22"/>
  <c r="E94" i="22"/>
  <c r="G141" i="22"/>
  <c r="E141" i="22"/>
  <c r="M56" i="22"/>
  <c r="O56" i="22"/>
  <c r="O21" i="22"/>
  <c r="M21" i="22"/>
  <c r="O37" i="22"/>
  <c r="M37" i="22"/>
  <c r="O63" i="22"/>
  <c r="M63" i="22"/>
  <c r="M54" i="22"/>
  <c r="O54" i="22"/>
  <c r="O18" i="22"/>
  <c r="M18" i="22"/>
  <c r="O34" i="22"/>
  <c r="M34" i="22"/>
  <c r="O50" i="22"/>
  <c r="M50" i="22"/>
  <c r="M106" i="22"/>
  <c r="O106" i="22"/>
  <c r="M108" i="22"/>
  <c r="O108" i="22"/>
  <c r="M81" i="22"/>
  <c r="O81" i="22"/>
  <c r="M110" i="22"/>
  <c r="O110" i="22"/>
  <c r="M114" i="22"/>
  <c r="O114" i="22"/>
  <c r="M121" i="22"/>
  <c r="O121" i="22"/>
  <c r="O137" i="22"/>
  <c r="M137" i="22"/>
  <c r="M134" i="22"/>
  <c r="O134" i="22"/>
  <c r="G34" i="22"/>
  <c r="E34" i="22"/>
  <c r="G75" i="22"/>
  <c r="E75" i="22"/>
  <c r="E31" i="22"/>
  <c r="G31" i="22"/>
  <c r="E47" i="22"/>
  <c r="G47" i="22"/>
  <c r="G67" i="22"/>
  <c r="E67" i="22"/>
  <c r="G64" i="22"/>
  <c r="E64" i="22"/>
  <c r="E80" i="22"/>
  <c r="G80" i="22"/>
  <c r="G81" i="22"/>
  <c r="E81" i="22"/>
  <c r="G151" i="22"/>
  <c r="E151" i="22"/>
  <c r="G111" i="22"/>
  <c r="E111" i="22"/>
  <c r="G127" i="22"/>
  <c r="E127" i="22"/>
  <c r="G143" i="22"/>
  <c r="E143" i="22"/>
  <c r="G98" i="22"/>
  <c r="E98" i="22"/>
  <c r="G114" i="22"/>
  <c r="E114" i="22"/>
  <c r="G130" i="22"/>
  <c r="E130" i="22"/>
  <c r="G146" i="22"/>
  <c r="E146" i="22"/>
  <c r="G61" i="22"/>
  <c r="E61" i="22"/>
  <c r="O32" i="22"/>
  <c r="M32" i="22"/>
  <c r="M119" i="22"/>
  <c r="O119" i="22"/>
  <c r="E78" i="22"/>
  <c r="G78" i="22"/>
  <c r="O90" i="22"/>
  <c r="M90" i="22"/>
  <c r="O69" i="22"/>
  <c r="M69" i="22"/>
  <c r="O23" i="22"/>
  <c r="M23" i="22"/>
  <c r="O39" i="22"/>
  <c r="M39" i="22"/>
  <c r="M66" i="22"/>
  <c r="O66" i="22"/>
  <c r="M67" i="22"/>
  <c r="O67" i="22"/>
  <c r="O20" i="22"/>
  <c r="M20" i="22"/>
  <c r="O36" i="22"/>
  <c r="M36" i="22"/>
  <c r="O52" i="22"/>
  <c r="M52" i="22"/>
  <c r="M126" i="22"/>
  <c r="O126" i="22"/>
  <c r="M122" i="22"/>
  <c r="O122" i="22"/>
  <c r="M83" i="22"/>
  <c r="O83" i="22"/>
  <c r="M118" i="22"/>
  <c r="O118" i="22"/>
  <c r="M97" i="22"/>
  <c r="O97" i="22"/>
  <c r="M123" i="22"/>
  <c r="O123" i="22"/>
  <c r="O139" i="22"/>
  <c r="M139" i="22"/>
  <c r="M136" i="22"/>
  <c r="O136" i="22"/>
  <c r="G30" i="22"/>
  <c r="E30" i="22"/>
  <c r="E17" i="22"/>
  <c r="G17" i="22"/>
  <c r="E33" i="22"/>
  <c r="G33" i="22"/>
  <c r="E49" i="22"/>
  <c r="G49" i="22"/>
  <c r="G77" i="22"/>
  <c r="E77" i="22"/>
  <c r="E66" i="22"/>
  <c r="G66" i="22"/>
  <c r="G82" i="22"/>
  <c r="E82" i="22"/>
  <c r="G83" i="22"/>
  <c r="E83" i="22"/>
  <c r="G97" i="22"/>
  <c r="E97" i="22"/>
  <c r="G113" i="22"/>
  <c r="E113" i="22"/>
  <c r="G129" i="22"/>
  <c r="E129" i="22"/>
  <c r="G145" i="22"/>
  <c r="E145" i="22"/>
  <c r="G100" i="22"/>
  <c r="E100" i="22"/>
  <c r="G116" i="22"/>
  <c r="E116" i="22"/>
  <c r="G132" i="22"/>
  <c r="E132" i="22"/>
  <c r="G148" i="22"/>
  <c r="E148" i="22"/>
  <c r="G48" i="22"/>
  <c r="E48" i="22"/>
  <c r="O35" i="22"/>
  <c r="M35" i="22"/>
  <c r="M100" i="22"/>
  <c r="O100" i="22"/>
  <c r="G50" i="22"/>
  <c r="E50" i="22"/>
  <c r="G125" i="22"/>
  <c r="E125" i="22"/>
  <c r="O16" i="22"/>
  <c r="M16" i="22"/>
  <c r="M72" i="22"/>
  <c r="O72" i="22"/>
  <c r="O25" i="22"/>
  <c r="M25" i="22"/>
  <c r="O41" i="22"/>
  <c r="M41" i="22"/>
  <c r="O86" i="22"/>
  <c r="M86" i="22"/>
  <c r="M70" i="22"/>
  <c r="O70" i="22"/>
  <c r="O22" i="22"/>
  <c r="M22" i="22"/>
  <c r="O38" i="22"/>
  <c r="M38" i="22"/>
  <c r="O55" i="22"/>
  <c r="M55" i="22"/>
  <c r="O65" i="22"/>
  <c r="M65" i="22"/>
  <c r="O95" i="22"/>
  <c r="M95" i="22"/>
  <c r="M85" i="22"/>
  <c r="O85" i="22"/>
  <c r="M103" i="22"/>
  <c r="O103" i="22"/>
  <c r="M105" i="22"/>
  <c r="O105" i="22"/>
  <c r="M125" i="22"/>
  <c r="O125" i="22"/>
  <c r="O141" i="22"/>
  <c r="M141" i="22"/>
  <c r="M138" i="22"/>
  <c r="O138" i="22"/>
  <c r="G26" i="22"/>
  <c r="E26" i="22"/>
  <c r="E19" i="22"/>
  <c r="G19" i="22"/>
  <c r="E35" i="22"/>
  <c r="G35" i="22"/>
  <c r="E51" i="22"/>
  <c r="G51" i="22"/>
  <c r="G79" i="22"/>
  <c r="E79" i="22"/>
  <c r="G68" i="22"/>
  <c r="E68" i="22"/>
  <c r="G84" i="22"/>
  <c r="E84" i="22"/>
  <c r="G85" i="22"/>
  <c r="E85" i="22"/>
  <c r="G99" i="22"/>
  <c r="E99" i="22"/>
  <c r="G115" i="22"/>
  <c r="E115" i="22"/>
  <c r="G131" i="22"/>
  <c r="E131" i="22"/>
  <c r="G147" i="22"/>
  <c r="E147" i="22"/>
  <c r="G102" i="22"/>
  <c r="E102" i="22"/>
  <c r="G118" i="22"/>
  <c r="E118" i="22"/>
  <c r="G134" i="22"/>
  <c r="E134" i="22"/>
  <c r="G152" i="22"/>
  <c r="E152" i="22"/>
  <c r="G15" i="22"/>
  <c r="E15" i="22"/>
  <c r="O75" i="22"/>
  <c r="M75" i="22"/>
  <c r="O19" i="22"/>
  <c r="M19" i="22"/>
  <c r="O48" i="22"/>
  <c r="M48" i="22"/>
  <c r="O135" i="22"/>
  <c r="M135" i="22"/>
  <c r="G73" i="22"/>
  <c r="E73" i="22"/>
  <c r="G112" i="22"/>
  <c r="E112" i="22"/>
  <c r="O82" i="22"/>
  <c r="M82" i="22"/>
  <c r="O27" i="22"/>
  <c r="M27" i="22"/>
  <c r="O43" i="22"/>
  <c r="M43" i="22"/>
  <c r="O57" i="22"/>
  <c r="M57" i="22"/>
  <c r="O78" i="22"/>
  <c r="M78" i="22"/>
  <c r="O24" i="22"/>
  <c r="M24" i="22"/>
  <c r="O40" i="22"/>
  <c r="M40" i="22"/>
  <c r="M58" i="22"/>
  <c r="O58" i="22"/>
  <c r="M68" i="22"/>
  <c r="O68" i="22"/>
  <c r="M101" i="22"/>
  <c r="O101" i="22"/>
  <c r="M87" i="22"/>
  <c r="O87" i="22"/>
  <c r="M111" i="22"/>
  <c r="O111" i="22"/>
  <c r="M128" i="22"/>
  <c r="O128" i="22"/>
  <c r="M127" i="22"/>
  <c r="O127" i="22"/>
  <c r="O143" i="22"/>
  <c r="M143" i="22"/>
  <c r="M140" i="22"/>
  <c r="O140" i="22"/>
  <c r="G16" i="22"/>
  <c r="E16" i="22"/>
  <c r="E21" i="22"/>
  <c r="G21" i="22"/>
  <c r="E37" i="22"/>
  <c r="G37" i="22"/>
  <c r="G53" i="22"/>
  <c r="E53" i="22"/>
  <c r="G54" i="22"/>
  <c r="E54" i="22"/>
  <c r="G70" i="22"/>
  <c r="E70" i="22"/>
  <c r="G86" i="22"/>
  <c r="E86" i="22"/>
  <c r="G87" i="22"/>
  <c r="E87" i="22"/>
  <c r="G101" i="22"/>
  <c r="E101" i="22"/>
  <c r="G117" i="22"/>
  <c r="E117" i="22"/>
  <c r="G133" i="22"/>
  <c r="E133" i="22"/>
  <c r="G150" i="22"/>
  <c r="E150" i="22"/>
  <c r="G104" i="22"/>
  <c r="E104" i="22"/>
  <c r="G120" i="22"/>
  <c r="E120" i="22"/>
  <c r="G136" i="22"/>
  <c r="E136" i="22"/>
  <c r="M62" i="22"/>
  <c r="O62" i="22"/>
  <c r="G52" i="22"/>
  <c r="E52" i="22"/>
  <c r="O92" i="22"/>
  <c r="M92" i="22"/>
  <c r="M102" i="22"/>
  <c r="O102" i="22"/>
  <c r="E29" i="22"/>
  <c r="G29" i="22"/>
  <c r="G95" i="22"/>
  <c r="E95" i="22"/>
  <c r="G128" i="22"/>
  <c r="E128" i="22"/>
  <c r="M98" i="22"/>
  <c r="O98" i="22"/>
  <c r="O29" i="22"/>
  <c r="M29" i="22"/>
  <c r="O45" i="22"/>
  <c r="M45" i="22"/>
  <c r="M60" i="22"/>
  <c r="O60" i="22"/>
  <c r="O80" i="22"/>
  <c r="M80" i="22"/>
  <c r="O26" i="22"/>
  <c r="M26" i="22"/>
  <c r="O42" i="22"/>
  <c r="M42" i="22"/>
  <c r="O71" i="22"/>
  <c r="M71" i="22"/>
  <c r="M99" i="22"/>
  <c r="O99" i="22"/>
  <c r="M109" i="22"/>
  <c r="O109" i="22"/>
  <c r="M89" i="22"/>
  <c r="O89" i="22"/>
  <c r="M116" i="22"/>
  <c r="O116" i="22"/>
  <c r="M113" i="22"/>
  <c r="O113" i="22"/>
  <c r="O129" i="22"/>
  <c r="M129" i="22"/>
  <c r="O145" i="22"/>
  <c r="M145" i="22"/>
  <c r="M142" i="22"/>
  <c r="O142" i="22"/>
  <c r="G55" i="22"/>
  <c r="E55" i="22"/>
  <c r="E23" i="22"/>
  <c r="G23" i="22"/>
  <c r="E39" i="22"/>
  <c r="G39" i="22"/>
  <c r="G69" i="22"/>
  <c r="E69" i="22"/>
  <c r="G56" i="22"/>
  <c r="E56" i="22"/>
  <c r="G72" i="22"/>
  <c r="E72" i="22"/>
  <c r="G88" i="22"/>
  <c r="E88" i="22"/>
  <c r="G89" i="22"/>
  <c r="E89" i="22"/>
  <c r="G103" i="22"/>
  <c r="E103" i="22"/>
  <c r="G119" i="22"/>
  <c r="E119" i="22"/>
  <c r="G135" i="22"/>
  <c r="E135" i="22"/>
  <c r="G154" i="22"/>
  <c r="E154" i="22"/>
  <c r="G106" i="22"/>
  <c r="E106" i="22"/>
  <c r="G122" i="22"/>
  <c r="E122" i="22"/>
  <c r="G138" i="22"/>
  <c r="E138" i="22"/>
  <c r="G42" i="22"/>
  <c r="E42" i="22"/>
  <c r="G36" i="22"/>
  <c r="E36" i="22"/>
  <c r="O53" i="22"/>
  <c r="M53" i="22"/>
  <c r="O94" i="22"/>
  <c r="M94" i="22"/>
  <c r="M132" i="22"/>
  <c r="O132" i="22"/>
  <c r="G62" i="22"/>
  <c r="E62" i="22"/>
  <c r="G96" i="22"/>
  <c r="E96" i="22"/>
  <c r="O15" i="22"/>
  <c r="M15" i="22"/>
  <c r="O31" i="22"/>
  <c r="M31" i="22"/>
  <c r="O47" i="22"/>
  <c r="M47" i="22"/>
  <c r="O73" i="22"/>
  <c r="M73" i="22"/>
  <c r="M61" i="22"/>
  <c r="O61" i="22"/>
  <c r="O28" i="22"/>
  <c r="M28" i="22"/>
  <c r="O44" i="22"/>
  <c r="M44" i="22"/>
  <c r="M74" i="22"/>
  <c r="O74" i="22"/>
  <c r="M107" i="22"/>
  <c r="O107" i="22"/>
  <c r="M120" i="22"/>
  <c r="O120" i="22"/>
  <c r="M91" i="22"/>
  <c r="O91" i="22"/>
  <c r="M96" i="22"/>
  <c r="O96" i="22"/>
  <c r="M115" i="22"/>
  <c r="O115" i="22"/>
  <c r="O131" i="22"/>
  <c r="M131" i="22"/>
  <c r="O147" i="22"/>
  <c r="M147" i="22"/>
  <c r="M144" i="22"/>
  <c r="O144" i="22"/>
  <c r="G71" i="22"/>
  <c r="E71" i="22"/>
  <c r="E25" i="22"/>
  <c r="G25" i="22"/>
  <c r="E41" i="22"/>
  <c r="G41" i="22"/>
  <c r="G63" i="22"/>
  <c r="E63" i="22"/>
  <c r="G58" i="22"/>
  <c r="E58" i="22"/>
  <c r="G74" i="22"/>
  <c r="E74" i="22"/>
  <c r="G90" i="22"/>
  <c r="E90" i="22"/>
  <c r="G91" i="22"/>
  <c r="E91" i="22"/>
  <c r="G105" i="22"/>
  <c r="E105" i="22"/>
  <c r="G121" i="22"/>
  <c r="E121" i="22"/>
  <c r="G137" i="22"/>
  <c r="E137" i="22"/>
  <c r="E149" i="22"/>
  <c r="G149" i="22"/>
  <c r="G108" i="22"/>
  <c r="E108" i="22"/>
  <c r="G124" i="22"/>
  <c r="E124" i="22"/>
  <c r="G140" i="22"/>
  <c r="E140" i="22"/>
  <c r="O59" i="22"/>
  <c r="M59" i="22"/>
  <c r="G32" i="22"/>
  <c r="E32" i="22"/>
  <c r="G24" i="22"/>
  <c r="E24" i="22"/>
  <c r="O51" i="22"/>
  <c r="M51" i="22"/>
  <c r="O79" i="22"/>
  <c r="M79" i="22"/>
  <c r="G59" i="22"/>
  <c r="E59" i="22"/>
  <c r="G109" i="22"/>
  <c r="E109" i="22"/>
  <c r="G144" i="22"/>
  <c r="E144" i="22"/>
  <c r="G40" i="22"/>
  <c r="E40" i="22"/>
  <c r="M17" i="22"/>
  <c r="O17" i="22"/>
  <c r="O33" i="22"/>
  <c r="M33" i="22"/>
  <c r="O49" i="22"/>
  <c r="M49" i="22"/>
  <c r="M76" i="22"/>
  <c r="O76" i="22"/>
  <c r="M64" i="22"/>
  <c r="O64" i="22"/>
  <c r="O30" i="22"/>
  <c r="M30" i="22"/>
  <c r="O46" i="22"/>
  <c r="M46" i="22"/>
  <c r="O84" i="22"/>
  <c r="M84" i="22"/>
  <c r="M124" i="22"/>
  <c r="O124" i="22"/>
  <c r="O77" i="22"/>
  <c r="M77" i="22"/>
  <c r="M93" i="22"/>
  <c r="O93" i="22"/>
  <c r="M104" i="22"/>
  <c r="O104" i="22"/>
  <c r="M117" i="22"/>
  <c r="O117" i="22"/>
  <c r="O133" i="22"/>
  <c r="M133" i="22"/>
  <c r="M130" i="22"/>
  <c r="O130" i="22"/>
  <c r="M146" i="22"/>
  <c r="O146" i="22"/>
  <c r="G65" i="22"/>
  <c r="E65" i="22"/>
  <c r="E27" i="22"/>
  <c r="G27" i="22"/>
  <c r="E43" i="22"/>
  <c r="G43" i="22"/>
  <c r="G57" i="22"/>
  <c r="E57" i="22"/>
  <c r="E60" i="22"/>
  <c r="G60" i="22"/>
  <c r="E76" i="22"/>
  <c r="G76" i="22"/>
  <c r="G92" i="22"/>
  <c r="E92" i="22"/>
  <c r="G93" i="22"/>
  <c r="E93" i="22"/>
  <c r="G107" i="22"/>
  <c r="E107" i="22"/>
  <c r="G123" i="22"/>
  <c r="E123" i="22"/>
  <c r="G139" i="22"/>
  <c r="E139" i="22"/>
  <c r="E153" i="22"/>
  <c r="G153" i="22"/>
  <c r="G110" i="22"/>
  <c r="E110" i="22"/>
  <c r="G126" i="22"/>
  <c r="E126" i="22"/>
  <c r="G142" i="22"/>
  <c r="E142" i="22"/>
  <c r="G22" i="22"/>
  <c r="E22" i="22"/>
  <c r="G28" i="22"/>
  <c r="E28" i="22"/>
  <c r="E14" i="22"/>
  <c r="G14" i="22"/>
  <c r="O19" i="20"/>
  <c r="M19" i="20"/>
  <c r="O15" i="20"/>
  <c r="M15" i="20"/>
  <c r="M17" i="20"/>
  <c r="C31" i="20"/>
  <c r="D31" i="20" s="1"/>
  <c r="G31" i="20" s="1"/>
  <c r="C74" i="20"/>
  <c r="D74" i="20" s="1"/>
  <c r="E74" i="20" s="1"/>
  <c r="C17" i="20"/>
  <c r="D17" i="20" s="1"/>
  <c r="C21" i="20"/>
  <c r="D21" i="20" s="1"/>
  <c r="E21" i="20" s="1"/>
  <c r="C55" i="20"/>
  <c r="D55" i="20" s="1"/>
  <c r="C23" i="20"/>
  <c r="D23" i="20" s="1"/>
  <c r="G23" i="20" s="1"/>
  <c r="C113" i="20"/>
  <c r="D113" i="20" s="1"/>
  <c r="G15" i="20"/>
  <c r="E15" i="20"/>
  <c r="E95" i="20"/>
  <c r="G95" i="20"/>
  <c r="E31" i="20"/>
  <c r="O76" i="20"/>
  <c r="M76" i="20"/>
  <c r="E39" i="20"/>
  <c r="G39" i="20"/>
  <c r="G21" i="20"/>
  <c r="E55" i="20"/>
  <c r="G55" i="20"/>
  <c r="G19" i="20"/>
  <c r="E19" i="20"/>
  <c r="E47" i="20"/>
  <c r="G47" i="20"/>
  <c r="G17" i="20"/>
  <c r="E17" i="20"/>
  <c r="G25" i="20"/>
  <c r="E25" i="20"/>
  <c r="G27" i="20"/>
  <c r="E27" i="20"/>
  <c r="C34" i="20"/>
  <c r="D34" i="20" s="1"/>
  <c r="C40" i="20"/>
  <c r="D40" i="20" s="1"/>
  <c r="C48" i="20"/>
  <c r="D48" i="20" s="1"/>
  <c r="C63" i="20"/>
  <c r="D63" i="20" s="1"/>
  <c r="C153" i="20"/>
  <c r="D153" i="20" s="1"/>
  <c r="C149" i="20"/>
  <c r="D149" i="20" s="1"/>
  <c r="C139" i="20"/>
  <c r="D139" i="20" s="1"/>
  <c r="C136" i="20"/>
  <c r="D136" i="20" s="1"/>
  <c r="C123" i="20"/>
  <c r="D123" i="20" s="1"/>
  <c r="C120" i="20"/>
  <c r="D120" i="20" s="1"/>
  <c r="C107" i="20"/>
  <c r="D107" i="20" s="1"/>
  <c r="C104" i="20"/>
  <c r="D104" i="20" s="1"/>
  <c r="C145" i="20"/>
  <c r="D145" i="20" s="1"/>
  <c r="C142" i="20"/>
  <c r="D142" i="20" s="1"/>
  <c r="C129" i="20"/>
  <c r="D129" i="20" s="1"/>
  <c r="C126" i="20"/>
  <c r="D126" i="20" s="1"/>
  <c r="C151" i="20"/>
  <c r="D151" i="20" s="1"/>
  <c r="C148" i="20"/>
  <c r="D148" i="20" s="1"/>
  <c r="C135" i="20"/>
  <c r="D135" i="20" s="1"/>
  <c r="C132" i="20"/>
  <c r="D132" i="20" s="1"/>
  <c r="C119" i="20"/>
  <c r="D119" i="20" s="1"/>
  <c r="C116" i="20"/>
  <c r="D116" i="20" s="1"/>
  <c r="C103" i="20"/>
  <c r="D103" i="20" s="1"/>
  <c r="C100" i="20"/>
  <c r="D100" i="20" s="1"/>
  <c r="C154" i="20"/>
  <c r="D154" i="20" s="1"/>
  <c r="C141" i="20"/>
  <c r="D141" i="20" s="1"/>
  <c r="C138" i="20"/>
  <c r="D138" i="20" s="1"/>
  <c r="C125" i="20"/>
  <c r="D125" i="20" s="1"/>
  <c r="C122" i="20"/>
  <c r="D122" i="20" s="1"/>
  <c r="C109" i="20"/>
  <c r="D109" i="20" s="1"/>
  <c r="C106" i="20"/>
  <c r="D106" i="20" s="1"/>
  <c r="C147" i="20"/>
  <c r="D147" i="20" s="1"/>
  <c r="C144" i="20"/>
  <c r="D144" i="20" s="1"/>
  <c r="C131" i="20"/>
  <c r="D131" i="20" s="1"/>
  <c r="C128" i="20"/>
  <c r="D128" i="20" s="1"/>
  <c r="C115" i="20"/>
  <c r="D115" i="20" s="1"/>
  <c r="C112" i="20"/>
  <c r="D112" i="20" s="1"/>
  <c r="C99" i="20"/>
  <c r="D99" i="20" s="1"/>
  <c r="C96" i="20"/>
  <c r="D96" i="20" s="1"/>
  <c r="C143" i="20"/>
  <c r="D143" i="20" s="1"/>
  <c r="C140" i="20"/>
  <c r="D140" i="20" s="1"/>
  <c r="C127" i="20"/>
  <c r="D127" i="20" s="1"/>
  <c r="C124" i="20"/>
  <c r="D124" i="20" s="1"/>
  <c r="C111" i="20"/>
  <c r="D111" i="20" s="1"/>
  <c r="C117" i="20"/>
  <c r="D117" i="20" s="1"/>
  <c r="C114" i="20"/>
  <c r="D114" i="20" s="1"/>
  <c r="C110" i="20"/>
  <c r="D110" i="20" s="1"/>
  <c r="C97" i="20"/>
  <c r="D97" i="20" s="1"/>
  <c r="C93" i="20"/>
  <c r="D93" i="20" s="1"/>
  <c r="C92" i="20"/>
  <c r="D92" i="20" s="1"/>
  <c r="C87" i="20"/>
  <c r="D87" i="20" s="1"/>
  <c r="C80" i="20"/>
  <c r="D80" i="20" s="1"/>
  <c r="C77" i="20"/>
  <c r="D77" i="20" s="1"/>
  <c r="C68" i="20"/>
  <c r="D68" i="20" s="1"/>
  <c r="C66" i="20"/>
  <c r="D66" i="20" s="1"/>
  <c r="C64" i="20"/>
  <c r="D64" i="20" s="1"/>
  <c r="C62" i="20"/>
  <c r="D62" i="20" s="1"/>
  <c r="C60" i="20"/>
  <c r="D60" i="20" s="1"/>
  <c r="C58" i="20"/>
  <c r="D58" i="20" s="1"/>
  <c r="C56" i="20"/>
  <c r="D56" i="20" s="1"/>
  <c r="C134" i="20"/>
  <c r="D134" i="20" s="1"/>
  <c r="C121" i="20"/>
  <c r="D121" i="20" s="1"/>
  <c r="C101" i="20"/>
  <c r="D101" i="20" s="1"/>
  <c r="C98" i="20"/>
  <c r="D98" i="20" s="1"/>
  <c r="C91" i="20"/>
  <c r="D91" i="20" s="1"/>
  <c r="C90" i="20"/>
  <c r="D90" i="20" s="1"/>
  <c r="C86" i="20"/>
  <c r="D86" i="20" s="1"/>
  <c r="C83" i="20"/>
  <c r="D83" i="20" s="1"/>
  <c r="C70" i="20"/>
  <c r="D70" i="20" s="1"/>
  <c r="C102" i="20"/>
  <c r="D102" i="20" s="1"/>
  <c r="C76" i="20"/>
  <c r="D76" i="20" s="1"/>
  <c r="C73" i="20"/>
  <c r="D73" i="20" s="1"/>
  <c r="C118" i="20"/>
  <c r="D118" i="20" s="1"/>
  <c r="C105" i="20"/>
  <c r="D105" i="20" s="1"/>
  <c r="C82" i="20"/>
  <c r="D82" i="20" s="1"/>
  <c r="C79" i="20"/>
  <c r="D79" i="20" s="1"/>
  <c r="C150" i="20"/>
  <c r="D150" i="20" s="1"/>
  <c r="C146" i="20"/>
  <c r="D146" i="20" s="1"/>
  <c r="C89" i="20"/>
  <c r="D89" i="20" s="1"/>
  <c r="C133" i="20"/>
  <c r="D133" i="20" s="1"/>
  <c r="C130" i="20"/>
  <c r="D130" i="20" s="1"/>
  <c r="C108" i="20"/>
  <c r="D108" i="20" s="1"/>
  <c r="C84" i="20"/>
  <c r="D84" i="20" s="1"/>
  <c r="C81" i="20"/>
  <c r="D81" i="20" s="1"/>
  <c r="K146" i="20"/>
  <c r="L146" i="20" s="1"/>
  <c r="K144" i="20"/>
  <c r="L144" i="20" s="1"/>
  <c r="K142" i="20"/>
  <c r="L142" i="20" s="1"/>
  <c r="K140" i="20"/>
  <c r="L140" i="20" s="1"/>
  <c r="K138" i="20"/>
  <c r="L138" i="20" s="1"/>
  <c r="K136" i="20"/>
  <c r="L136" i="20" s="1"/>
  <c r="K134" i="20"/>
  <c r="L134" i="20" s="1"/>
  <c r="K132" i="20"/>
  <c r="L132" i="20" s="1"/>
  <c r="K130" i="20"/>
  <c r="L130" i="20" s="1"/>
  <c r="K128" i="20"/>
  <c r="L128" i="20" s="1"/>
  <c r="K126" i="20"/>
  <c r="L126" i="20" s="1"/>
  <c r="K124" i="20"/>
  <c r="L124" i="20" s="1"/>
  <c r="K122" i="20"/>
  <c r="L122" i="20" s="1"/>
  <c r="K120" i="20"/>
  <c r="L120" i="20" s="1"/>
  <c r="K118" i="20"/>
  <c r="L118" i="20" s="1"/>
  <c r="K116" i="20"/>
  <c r="L116" i="20" s="1"/>
  <c r="K114" i="20"/>
  <c r="L114" i="20" s="1"/>
  <c r="K112" i="20"/>
  <c r="L112" i="20" s="1"/>
  <c r="K110" i="20"/>
  <c r="L110" i="20" s="1"/>
  <c r="K108" i="20"/>
  <c r="L108" i="20" s="1"/>
  <c r="K106" i="20"/>
  <c r="L106" i="20" s="1"/>
  <c r="K104" i="20"/>
  <c r="L104" i="20" s="1"/>
  <c r="K102" i="20"/>
  <c r="L102" i="20" s="1"/>
  <c r="K100" i="20"/>
  <c r="L100" i="20" s="1"/>
  <c r="K98" i="20"/>
  <c r="L98" i="20" s="1"/>
  <c r="K96" i="20"/>
  <c r="L96" i="20" s="1"/>
  <c r="K137" i="20"/>
  <c r="L137" i="20" s="1"/>
  <c r="K121" i="20"/>
  <c r="L121" i="20" s="1"/>
  <c r="K105" i="20"/>
  <c r="L105" i="20" s="1"/>
  <c r="K93" i="20"/>
  <c r="L93" i="20" s="1"/>
  <c r="K91" i="20"/>
  <c r="L91" i="20" s="1"/>
  <c r="K89" i="20"/>
  <c r="L89" i="20" s="1"/>
  <c r="K87" i="20"/>
  <c r="L87" i="20" s="1"/>
  <c r="K85" i="20"/>
  <c r="L85" i="20" s="1"/>
  <c r="K83" i="20"/>
  <c r="L83" i="20" s="1"/>
  <c r="K81" i="20"/>
  <c r="L81" i="20" s="1"/>
  <c r="K79" i="20"/>
  <c r="L79" i="20" s="1"/>
  <c r="K77" i="20"/>
  <c r="L77" i="20" s="1"/>
  <c r="K75" i="20"/>
  <c r="L75" i="20" s="1"/>
  <c r="K73" i="20"/>
  <c r="L73" i="20" s="1"/>
  <c r="K71" i="20"/>
  <c r="L71" i="20" s="1"/>
  <c r="K69" i="20"/>
  <c r="L69" i="20" s="1"/>
  <c r="K143" i="20"/>
  <c r="L143" i="20" s="1"/>
  <c r="K127" i="20"/>
  <c r="L127" i="20" s="1"/>
  <c r="K133" i="20"/>
  <c r="L133" i="20" s="1"/>
  <c r="K117" i="20"/>
  <c r="L117" i="20" s="1"/>
  <c r="K101" i="20"/>
  <c r="L101" i="20" s="1"/>
  <c r="K139" i="20"/>
  <c r="L139" i="20" s="1"/>
  <c r="K123" i="20"/>
  <c r="L123" i="20" s="1"/>
  <c r="K107" i="20"/>
  <c r="L107" i="20" s="1"/>
  <c r="K145" i="20"/>
  <c r="L145" i="20" s="1"/>
  <c r="K129" i="20"/>
  <c r="L129" i="20" s="1"/>
  <c r="K113" i="20"/>
  <c r="L113" i="20" s="1"/>
  <c r="K97" i="20"/>
  <c r="L97" i="20" s="1"/>
  <c r="K94" i="20"/>
  <c r="L94" i="20" s="1"/>
  <c r="K92" i="20"/>
  <c r="L92" i="20" s="1"/>
  <c r="K90" i="20"/>
  <c r="L90" i="20" s="1"/>
  <c r="K141" i="20"/>
  <c r="L141" i="20" s="1"/>
  <c r="K125" i="20"/>
  <c r="L125" i="20" s="1"/>
  <c r="K135" i="20"/>
  <c r="L135" i="20" s="1"/>
  <c r="K115" i="20"/>
  <c r="L115" i="20" s="1"/>
  <c r="K88" i="20"/>
  <c r="L88" i="20" s="1"/>
  <c r="K78" i="20"/>
  <c r="L78" i="20" s="1"/>
  <c r="K84" i="20"/>
  <c r="L84" i="20" s="1"/>
  <c r="K119" i="20"/>
  <c r="L119" i="20" s="1"/>
  <c r="K74" i="20"/>
  <c r="L74" i="20" s="1"/>
  <c r="K68" i="20"/>
  <c r="L68" i="20" s="1"/>
  <c r="K66" i="20"/>
  <c r="L66" i="20" s="1"/>
  <c r="K64" i="20"/>
  <c r="L64" i="20" s="1"/>
  <c r="K62" i="20"/>
  <c r="L62" i="20" s="1"/>
  <c r="K60" i="20"/>
  <c r="L60" i="20" s="1"/>
  <c r="K58" i="20"/>
  <c r="L58" i="20" s="1"/>
  <c r="K56" i="20"/>
  <c r="L56" i="20" s="1"/>
  <c r="K54" i="20"/>
  <c r="L54" i="20" s="1"/>
  <c r="K52" i="20"/>
  <c r="L52" i="20" s="1"/>
  <c r="K50" i="20"/>
  <c r="L50" i="20" s="1"/>
  <c r="K48" i="20"/>
  <c r="L48" i="20" s="1"/>
  <c r="K46" i="20"/>
  <c r="L46" i="20" s="1"/>
  <c r="K44" i="20"/>
  <c r="L44" i="20" s="1"/>
  <c r="K42" i="20"/>
  <c r="L42" i="20" s="1"/>
  <c r="K40" i="20"/>
  <c r="L40" i="20" s="1"/>
  <c r="K38" i="20"/>
  <c r="L38" i="20" s="1"/>
  <c r="K36" i="20"/>
  <c r="L36" i="20" s="1"/>
  <c r="K34" i="20"/>
  <c r="L34" i="20" s="1"/>
  <c r="K32" i="20"/>
  <c r="L32" i="20" s="1"/>
  <c r="K95" i="20"/>
  <c r="L95" i="20" s="1"/>
  <c r="K80" i="20"/>
  <c r="L80" i="20" s="1"/>
  <c r="K147" i="20"/>
  <c r="L147" i="20" s="1"/>
  <c r="K109" i="20"/>
  <c r="L109" i="20" s="1"/>
  <c r="K131" i="20"/>
  <c r="L131" i="20" s="1"/>
  <c r="K111" i="20"/>
  <c r="L111" i="20" s="1"/>
  <c r="K103" i="20"/>
  <c r="L103" i="20" s="1"/>
  <c r="K82" i="20"/>
  <c r="L82" i="20" s="1"/>
  <c r="K67" i="20"/>
  <c r="L67" i="20" s="1"/>
  <c r="K65" i="20"/>
  <c r="L65" i="20" s="1"/>
  <c r="K63" i="20"/>
  <c r="L63" i="20" s="1"/>
  <c r="K61" i="20"/>
  <c r="L61" i="20" s="1"/>
  <c r="K59" i="20"/>
  <c r="L59" i="20" s="1"/>
  <c r="K57" i="20"/>
  <c r="L57" i="20" s="1"/>
  <c r="K55" i="20"/>
  <c r="L55" i="20" s="1"/>
  <c r="K53" i="20"/>
  <c r="L53" i="20" s="1"/>
  <c r="K51" i="20"/>
  <c r="L51" i="20" s="1"/>
  <c r="K49" i="20"/>
  <c r="L49" i="20" s="1"/>
  <c r="K47" i="20"/>
  <c r="L47" i="20" s="1"/>
  <c r="K45" i="20"/>
  <c r="L45" i="20" s="1"/>
  <c r="K43" i="20"/>
  <c r="L43" i="20" s="1"/>
  <c r="K41" i="20"/>
  <c r="L41" i="20" s="1"/>
  <c r="K39" i="20"/>
  <c r="L39" i="20" s="1"/>
  <c r="K37" i="20"/>
  <c r="L37" i="20" s="1"/>
  <c r="K35" i="20"/>
  <c r="L35" i="20" s="1"/>
  <c r="K14" i="20"/>
  <c r="L14" i="20" s="1"/>
  <c r="K16" i="20"/>
  <c r="L16" i="20" s="1"/>
  <c r="K18" i="20"/>
  <c r="L18" i="20" s="1"/>
  <c r="K20" i="20"/>
  <c r="L20" i="20" s="1"/>
  <c r="K22" i="20"/>
  <c r="L22" i="20" s="1"/>
  <c r="K24" i="20"/>
  <c r="L24" i="20" s="1"/>
  <c r="K26" i="20"/>
  <c r="L26" i="20" s="1"/>
  <c r="K28" i="20"/>
  <c r="L28" i="20" s="1"/>
  <c r="K30" i="20"/>
  <c r="L30" i="20" s="1"/>
  <c r="C41" i="20"/>
  <c r="D41" i="20" s="1"/>
  <c r="C49" i="20"/>
  <c r="D49" i="20" s="1"/>
  <c r="G74" i="20"/>
  <c r="C85" i="20"/>
  <c r="D85" i="20" s="1"/>
  <c r="K86" i="20"/>
  <c r="L86" i="20" s="1"/>
  <c r="C152" i="20"/>
  <c r="D152" i="20" s="1"/>
  <c r="C42" i="20"/>
  <c r="D42" i="20" s="1"/>
  <c r="C61" i="20"/>
  <c r="D61" i="20" s="1"/>
  <c r="C69" i="20"/>
  <c r="D69" i="20" s="1"/>
  <c r="K70" i="20"/>
  <c r="L70" i="20" s="1"/>
  <c r="C137" i="20"/>
  <c r="D137" i="20" s="1"/>
  <c r="C50" i="20"/>
  <c r="D50" i="20" s="1"/>
  <c r="C14" i="20"/>
  <c r="D14" i="20" s="1"/>
  <c r="C16" i="20"/>
  <c r="D16" i="20" s="1"/>
  <c r="C18" i="20"/>
  <c r="D18" i="20" s="1"/>
  <c r="C20" i="20"/>
  <c r="D20" i="20" s="1"/>
  <c r="C22" i="20"/>
  <c r="D22" i="20" s="1"/>
  <c r="C24" i="20"/>
  <c r="D24" i="20" s="1"/>
  <c r="C26" i="20"/>
  <c r="D26" i="20" s="1"/>
  <c r="C28" i="20"/>
  <c r="D28" i="20" s="1"/>
  <c r="C30" i="20"/>
  <c r="D30" i="20" s="1"/>
  <c r="C32" i="20"/>
  <c r="D32" i="20" s="1"/>
  <c r="K33" i="20"/>
  <c r="L33" i="20" s="1"/>
  <c r="C35" i="20"/>
  <c r="D35" i="20" s="1"/>
  <c r="C43" i="20"/>
  <c r="D43" i="20" s="1"/>
  <c r="C51" i="20"/>
  <c r="D51" i="20" s="1"/>
  <c r="C72" i="20"/>
  <c r="D72" i="20" s="1"/>
  <c r="C78" i="20"/>
  <c r="D78" i="20" s="1"/>
  <c r="C88" i="20"/>
  <c r="D88" i="20" s="1"/>
  <c r="C94" i="20"/>
  <c r="D94" i="20" s="1"/>
  <c r="C36" i="20"/>
  <c r="D36" i="20" s="1"/>
  <c r="C44" i="20"/>
  <c r="D44" i="20" s="1"/>
  <c r="C52" i="20"/>
  <c r="D52" i="20" s="1"/>
  <c r="C59" i="20"/>
  <c r="D59" i="20" s="1"/>
  <c r="C67" i="20"/>
  <c r="D67" i="20" s="1"/>
  <c r="E113" i="20"/>
  <c r="G113" i="20"/>
  <c r="K21" i="20"/>
  <c r="L21" i="20" s="1"/>
  <c r="K23" i="20"/>
  <c r="L23" i="20" s="1"/>
  <c r="K25" i="20"/>
  <c r="L25" i="20" s="1"/>
  <c r="K27" i="20"/>
  <c r="L27" i="20" s="1"/>
  <c r="K29" i="20"/>
  <c r="L29" i="20" s="1"/>
  <c r="K31" i="20"/>
  <c r="L31" i="20" s="1"/>
  <c r="C37" i="20"/>
  <c r="D37" i="20" s="1"/>
  <c r="C45" i="20"/>
  <c r="D45" i="20" s="1"/>
  <c r="C53" i="20"/>
  <c r="D53" i="20" s="1"/>
  <c r="C71" i="20"/>
  <c r="D71" i="20" s="1"/>
  <c r="C75" i="20"/>
  <c r="D75" i="20" s="1"/>
  <c r="C33" i="20"/>
  <c r="D33" i="20" s="1"/>
  <c r="C38" i="20"/>
  <c r="D38" i="20" s="1"/>
  <c r="C46" i="20"/>
  <c r="D46" i="20" s="1"/>
  <c r="C54" i="20"/>
  <c r="D54" i="20" s="1"/>
  <c r="C57" i="20"/>
  <c r="D57" i="20" s="1"/>
  <c r="C65" i="20"/>
  <c r="D65" i="20" s="1"/>
  <c r="K72" i="20"/>
  <c r="L72" i="20" s="1"/>
  <c r="K99" i="20"/>
  <c r="L99" i="20" s="1"/>
  <c r="S4" i="3"/>
  <c r="R4" i="3"/>
  <c r="Q4" i="3"/>
  <c r="P4" i="3"/>
  <c r="O4" i="3"/>
  <c r="N4" i="3"/>
  <c r="M4" i="3"/>
  <c r="L4" i="3"/>
  <c r="K4" i="3"/>
  <c r="I4" i="3"/>
  <c r="J4" i="3" s="1"/>
  <c r="S6" i="3"/>
  <c r="R6" i="3"/>
  <c r="Q6" i="3"/>
  <c r="P6" i="3"/>
  <c r="O6" i="3"/>
  <c r="N6" i="3"/>
  <c r="J6" i="3"/>
  <c r="I6" i="3" s="1"/>
  <c r="K6" i="3"/>
  <c r="M6" i="3"/>
  <c r="L6" i="3"/>
  <c r="B45" i="4"/>
  <c r="B44" i="4"/>
  <c r="B43" i="4"/>
  <c r="B42" i="4"/>
  <c r="E29" i="20" l="1"/>
  <c r="E23" i="20"/>
  <c r="E22" i="20"/>
  <c r="G22" i="20"/>
  <c r="O42" i="20"/>
  <c r="M42" i="20"/>
  <c r="O89" i="20"/>
  <c r="M89" i="20"/>
  <c r="G81" i="20"/>
  <c r="E81" i="20"/>
  <c r="E111" i="20"/>
  <c r="G111" i="20"/>
  <c r="E115" i="20"/>
  <c r="G115" i="20"/>
  <c r="E132" i="20"/>
  <c r="G132" i="20"/>
  <c r="G104" i="20"/>
  <c r="E104" i="20"/>
  <c r="G63" i="20"/>
  <c r="E63" i="20"/>
  <c r="O99" i="20"/>
  <c r="M99" i="20"/>
  <c r="G75" i="20"/>
  <c r="E75" i="20"/>
  <c r="O25" i="20"/>
  <c r="M25" i="20"/>
  <c r="E44" i="20"/>
  <c r="G44" i="20"/>
  <c r="E35" i="20"/>
  <c r="G35" i="20"/>
  <c r="E20" i="20"/>
  <c r="G20" i="20"/>
  <c r="G61" i="20"/>
  <c r="E61" i="20"/>
  <c r="O30" i="20"/>
  <c r="M30" i="20"/>
  <c r="O14" i="20"/>
  <c r="M14" i="20"/>
  <c r="O49" i="20"/>
  <c r="M49" i="20"/>
  <c r="O65" i="20"/>
  <c r="M65" i="20"/>
  <c r="O80" i="20"/>
  <c r="M80" i="20"/>
  <c r="O44" i="20"/>
  <c r="M44" i="20"/>
  <c r="M60" i="20"/>
  <c r="O60" i="20"/>
  <c r="O78" i="20"/>
  <c r="M78" i="20"/>
  <c r="O94" i="20"/>
  <c r="M94" i="20"/>
  <c r="O101" i="20"/>
  <c r="M101" i="20"/>
  <c r="M75" i="20"/>
  <c r="O75" i="20"/>
  <c r="O91" i="20"/>
  <c r="M91" i="20"/>
  <c r="O102" i="20"/>
  <c r="M102" i="20"/>
  <c r="O118" i="20"/>
  <c r="M118" i="20"/>
  <c r="O134" i="20"/>
  <c r="M134" i="20"/>
  <c r="E84" i="20"/>
  <c r="G84" i="20"/>
  <c r="E82" i="20"/>
  <c r="G82" i="20"/>
  <c r="E86" i="20"/>
  <c r="G86" i="20"/>
  <c r="E58" i="20"/>
  <c r="G58" i="20"/>
  <c r="E87" i="20"/>
  <c r="G87" i="20"/>
  <c r="G124" i="20"/>
  <c r="E124" i="20"/>
  <c r="G128" i="20"/>
  <c r="E128" i="20"/>
  <c r="E138" i="20"/>
  <c r="G138" i="20"/>
  <c r="E135" i="20"/>
  <c r="G135" i="20"/>
  <c r="E107" i="20"/>
  <c r="G107" i="20"/>
  <c r="E48" i="20"/>
  <c r="G48" i="20"/>
  <c r="E41" i="20"/>
  <c r="G41" i="20"/>
  <c r="M58" i="20"/>
  <c r="O58" i="20"/>
  <c r="O116" i="20"/>
  <c r="M116" i="20"/>
  <c r="E80" i="20"/>
  <c r="G80" i="20"/>
  <c r="E125" i="20"/>
  <c r="G125" i="20"/>
  <c r="O72" i="20"/>
  <c r="M72" i="20"/>
  <c r="G71" i="20"/>
  <c r="E71" i="20"/>
  <c r="M23" i="20"/>
  <c r="O23" i="20"/>
  <c r="E36" i="20"/>
  <c r="G36" i="20"/>
  <c r="O33" i="20"/>
  <c r="M33" i="20"/>
  <c r="E18" i="20"/>
  <c r="G18" i="20"/>
  <c r="E42" i="20"/>
  <c r="G42" i="20"/>
  <c r="O28" i="20"/>
  <c r="M28" i="20"/>
  <c r="O35" i="20"/>
  <c r="M35" i="20"/>
  <c r="O51" i="20"/>
  <c r="M51" i="20"/>
  <c r="O67" i="20"/>
  <c r="M67" i="20"/>
  <c r="O95" i="20"/>
  <c r="M95" i="20"/>
  <c r="O46" i="20"/>
  <c r="M46" i="20"/>
  <c r="M62" i="20"/>
  <c r="O62" i="20"/>
  <c r="O88" i="20"/>
  <c r="M88" i="20"/>
  <c r="O97" i="20"/>
  <c r="M97" i="20"/>
  <c r="O117" i="20"/>
  <c r="M117" i="20"/>
  <c r="M77" i="20"/>
  <c r="O77" i="20"/>
  <c r="O93" i="20"/>
  <c r="M93" i="20"/>
  <c r="M104" i="20"/>
  <c r="O104" i="20"/>
  <c r="M120" i="20"/>
  <c r="O120" i="20"/>
  <c r="M136" i="20"/>
  <c r="O136" i="20"/>
  <c r="G108" i="20"/>
  <c r="E108" i="20"/>
  <c r="E105" i="20"/>
  <c r="G105" i="20"/>
  <c r="E90" i="20"/>
  <c r="G90" i="20"/>
  <c r="E60" i="20"/>
  <c r="G60" i="20"/>
  <c r="E92" i="20"/>
  <c r="G92" i="20"/>
  <c r="E127" i="20"/>
  <c r="G127" i="20"/>
  <c r="E131" i="20"/>
  <c r="G131" i="20"/>
  <c r="E141" i="20"/>
  <c r="G141" i="20"/>
  <c r="E148" i="20"/>
  <c r="G148" i="20"/>
  <c r="G120" i="20"/>
  <c r="E120" i="20"/>
  <c r="E40" i="20"/>
  <c r="G40" i="20"/>
  <c r="E33" i="20"/>
  <c r="G33" i="20"/>
  <c r="O16" i="20"/>
  <c r="M16" i="20"/>
  <c r="O84" i="20"/>
  <c r="M84" i="20"/>
  <c r="E79" i="20"/>
  <c r="G79" i="20"/>
  <c r="E53" i="20"/>
  <c r="G53" i="20"/>
  <c r="E94" i="20"/>
  <c r="G94" i="20"/>
  <c r="E32" i="20"/>
  <c r="G32" i="20"/>
  <c r="E16" i="20"/>
  <c r="G16" i="20"/>
  <c r="G152" i="20"/>
  <c r="E152" i="20"/>
  <c r="O26" i="20"/>
  <c r="M26" i="20"/>
  <c r="O37" i="20"/>
  <c r="M37" i="20"/>
  <c r="O53" i="20"/>
  <c r="M53" i="20"/>
  <c r="O82" i="20"/>
  <c r="M82" i="20"/>
  <c r="O32" i="20"/>
  <c r="M32" i="20"/>
  <c r="O48" i="20"/>
  <c r="M48" i="20"/>
  <c r="M64" i="20"/>
  <c r="O64" i="20"/>
  <c r="O115" i="20"/>
  <c r="M115" i="20"/>
  <c r="O113" i="20"/>
  <c r="M113" i="20"/>
  <c r="O133" i="20"/>
  <c r="M133" i="20"/>
  <c r="O79" i="20"/>
  <c r="M79" i="20"/>
  <c r="O105" i="20"/>
  <c r="M105" i="20"/>
  <c r="O106" i="20"/>
  <c r="M106" i="20"/>
  <c r="O122" i="20"/>
  <c r="M122" i="20"/>
  <c r="O138" i="20"/>
  <c r="M138" i="20"/>
  <c r="G130" i="20"/>
  <c r="E130" i="20"/>
  <c r="G118" i="20"/>
  <c r="E118" i="20"/>
  <c r="E91" i="20"/>
  <c r="G91" i="20"/>
  <c r="E62" i="20"/>
  <c r="G62" i="20"/>
  <c r="E93" i="20"/>
  <c r="G93" i="20"/>
  <c r="G140" i="20"/>
  <c r="E140" i="20"/>
  <c r="G144" i="20"/>
  <c r="E144" i="20"/>
  <c r="E154" i="20"/>
  <c r="G154" i="20"/>
  <c r="G151" i="20"/>
  <c r="E151" i="20"/>
  <c r="E123" i="20"/>
  <c r="G123" i="20"/>
  <c r="G34" i="20"/>
  <c r="E34" i="20"/>
  <c r="G69" i="20"/>
  <c r="E69" i="20"/>
  <c r="M100" i="20"/>
  <c r="O100" i="20"/>
  <c r="E45" i="20"/>
  <c r="G45" i="20"/>
  <c r="G14" i="20"/>
  <c r="E14" i="20"/>
  <c r="O39" i="20"/>
  <c r="M39" i="20"/>
  <c r="M34" i="20"/>
  <c r="O34" i="20"/>
  <c r="O135" i="20"/>
  <c r="M135" i="20"/>
  <c r="O129" i="20"/>
  <c r="M129" i="20"/>
  <c r="O127" i="20"/>
  <c r="M127" i="20"/>
  <c r="O81" i="20"/>
  <c r="M81" i="20"/>
  <c r="O121" i="20"/>
  <c r="M121" i="20"/>
  <c r="O108" i="20"/>
  <c r="M108" i="20"/>
  <c r="O124" i="20"/>
  <c r="M124" i="20"/>
  <c r="O140" i="20"/>
  <c r="M140" i="20"/>
  <c r="E133" i="20"/>
  <c r="G133" i="20"/>
  <c r="E73" i="20"/>
  <c r="G73" i="20"/>
  <c r="G98" i="20"/>
  <c r="E98" i="20"/>
  <c r="E64" i="20"/>
  <c r="G64" i="20"/>
  <c r="E97" i="20"/>
  <c r="G97" i="20"/>
  <c r="E143" i="20"/>
  <c r="G143" i="20"/>
  <c r="E147" i="20"/>
  <c r="G147" i="20"/>
  <c r="E100" i="20"/>
  <c r="G100" i="20"/>
  <c r="G126" i="20"/>
  <c r="E126" i="20"/>
  <c r="G136" i="20"/>
  <c r="E136" i="20"/>
  <c r="E43" i="20"/>
  <c r="G43" i="20"/>
  <c r="O63" i="20"/>
  <c r="M63" i="20"/>
  <c r="O92" i="20"/>
  <c r="M92" i="20"/>
  <c r="O132" i="20"/>
  <c r="M132" i="20"/>
  <c r="G65" i="20"/>
  <c r="E65" i="20"/>
  <c r="E88" i="20"/>
  <c r="G88" i="20"/>
  <c r="E30" i="20"/>
  <c r="G30" i="20"/>
  <c r="O86" i="20"/>
  <c r="M86" i="20"/>
  <c r="O24" i="20"/>
  <c r="M24" i="20"/>
  <c r="O55" i="20"/>
  <c r="M55" i="20"/>
  <c r="O103" i="20"/>
  <c r="M103" i="20"/>
  <c r="O50" i="20"/>
  <c r="M50" i="20"/>
  <c r="M66" i="20"/>
  <c r="O66" i="20"/>
  <c r="E54" i="20"/>
  <c r="G54" i="20"/>
  <c r="E37" i="20"/>
  <c r="G37" i="20"/>
  <c r="E78" i="20"/>
  <c r="G78" i="20"/>
  <c r="G28" i="20"/>
  <c r="E28" i="20"/>
  <c r="E50" i="20"/>
  <c r="G50" i="20"/>
  <c r="G85" i="20"/>
  <c r="E85" i="20"/>
  <c r="O22" i="20"/>
  <c r="M22" i="20"/>
  <c r="O41" i="20"/>
  <c r="M41" i="20"/>
  <c r="O57" i="20"/>
  <c r="M57" i="20"/>
  <c r="O111" i="20"/>
  <c r="M111" i="20"/>
  <c r="O36" i="20"/>
  <c r="M36" i="20"/>
  <c r="O52" i="20"/>
  <c r="M52" i="20"/>
  <c r="M68" i="20"/>
  <c r="O68" i="20"/>
  <c r="O125" i="20"/>
  <c r="M125" i="20"/>
  <c r="O145" i="20"/>
  <c r="M145" i="20"/>
  <c r="O143" i="20"/>
  <c r="M143" i="20"/>
  <c r="O83" i="20"/>
  <c r="M83" i="20"/>
  <c r="O137" i="20"/>
  <c r="M137" i="20"/>
  <c r="O110" i="20"/>
  <c r="M110" i="20"/>
  <c r="O126" i="20"/>
  <c r="M126" i="20"/>
  <c r="O142" i="20"/>
  <c r="M142" i="20"/>
  <c r="G89" i="20"/>
  <c r="E89" i="20"/>
  <c r="E76" i="20"/>
  <c r="G76" i="20"/>
  <c r="E101" i="20"/>
  <c r="G101" i="20"/>
  <c r="E66" i="20"/>
  <c r="G66" i="20"/>
  <c r="G110" i="20"/>
  <c r="E110" i="20"/>
  <c r="G96" i="20"/>
  <c r="E96" i="20"/>
  <c r="G106" i="20"/>
  <c r="E106" i="20"/>
  <c r="E103" i="20"/>
  <c r="G103" i="20"/>
  <c r="E129" i="20"/>
  <c r="G129" i="20"/>
  <c r="E139" i="20"/>
  <c r="G139" i="20"/>
  <c r="M27" i="20"/>
  <c r="O27" i="20"/>
  <c r="O47" i="20"/>
  <c r="M47" i="20"/>
  <c r="O139" i="20"/>
  <c r="M139" i="20"/>
  <c r="E56" i="20"/>
  <c r="G56" i="20"/>
  <c r="G57" i="20"/>
  <c r="E57" i="20"/>
  <c r="M31" i="20"/>
  <c r="O31" i="20"/>
  <c r="E72" i="20"/>
  <c r="G72" i="20"/>
  <c r="E137" i="20"/>
  <c r="G137" i="20"/>
  <c r="O20" i="20"/>
  <c r="M20" i="20"/>
  <c r="O43" i="20"/>
  <c r="M43" i="20"/>
  <c r="O59" i="20"/>
  <c r="M59" i="20"/>
  <c r="O131" i="20"/>
  <c r="M131" i="20"/>
  <c r="O38" i="20"/>
  <c r="M38" i="20"/>
  <c r="O54" i="20"/>
  <c r="M54" i="20"/>
  <c r="O74" i="20"/>
  <c r="M74" i="20"/>
  <c r="O141" i="20"/>
  <c r="M141" i="20"/>
  <c r="O107" i="20"/>
  <c r="M107" i="20"/>
  <c r="O69" i="20"/>
  <c r="M69" i="20"/>
  <c r="O85" i="20"/>
  <c r="M85" i="20"/>
  <c r="O96" i="20"/>
  <c r="M96" i="20"/>
  <c r="O112" i="20"/>
  <c r="M112" i="20"/>
  <c r="O128" i="20"/>
  <c r="M128" i="20"/>
  <c r="O144" i="20"/>
  <c r="M144" i="20"/>
  <c r="G146" i="20"/>
  <c r="E146" i="20"/>
  <c r="E102" i="20"/>
  <c r="G102" i="20"/>
  <c r="E121" i="20"/>
  <c r="G121" i="20"/>
  <c r="E68" i="20"/>
  <c r="G68" i="20"/>
  <c r="G114" i="20"/>
  <c r="E114" i="20"/>
  <c r="E99" i="20"/>
  <c r="G99" i="20"/>
  <c r="E109" i="20"/>
  <c r="G109" i="20"/>
  <c r="E116" i="20"/>
  <c r="G116" i="20"/>
  <c r="E142" i="20"/>
  <c r="G142" i="20"/>
  <c r="G149" i="20"/>
  <c r="E149" i="20"/>
  <c r="E52" i="20"/>
  <c r="G52" i="20"/>
  <c r="O147" i="20"/>
  <c r="M147" i="20"/>
  <c r="O73" i="20"/>
  <c r="M73" i="20"/>
  <c r="E83" i="20"/>
  <c r="G83" i="20"/>
  <c r="M21" i="20"/>
  <c r="O21" i="20"/>
  <c r="E46" i="20"/>
  <c r="G46" i="20"/>
  <c r="G67" i="20"/>
  <c r="E67" i="20"/>
  <c r="E26" i="20"/>
  <c r="G26" i="20"/>
  <c r="E38" i="20"/>
  <c r="G38" i="20"/>
  <c r="M29" i="20"/>
  <c r="O29" i="20"/>
  <c r="G59" i="20"/>
  <c r="E59" i="20"/>
  <c r="E51" i="20"/>
  <c r="G51" i="20"/>
  <c r="E24" i="20"/>
  <c r="G24" i="20"/>
  <c r="O70" i="20"/>
  <c r="M70" i="20"/>
  <c r="E49" i="20"/>
  <c r="G49" i="20"/>
  <c r="O18" i="20"/>
  <c r="M18" i="20"/>
  <c r="O45" i="20"/>
  <c r="M45" i="20"/>
  <c r="O61" i="20"/>
  <c r="M61" i="20"/>
  <c r="O109" i="20"/>
  <c r="M109" i="20"/>
  <c r="O40" i="20"/>
  <c r="M40" i="20"/>
  <c r="M56" i="20"/>
  <c r="O56" i="20"/>
  <c r="O119" i="20"/>
  <c r="M119" i="20"/>
  <c r="O90" i="20"/>
  <c r="M90" i="20"/>
  <c r="O123" i="20"/>
  <c r="M123" i="20"/>
  <c r="M71" i="20"/>
  <c r="O71" i="20"/>
  <c r="M87" i="20"/>
  <c r="O87" i="20"/>
  <c r="M98" i="20"/>
  <c r="O98" i="20"/>
  <c r="M114" i="20"/>
  <c r="O114" i="20"/>
  <c r="M130" i="20"/>
  <c r="O130" i="20"/>
  <c r="M146" i="20"/>
  <c r="O146" i="20"/>
  <c r="E150" i="20"/>
  <c r="G150" i="20"/>
  <c r="E70" i="20"/>
  <c r="G70" i="20"/>
  <c r="G134" i="20"/>
  <c r="E134" i="20"/>
  <c r="E77" i="20"/>
  <c r="G77" i="20"/>
  <c r="E117" i="20"/>
  <c r="G117" i="20"/>
  <c r="G112" i="20"/>
  <c r="E112" i="20"/>
  <c r="E122" i="20"/>
  <c r="G122" i="20"/>
  <c r="E119" i="20"/>
  <c r="G119" i="20"/>
  <c r="E145" i="20"/>
  <c r="G145" i="20"/>
  <c r="G153" i="20"/>
  <c r="E153" i="20"/>
  <c r="B41" i="4"/>
  <c r="C46" i="4" s="1"/>
  <c r="F19" i="19"/>
  <c r="E19" i="19"/>
  <c r="E18" i="19"/>
  <c r="G18" i="19" s="1"/>
  <c r="E17" i="19"/>
  <c r="G17" i="19" s="1"/>
  <c r="E16" i="19"/>
  <c r="G16" i="19" s="1"/>
  <c r="E15" i="19"/>
  <c r="G15" i="19" s="1"/>
  <c r="G14" i="19"/>
  <c r="E14" i="19"/>
  <c r="E13" i="19"/>
  <c r="G13" i="19" s="1"/>
  <c r="E12" i="19"/>
  <c r="G12" i="19" s="1"/>
  <c r="H11" i="19"/>
  <c r="E11" i="19"/>
  <c r="G11" i="19" s="1"/>
  <c r="E10" i="19"/>
  <c r="G10" i="19" s="1"/>
  <c r="H19" i="19"/>
  <c r="J9" i="19"/>
  <c r="C14" i="18"/>
  <c r="D8" i="18" s="1"/>
  <c r="D19" i="18" s="1"/>
  <c r="C12" i="18"/>
  <c r="D11" i="18"/>
  <c r="D10" i="18"/>
  <c r="D7" i="18"/>
  <c r="F29" i="17"/>
  <c r="E29" i="17"/>
  <c r="E28" i="17"/>
  <c r="G28" i="17" s="1"/>
  <c r="E27" i="17"/>
  <c r="G27" i="17" s="1"/>
  <c r="E26" i="17"/>
  <c r="G26" i="17" s="1"/>
  <c r="E25" i="17"/>
  <c r="G25" i="17" s="1"/>
  <c r="E24" i="17"/>
  <c r="G24" i="17" s="1"/>
  <c r="E23" i="17"/>
  <c r="G23" i="17" s="1"/>
  <c r="E22" i="17"/>
  <c r="G22" i="17" s="1"/>
  <c r="E21" i="17"/>
  <c r="G21" i="17" s="1"/>
  <c r="E20" i="17"/>
  <c r="G20" i="17" s="1"/>
  <c r="W55" i="17" s="1"/>
  <c r="L19" i="17"/>
  <c r="H21" i="17" s="1"/>
  <c r="J19" i="17"/>
  <c r="D16" i="17"/>
  <c r="E12" i="17" s="1"/>
  <c r="D14" i="17"/>
  <c r="E25" i="16"/>
  <c r="D25" i="16"/>
  <c r="D24" i="16"/>
  <c r="F24" i="16" s="1"/>
  <c r="D23" i="16"/>
  <c r="F23" i="16" s="1"/>
  <c r="F22" i="16"/>
  <c r="D22" i="16"/>
  <c r="D21" i="16"/>
  <c r="F21" i="16" s="1"/>
  <c r="D20" i="16"/>
  <c r="F20" i="16" s="1"/>
  <c r="F19" i="16"/>
  <c r="F18" i="16"/>
  <c r="F17" i="16"/>
  <c r="F16" i="16"/>
  <c r="K15" i="16"/>
  <c r="I15" i="16"/>
  <c r="C10" i="16"/>
  <c r="D10" i="16" s="1"/>
  <c r="D9" i="16"/>
  <c r="F30" i="16" s="1"/>
  <c r="D8" i="16"/>
  <c r="D7" i="16"/>
  <c r="D6" i="16"/>
  <c r="D5" i="16"/>
  <c r="D4" i="16"/>
  <c r="D3" i="16"/>
  <c r="F28" i="16" s="1"/>
  <c r="D26" i="15"/>
  <c r="C26" i="15"/>
  <c r="E26" i="15" s="1"/>
  <c r="C25" i="15"/>
  <c r="E25" i="15" s="1"/>
  <c r="C24" i="15"/>
  <c r="E24" i="15" s="1"/>
  <c r="C23" i="15"/>
  <c r="E23" i="15" s="1"/>
  <c r="C22" i="15"/>
  <c r="E22" i="15" s="1"/>
  <c r="C21" i="15"/>
  <c r="E21" i="15" s="1"/>
  <c r="C20" i="15"/>
  <c r="E20" i="15" s="1"/>
  <c r="C19" i="15"/>
  <c r="E19" i="15" s="1"/>
  <c r="C18" i="15"/>
  <c r="E18" i="15" s="1"/>
  <c r="C17" i="15"/>
  <c r="E17" i="15" s="1"/>
  <c r="J16" i="15"/>
  <c r="H16" i="15"/>
  <c r="C12" i="15"/>
  <c r="D9" i="15" s="1"/>
  <c r="E9" i="3"/>
  <c r="E8" i="3"/>
  <c r="E7" i="3"/>
  <c r="D116" i="9"/>
  <c r="C116" i="9"/>
  <c r="B116" i="9"/>
  <c r="B117" i="9" s="1"/>
  <c r="D9" i="3" s="1"/>
  <c r="D107" i="9"/>
  <c r="C107" i="9"/>
  <c r="B107" i="9"/>
  <c r="D97" i="9"/>
  <c r="C97" i="9"/>
  <c r="B97" i="9"/>
  <c r="D88" i="9"/>
  <c r="C88" i="9"/>
  <c r="B88" i="9"/>
  <c r="D76" i="9"/>
  <c r="C76" i="9"/>
  <c r="B77" i="9" s="1"/>
  <c r="D7" i="3" s="1"/>
  <c r="B76" i="9"/>
  <c r="D67" i="9"/>
  <c r="C67" i="9"/>
  <c r="B67" i="9"/>
  <c r="G29" i="17" l="1"/>
  <c r="D7" i="15"/>
  <c r="F25" i="16"/>
  <c r="D9" i="18"/>
  <c r="E9" i="17"/>
  <c r="E10" i="17"/>
  <c r="G32" i="17" s="1"/>
  <c r="G33" i="17" s="1"/>
  <c r="D12" i="18"/>
  <c r="D21" i="18" s="1"/>
  <c r="F29" i="16"/>
  <c r="E11" i="17"/>
  <c r="D8" i="15"/>
  <c r="D5" i="15"/>
  <c r="E13" i="17"/>
  <c r="E14" i="17"/>
  <c r="G34" i="17" s="1"/>
  <c r="G19" i="19"/>
  <c r="B98" i="9"/>
  <c r="D8" i="3" s="1"/>
  <c r="H20" i="17"/>
  <c r="B46" i="4"/>
  <c r="B47" i="4" s="1"/>
  <c r="C47" i="4"/>
  <c r="H29" i="17"/>
  <c r="H25" i="17"/>
  <c r="H22" i="17"/>
  <c r="H24" i="17"/>
  <c r="H28" i="17"/>
  <c r="D10" i="15"/>
  <c r="F25" i="15"/>
  <c r="D4" i="15"/>
  <c r="D29" i="15" s="1"/>
  <c r="H17" i="19"/>
  <c r="H12" i="19"/>
  <c r="H15" i="19"/>
  <c r="H10" i="19"/>
  <c r="H18" i="19"/>
  <c r="H13" i="19"/>
  <c r="H16" i="19"/>
  <c r="H14" i="19"/>
  <c r="D13" i="18"/>
  <c r="D20" i="18" s="1"/>
  <c r="E22" i="18" s="1"/>
  <c r="H26" i="17"/>
  <c r="H23" i="17"/>
  <c r="H27" i="17"/>
  <c r="G24" i="16"/>
  <c r="G19" i="16"/>
  <c r="G17" i="16"/>
  <c r="G23" i="16"/>
  <c r="G22" i="16"/>
  <c r="G16" i="16"/>
  <c r="G25" i="16"/>
  <c r="G18" i="16"/>
  <c r="G21" i="16"/>
  <c r="G20" i="16"/>
  <c r="F23" i="15"/>
  <c r="F18" i="15"/>
  <c r="F21" i="15"/>
  <c r="F26" i="15"/>
  <c r="D6" i="15"/>
  <c r="F24" i="15"/>
  <c r="F19" i="15"/>
  <c r="F22" i="15"/>
  <c r="D31" i="15" l="1"/>
  <c r="D30" i="15"/>
  <c r="E32" i="15" s="1"/>
  <c r="H35" i="17"/>
  <c r="F17" i="15"/>
  <c r="F20" i="15"/>
  <c r="F154" i="14" l="1"/>
  <c r="B154" i="14"/>
  <c r="F153" i="14"/>
  <c r="B153" i="14"/>
  <c r="F152" i="14"/>
  <c r="B152" i="14"/>
  <c r="F151" i="14"/>
  <c r="B151" i="14"/>
  <c r="F150" i="14"/>
  <c r="B150" i="14"/>
  <c r="F149" i="14"/>
  <c r="B149" i="14"/>
  <c r="F148" i="14"/>
  <c r="B148" i="14"/>
  <c r="N147" i="14"/>
  <c r="J147" i="14"/>
  <c r="F147" i="14"/>
  <c r="B147" i="14"/>
  <c r="N146" i="14"/>
  <c r="J146" i="14"/>
  <c r="F146" i="14"/>
  <c r="B146" i="14"/>
  <c r="N145" i="14"/>
  <c r="J145" i="14"/>
  <c r="F145" i="14"/>
  <c r="B145" i="14"/>
  <c r="N144" i="14"/>
  <c r="J144" i="14"/>
  <c r="F144" i="14"/>
  <c r="B144" i="14"/>
  <c r="N143" i="14"/>
  <c r="J143" i="14"/>
  <c r="F143" i="14"/>
  <c r="B143" i="14"/>
  <c r="N142" i="14"/>
  <c r="J142" i="14"/>
  <c r="F142" i="14"/>
  <c r="B142" i="14"/>
  <c r="N141" i="14"/>
  <c r="J141" i="14"/>
  <c r="F141" i="14"/>
  <c r="B141" i="14"/>
  <c r="N140" i="14"/>
  <c r="J140" i="14"/>
  <c r="F140" i="14"/>
  <c r="B140" i="14"/>
  <c r="N139" i="14"/>
  <c r="J139" i="14"/>
  <c r="F139" i="14"/>
  <c r="B139" i="14"/>
  <c r="N138" i="14"/>
  <c r="J138" i="14"/>
  <c r="F138" i="14"/>
  <c r="B138" i="14"/>
  <c r="N137" i="14"/>
  <c r="J137" i="14"/>
  <c r="F137" i="14"/>
  <c r="B137" i="14"/>
  <c r="N136" i="14"/>
  <c r="J136" i="14"/>
  <c r="F136" i="14"/>
  <c r="B136" i="14"/>
  <c r="N135" i="14"/>
  <c r="J135" i="14"/>
  <c r="F135" i="14"/>
  <c r="B135" i="14"/>
  <c r="N134" i="14"/>
  <c r="J134" i="14"/>
  <c r="F134" i="14"/>
  <c r="B134" i="14"/>
  <c r="N133" i="14"/>
  <c r="J133" i="14"/>
  <c r="F133" i="14"/>
  <c r="B133" i="14"/>
  <c r="N132" i="14"/>
  <c r="J132" i="14"/>
  <c r="F132" i="14"/>
  <c r="B132" i="14"/>
  <c r="N131" i="14"/>
  <c r="J131" i="14"/>
  <c r="F131" i="14"/>
  <c r="B131" i="14"/>
  <c r="N130" i="14"/>
  <c r="J130" i="14"/>
  <c r="F130" i="14"/>
  <c r="B130" i="14"/>
  <c r="N129" i="14"/>
  <c r="J129" i="14"/>
  <c r="F129" i="14"/>
  <c r="B129" i="14"/>
  <c r="N128" i="14"/>
  <c r="J128" i="14"/>
  <c r="F128" i="14"/>
  <c r="B128" i="14"/>
  <c r="N127" i="14"/>
  <c r="J127" i="14"/>
  <c r="F127" i="14"/>
  <c r="B127" i="14"/>
  <c r="N126" i="14"/>
  <c r="J126" i="14"/>
  <c r="F126" i="14"/>
  <c r="B126" i="14"/>
  <c r="N125" i="14"/>
  <c r="J125" i="14"/>
  <c r="F125" i="14"/>
  <c r="B125" i="14"/>
  <c r="N124" i="14"/>
  <c r="J124" i="14"/>
  <c r="F124" i="14"/>
  <c r="B124" i="14"/>
  <c r="N123" i="14"/>
  <c r="J123" i="14"/>
  <c r="F123" i="14"/>
  <c r="B123" i="14"/>
  <c r="N122" i="14"/>
  <c r="J122" i="14"/>
  <c r="F122" i="14"/>
  <c r="B122" i="14"/>
  <c r="N121" i="14"/>
  <c r="J121" i="14"/>
  <c r="F121" i="14"/>
  <c r="B121" i="14"/>
  <c r="N120" i="14"/>
  <c r="J120" i="14"/>
  <c r="F120" i="14"/>
  <c r="B120" i="14"/>
  <c r="N119" i="14"/>
  <c r="J119" i="14"/>
  <c r="F119" i="14"/>
  <c r="B119" i="14"/>
  <c r="N118" i="14"/>
  <c r="J118" i="14"/>
  <c r="F118" i="14"/>
  <c r="B118" i="14"/>
  <c r="N117" i="14"/>
  <c r="J117" i="14"/>
  <c r="F117" i="14"/>
  <c r="B117" i="14"/>
  <c r="N116" i="14"/>
  <c r="J116" i="14"/>
  <c r="F116" i="14"/>
  <c r="B116" i="14"/>
  <c r="N115" i="14"/>
  <c r="J115" i="14"/>
  <c r="F115" i="14"/>
  <c r="B115" i="14"/>
  <c r="N114" i="14"/>
  <c r="J114" i="14"/>
  <c r="F114" i="14"/>
  <c r="B114" i="14"/>
  <c r="N113" i="14"/>
  <c r="J113" i="14"/>
  <c r="F113" i="14"/>
  <c r="B113" i="14"/>
  <c r="N112" i="14"/>
  <c r="J112" i="14"/>
  <c r="F112" i="14"/>
  <c r="B112" i="14"/>
  <c r="N111" i="14"/>
  <c r="J111" i="14"/>
  <c r="F111" i="14"/>
  <c r="B111" i="14"/>
  <c r="N110" i="14"/>
  <c r="J110" i="14"/>
  <c r="F110" i="14"/>
  <c r="B110" i="14"/>
  <c r="N109" i="14"/>
  <c r="J109" i="14"/>
  <c r="F109" i="14"/>
  <c r="B109" i="14"/>
  <c r="N108" i="14"/>
  <c r="J108" i="14"/>
  <c r="F108" i="14"/>
  <c r="B108" i="14"/>
  <c r="N107" i="14"/>
  <c r="J107" i="14"/>
  <c r="F107" i="14"/>
  <c r="B107" i="14"/>
  <c r="N106" i="14"/>
  <c r="J106" i="14"/>
  <c r="F106" i="14"/>
  <c r="B106" i="14"/>
  <c r="N105" i="14"/>
  <c r="J105" i="14"/>
  <c r="F105" i="14"/>
  <c r="B105" i="14"/>
  <c r="N104" i="14"/>
  <c r="J104" i="14"/>
  <c r="F104" i="14"/>
  <c r="B104" i="14"/>
  <c r="N103" i="14"/>
  <c r="J103" i="14"/>
  <c r="F103" i="14"/>
  <c r="B103" i="14"/>
  <c r="N102" i="14"/>
  <c r="J102" i="14"/>
  <c r="F102" i="14"/>
  <c r="B102" i="14"/>
  <c r="N101" i="14"/>
  <c r="J101" i="14"/>
  <c r="F101" i="14"/>
  <c r="B101" i="14"/>
  <c r="N100" i="14"/>
  <c r="J100" i="14"/>
  <c r="F100" i="14"/>
  <c r="B100" i="14"/>
  <c r="N99" i="14"/>
  <c r="J99" i="14"/>
  <c r="F99" i="14"/>
  <c r="B99" i="14"/>
  <c r="N98" i="14"/>
  <c r="J98" i="14"/>
  <c r="F98" i="14"/>
  <c r="B98" i="14"/>
  <c r="N97" i="14"/>
  <c r="J97" i="14"/>
  <c r="F97" i="14"/>
  <c r="B97" i="14"/>
  <c r="N96" i="14"/>
  <c r="J96" i="14"/>
  <c r="F96" i="14"/>
  <c r="B96" i="14"/>
  <c r="N95" i="14"/>
  <c r="J95" i="14"/>
  <c r="F95" i="14"/>
  <c r="B95" i="14"/>
  <c r="N94" i="14"/>
  <c r="J94" i="14"/>
  <c r="F94" i="14"/>
  <c r="B94" i="14"/>
  <c r="N93" i="14"/>
  <c r="J93" i="14"/>
  <c r="F93" i="14"/>
  <c r="B93" i="14"/>
  <c r="N92" i="14"/>
  <c r="J92" i="14"/>
  <c r="F92" i="14"/>
  <c r="B92" i="14"/>
  <c r="N91" i="14"/>
  <c r="J91" i="14"/>
  <c r="F91" i="14"/>
  <c r="B91" i="14"/>
  <c r="N90" i="14"/>
  <c r="J90" i="14"/>
  <c r="F90" i="14"/>
  <c r="B90" i="14"/>
  <c r="N89" i="14"/>
  <c r="J89" i="14"/>
  <c r="F89" i="14"/>
  <c r="B89" i="14"/>
  <c r="N88" i="14"/>
  <c r="J88" i="14"/>
  <c r="F88" i="14"/>
  <c r="B88" i="14"/>
  <c r="N87" i="14"/>
  <c r="J87" i="14"/>
  <c r="F87" i="14"/>
  <c r="B87" i="14"/>
  <c r="N86" i="14"/>
  <c r="J86" i="14"/>
  <c r="F86" i="14"/>
  <c r="B86" i="14"/>
  <c r="N85" i="14"/>
  <c r="J85" i="14"/>
  <c r="F85" i="14"/>
  <c r="B85" i="14"/>
  <c r="N84" i="14"/>
  <c r="J84" i="14"/>
  <c r="F84" i="14"/>
  <c r="B84" i="14"/>
  <c r="N83" i="14"/>
  <c r="J83" i="14"/>
  <c r="F83" i="14"/>
  <c r="B83" i="14"/>
  <c r="N82" i="14"/>
  <c r="J82" i="14"/>
  <c r="F82" i="14"/>
  <c r="B82" i="14"/>
  <c r="N81" i="14"/>
  <c r="J81" i="14"/>
  <c r="F81" i="14"/>
  <c r="B81" i="14"/>
  <c r="N80" i="14"/>
  <c r="J80" i="14"/>
  <c r="F80" i="14"/>
  <c r="B80" i="14"/>
  <c r="N79" i="14"/>
  <c r="J79" i="14"/>
  <c r="F79" i="14"/>
  <c r="B79" i="14"/>
  <c r="N78" i="14"/>
  <c r="J78" i="14"/>
  <c r="F78" i="14"/>
  <c r="B78" i="14"/>
  <c r="N77" i="14"/>
  <c r="J77" i="14"/>
  <c r="F77" i="14"/>
  <c r="B77" i="14"/>
  <c r="N76" i="14"/>
  <c r="J76" i="14"/>
  <c r="F76" i="14"/>
  <c r="B76" i="14"/>
  <c r="N75" i="14"/>
  <c r="J75" i="14"/>
  <c r="F75" i="14"/>
  <c r="B75" i="14"/>
  <c r="N74" i="14"/>
  <c r="J74" i="14"/>
  <c r="F74" i="14"/>
  <c r="B74" i="14"/>
  <c r="N73" i="14"/>
  <c r="J73" i="14"/>
  <c r="F73" i="14"/>
  <c r="B73" i="14"/>
  <c r="N72" i="14"/>
  <c r="J72" i="14"/>
  <c r="F72" i="14"/>
  <c r="B72" i="14"/>
  <c r="N71" i="14"/>
  <c r="J71" i="14"/>
  <c r="F71" i="14"/>
  <c r="B71" i="14"/>
  <c r="N70" i="14"/>
  <c r="J70" i="14"/>
  <c r="F70" i="14"/>
  <c r="B70" i="14"/>
  <c r="N69" i="14"/>
  <c r="J69" i="14"/>
  <c r="F69" i="14"/>
  <c r="B69" i="14"/>
  <c r="N68" i="14"/>
  <c r="J68" i="14"/>
  <c r="F68" i="14"/>
  <c r="B68" i="14"/>
  <c r="N67" i="14"/>
  <c r="J67" i="14"/>
  <c r="F67" i="14"/>
  <c r="B67" i="14"/>
  <c r="N66" i="14"/>
  <c r="J66" i="14"/>
  <c r="F66" i="14"/>
  <c r="B66" i="14"/>
  <c r="N65" i="14"/>
  <c r="J65" i="14"/>
  <c r="F65" i="14"/>
  <c r="B65" i="14"/>
  <c r="N64" i="14"/>
  <c r="J64" i="14"/>
  <c r="F64" i="14"/>
  <c r="B64" i="14"/>
  <c r="N63" i="14"/>
  <c r="J63" i="14"/>
  <c r="F63" i="14"/>
  <c r="B63" i="14"/>
  <c r="N62" i="14"/>
  <c r="J62" i="14"/>
  <c r="F62" i="14"/>
  <c r="B62" i="14"/>
  <c r="N61" i="14"/>
  <c r="J61" i="14"/>
  <c r="F61" i="14"/>
  <c r="B61" i="14"/>
  <c r="N60" i="14"/>
  <c r="J60" i="14"/>
  <c r="F60" i="14"/>
  <c r="B60" i="14"/>
  <c r="N59" i="14"/>
  <c r="J59" i="14"/>
  <c r="F59" i="14"/>
  <c r="B59" i="14"/>
  <c r="N58" i="14"/>
  <c r="J58" i="14"/>
  <c r="F58" i="14"/>
  <c r="B58" i="14"/>
  <c r="N57" i="14"/>
  <c r="J57" i="14"/>
  <c r="F57" i="14"/>
  <c r="B57" i="14"/>
  <c r="N56" i="14"/>
  <c r="J56" i="14"/>
  <c r="F56" i="14"/>
  <c r="B56" i="14"/>
  <c r="N55" i="14"/>
  <c r="J55" i="14"/>
  <c r="F55" i="14"/>
  <c r="B55" i="14"/>
  <c r="N54" i="14"/>
  <c r="J54" i="14"/>
  <c r="F54" i="14"/>
  <c r="B54" i="14"/>
  <c r="N53" i="14"/>
  <c r="J53" i="14"/>
  <c r="F53" i="14"/>
  <c r="B53" i="14"/>
  <c r="N52" i="14"/>
  <c r="J52" i="14"/>
  <c r="F52" i="14"/>
  <c r="B52" i="14"/>
  <c r="N51" i="14"/>
  <c r="J51" i="14"/>
  <c r="F51" i="14"/>
  <c r="B51" i="14"/>
  <c r="N50" i="14"/>
  <c r="J50" i="14"/>
  <c r="F50" i="14"/>
  <c r="B50" i="14"/>
  <c r="N49" i="14"/>
  <c r="J49" i="14"/>
  <c r="F49" i="14"/>
  <c r="B49" i="14"/>
  <c r="N48" i="14"/>
  <c r="J48" i="14"/>
  <c r="F48" i="14"/>
  <c r="B48" i="14"/>
  <c r="N47" i="14"/>
  <c r="J47" i="14"/>
  <c r="F47" i="14"/>
  <c r="B47" i="14"/>
  <c r="N46" i="14"/>
  <c r="J46" i="14"/>
  <c r="F46" i="14"/>
  <c r="B46" i="14"/>
  <c r="N45" i="14"/>
  <c r="J45" i="14"/>
  <c r="F45" i="14"/>
  <c r="B45" i="14"/>
  <c r="N44" i="14"/>
  <c r="J44" i="14"/>
  <c r="F44" i="14"/>
  <c r="B44" i="14"/>
  <c r="N43" i="14"/>
  <c r="J43" i="14"/>
  <c r="F43" i="14"/>
  <c r="B43" i="14"/>
  <c r="N42" i="14"/>
  <c r="J42" i="14"/>
  <c r="F42" i="14"/>
  <c r="B42" i="14"/>
  <c r="N41" i="14"/>
  <c r="J41" i="14"/>
  <c r="F41" i="14"/>
  <c r="B41" i="14"/>
  <c r="N40" i="14"/>
  <c r="J40" i="14"/>
  <c r="F40" i="14"/>
  <c r="B40" i="14"/>
  <c r="N39" i="14"/>
  <c r="J39" i="14"/>
  <c r="F39" i="14"/>
  <c r="B39" i="14"/>
  <c r="N38" i="14"/>
  <c r="J38" i="14"/>
  <c r="F38" i="14"/>
  <c r="B38" i="14"/>
  <c r="N37" i="14"/>
  <c r="J37" i="14"/>
  <c r="F37" i="14"/>
  <c r="B37" i="14"/>
  <c r="N36" i="14"/>
  <c r="J36" i="14"/>
  <c r="F36" i="14"/>
  <c r="B36" i="14"/>
  <c r="N35" i="14"/>
  <c r="J35" i="14"/>
  <c r="F35" i="14"/>
  <c r="B35" i="14"/>
  <c r="N34" i="14"/>
  <c r="J34" i="14"/>
  <c r="F34" i="14"/>
  <c r="B34" i="14"/>
  <c r="N33" i="14"/>
  <c r="J33" i="14"/>
  <c r="F33" i="14"/>
  <c r="B33" i="14"/>
  <c r="N32" i="14"/>
  <c r="J32" i="14"/>
  <c r="F32" i="14"/>
  <c r="B32" i="14"/>
  <c r="N31" i="14"/>
  <c r="J31" i="14"/>
  <c r="F31" i="14"/>
  <c r="B31" i="14"/>
  <c r="N30" i="14"/>
  <c r="J30" i="14"/>
  <c r="F30" i="14"/>
  <c r="B30" i="14"/>
  <c r="N29" i="14"/>
  <c r="J29" i="14"/>
  <c r="F29" i="14"/>
  <c r="B29" i="14"/>
  <c r="N28" i="14"/>
  <c r="J28" i="14"/>
  <c r="F28" i="14"/>
  <c r="B28" i="14"/>
  <c r="N27" i="14"/>
  <c r="J27" i="14"/>
  <c r="F27" i="14"/>
  <c r="B27" i="14"/>
  <c r="N26" i="14"/>
  <c r="J26" i="14"/>
  <c r="F26" i="14"/>
  <c r="B26" i="14"/>
  <c r="N25" i="14"/>
  <c r="J25" i="14"/>
  <c r="F25" i="14"/>
  <c r="B25" i="14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J20" i="14"/>
  <c r="F20" i="14"/>
  <c r="B20" i="14"/>
  <c r="N19" i="14"/>
  <c r="J19" i="14"/>
  <c r="F19" i="14"/>
  <c r="B19" i="14"/>
  <c r="N18" i="14"/>
  <c r="J18" i="14"/>
  <c r="F18" i="14"/>
  <c r="B18" i="14"/>
  <c r="N17" i="14"/>
  <c r="J17" i="14"/>
  <c r="F17" i="14"/>
  <c r="B17" i="14"/>
  <c r="N16" i="14"/>
  <c r="J16" i="14"/>
  <c r="F16" i="14"/>
  <c r="B16" i="14"/>
  <c r="N15" i="14"/>
  <c r="J15" i="14"/>
  <c r="F15" i="14"/>
  <c r="B15" i="14"/>
  <c r="N14" i="14"/>
  <c r="J14" i="14"/>
  <c r="F14" i="14"/>
  <c r="B14" i="14"/>
  <c r="J5" i="14"/>
  <c r="K14" i="14" s="1"/>
  <c r="L14" i="14" s="1"/>
  <c r="B5" i="14"/>
  <c r="K3" i="14"/>
  <c r="L3" i="14" s="1"/>
  <c r="C3" i="14"/>
  <c r="D3" i="14" s="1"/>
  <c r="B29" i="4"/>
  <c r="B31" i="4"/>
  <c r="B28" i="4"/>
  <c r="B25" i="4"/>
  <c r="M14" i="14" l="1"/>
  <c r="O14" i="14"/>
  <c r="C154" i="14"/>
  <c r="D154" i="14" s="1"/>
  <c r="C150" i="14"/>
  <c r="D150" i="14" s="1"/>
  <c r="C147" i="14"/>
  <c r="D147" i="14" s="1"/>
  <c r="C145" i="14"/>
  <c r="D145" i="14" s="1"/>
  <c r="C143" i="14"/>
  <c r="D143" i="14" s="1"/>
  <c r="C141" i="14"/>
  <c r="D141" i="14" s="1"/>
  <c r="C139" i="14"/>
  <c r="D139" i="14" s="1"/>
  <c r="C137" i="14"/>
  <c r="D137" i="14" s="1"/>
  <c r="C135" i="14"/>
  <c r="D135" i="14" s="1"/>
  <c r="C133" i="14"/>
  <c r="D133" i="14" s="1"/>
  <c r="C131" i="14"/>
  <c r="D131" i="14" s="1"/>
  <c r="C129" i="14"/>
  <c r="D129" i="14" s="1"/>
  <c r="C127" i="14"/>
  <c r="D127" i="14" s="1"/>
  <c r="C125" i="14"/>
  <c r="D125" i="14" s="1"/>
  <c r="C151" i="14"/>
  <c r="D151" i="14" s="1"/>
  <c r="C120" i="14"/>
  <c r="D120" i="14" s="1"/>
  <c r="C117" i="14"/>
  <c r="D117" i="14" s="1"/>
  <c r="C104" i="14"/>
  <c r="D104" i="14" s="1"/>
  <c r="C101" i="14"/>
  <c r="D101" i="14" s="1"/>
  <c r="C149" i="14"/>
  <c r="D149" i="14" s="1"/>
  <c r="C144" i="14"/>
  <c r="D144" i="14" s="1"/>
  <c r="C136" i="14"/>
  <c r="D136" i="14" s="1"/>
  <c r="C128" i="14"/>
  <c r="D128" i="14" s="1"/>
  <c r="C123" i="14"/>
  <c r="D123" i="14" s="1"/>
  <c r="C110" i="14"/>
  <c r="D110" i="14" s="1"/>
  <c r="C107" i="14"/>
  <c r="D107" i="14" s="1"/>
  <c r="C116" i="14"/>
  <c r="D116" i="14" s="1"/>
  <c r="C113" i="14"/>
  <c r="D113" i="14" s="1"/>
  <c r="C100" i="14"/>
  <c r="D100" i="14" s="1"/>
  <c r="C97" i="14"/>
  <c r="D97" i="14" s="1"/>
  <c r="C94" i="14"/>
  <c r="D94" i="14" s="1"/>
  <c r="C92" i="14"/>
  <c r="D92" i="14" s="1"/>
  <c r="C152" i="14"/>
  <c r="D152" i="14" s="1"/>
  <c r="C142" i="14"/>
  <c r="D142" i="14" s="1"/>
  <c r="C134" i="14"/>
  <c r="D134" i="14" s="1"/>
  <c r="C126" i="14"/>
  <c r="D126" i="14" s="1"/>
  <c r="C122" i="14"/>
  <c r="D122" i="14" s="1"/>
  <c r="C119" i="14"/>
  <c r="D119" i="14" s="1"/>
  <c r="C106" i="14"/>
  <c r="D106" i="14" s="1"/>
  <c r="C103" i="14"/>
  <c r="D103" i="14" s="1"/>
  <c r="C112" i="14"/>
  <c r="D112" i="14" s="1"/>
  <c r="C109" i="14"/>
  <c r="D109" i="14" s="1"/>
  <c r="C96" i="14"/>
  <c r="D96" i="14" s="1"/>
  <c r="C148" i="14"/>
  <c r="D148" i="14" s="1"/>
  <c r="C140" i="14"/>
  <c r="D140" i="14" s="1"/>
  <c r="C132" i="14"/>
  <c r="D132" i="14" s="1"/>
  <c r="C118" i="14"/>
  <c r="D118" i="14" s="1"/>
  <c r="C115" i="14"/>
  <c r="D115" i="14" s="1"/>
  <c r="C102" i="14"/>
  <c r="D102" i="14" s="1"/>
  <c r="C99" i="14"/>
  <c r="D99" i="14" s="1"/>
  <c r="C124" i="14"/>
  <c r="D124" i="14" s="1"/>
  <c r="C121" i="14"/>
  <c r="D121" i="14" s="1"/>
  <c r="C108" i="14"/>
  <c r="D108" i="14" s="1"/>
  <c r="C105" i="14"/>
  <c r="D105" i="14" s="1"/>
  <c r="C93" i="14"/>
  <c r="D93" i="14" s="1"/>
  <c r="C91" i="14"/>
  <c r="D91" i="14" s="1"/>
  <c r="C89" i="14"/>
  <c r="D89" i="14" s="1"/>
  <c r="C87" i="14"/>
  <c r="D87" i="14" s="1"/>
  <c r="C85" i="14"/>
  <c r="D85" i="14" s="1"/>
  <c r="C83" i="14"/>
  <c r="D83" i="14" s="1"/>
  <c r="C81" i="14"/>
  <c r="D81" i="14" s="1"/>
  <c r="C79" i="14"/>
  <c r="D79" i="14" s="1"/>
  <c r="C77" i="14"/>
  <c r="D77" i="14" s="1"/>
  <c r="C75" i="14"/>
  <c r="D75" i="14" s="1"/>
  <c r="C73" i="14"/>
  <c r="D73" i="14" s="1"/>
  <c r="C71" i="14"/>
  <c r="D71" i="14" s="1"/>
  <c r="C69" i="14"/>
  <c r="D69" i="14" s="1"/>
  <c r="C67" i="14"/>
  <c r="D67" i="14" s="1"/>
  <c r="C65" i="14"/>
  <c r="D65" i="14" s="1"/>
  <c r="C63" i="14"/>
  <c r="D63" i="14" s="1"/>
  <c r="C153" i="14"/>
  <c r="D153" i="14" s="1"/>
  <c r="C146" i="14"/>
  <c r="D146" i="14" s="1"/>
  <c r="C138" i="14"/>
  <c r="D138" i="14" s="1"/>
  <c r="C130" i="14"/>
  <c r="D130" i="14" s="1"/>
  <c r="C114" i="14"/>
  <c r="D114" i="14" s="1"/>
  <c r="C111" i="14"/>
  <c r="D111" i="14" s="1"/>
  <c r="C98" i="14"/>
  <c r="D98" i="14" s="1"/>
  <c r="C95" i="14"/>
  <c r="D95" i="14" s="1"/>
  <c r="C82" i="14"/>
  <c r="D82" i="14" s="1"/>
  <c r="C70" i="14"/>
  <c r="D70" i="14" s="1"/>
  <c r="C60" i="14"/>
  <c r="D60" i="14" s="1"/>
  <c r="C58" i="14"/>
  <c r="D58" i="14" s="1"/>
  <c r="C56" i="14"/>
  <c r="D56" i="14" s="1"/>
  <c r="C54" i="14"/>
  <c r="D54" i="14" s="1"/>
  <c r="C52" i="14"/>
  <c r="D52" i="14" s="1"/>
  <c r="C50" i="14"/>
  <c r="D50" i="14" s="1"/>
  <c r="C48" i="14"/>
  <c r="D48" i="14" s="1"/>
  <c r="C46" i="14"/>
  <c r="D46" i="14" s="1"/>
  <c r="C44" i="14"/>
  <c r="D44" i="14" s="1"/>
  <c r="C42" i="14"/>
  <c r="D42" i="14" s="1"/>
  <c r="C40" i="14"/>
  <c r="D40" i="14" s="1"/>
  <c r="C38" i="14"/>
  <c r="D38" i="14" s="1"/>
  <c r="C36" i="14"/>
  <c r="D36" i="14" s="1"/>
  <c r="C34" i="14"/>
  <c r="D34" i="14" s="1"/>
  <c r="C32" i="14"/>
  <c r="D32" i="14" s="1"/>
  <c r="C30" i="14"/>
  <c r="D30" i="14" s="1"/>
  <c r="C28" i="14"/>
  <c r="D28" i="14" s="1"/>
  <c r="C26" i="14"/>
  <c r="D26" i="14" s="1"/>
  <c r="C24" i="14"/>
  <c r="D24" i="14" s="1"/>
  <c r="C22" i="14"/>
  <c r="D22" i="14" s="1"/>
  <c r="C20" i="14"/>
  <c r="D20" i="14" s="1"/>
  <c r="C18" i="14"/>
  <c r="D18" i="14" s="1"/>
  <c r="C16" i="14"/>
  <c r="D16" i="14" s="1"/>
  <c r="C14" i="14"/>
  <c r="D14" i="14" s="1"/>
  <c r="C72" i="14"/>
  <c r="D72" i="14" s="1"/>
  <c r="C88" i="14"/>
  <c r="D88" i="14" s="1"/>
  <c r="C74" i="14"/>
  <c r="D74" i="14" s="1"/>
  <c r="C84" i="14"/>
  <c r="D84" i="14" s="1"/>
  <c r="C76" i="14"/>
  <c r="D76" i="14" s="1"/>
  <c r="C78" i="14"/>
  <c r="D78" i="14" s="1"/>
  <c r="C62" i="14"/>
  <c r="D62" i="14" s="1"/>
  <c r="C59" i="14"/>
  <c r="D59" i="14" s="1"/>
  <c r="C57" i="14"/>
  <c r="D57" i="14" s="1"/>
  <c r="C55" i="14"/>
  <c r="D55" i="14" s="1"/>
  <c r="C53" i="14"/>
  <c r="D53" i="14" s="1"/>
  <c r="C51" i="14"/>
  <c r="D51" i="14" s="1"/>
  <c r="C49" i="14"/>
  <c r="D49" i="14" s="1"/>
  <c r="C47" i="14"/>
  <c r="D47" i="14" s="1"/>
  <c r="C45" i="14"/>
  <c r="D45" i="14" s="1"/>
  <c r="C43" i="14"/>
  <c r="D43" i="14" s="1"/>
  <c r="C41" i="14"/>
  <c r="D41" i="14" s="1"/>
  <c r="C39" i="14"/>
  <c r="D39" i="14" s="1"/>
  <c r="C37" i="14"/>
  <c r="D37" i="14" s="1"/>
  <c r="C35" i="14"/>
  <c r="D35" i="14" s="1"/>
  <c r="C33" i="14"/>
  <c r="D33" i="14" s="1"/>
  <c r="C31" i="14"/>
  <c r="D31" i="14" s="1"/>
  <c r="C29" i="14"/>
  <c r="D29" i="14" s="1"/>
  <c r="C27" i="14"/>
  <c r="D27" i="14" s="1"/>
  <c r="C25" i="14"/>
  <c r="D25" i="14" s="1"/>
  <c r="C23" i="14"/>
  <c r="D23" i="14" s="1"/>
  <c r="C21" i="14"/>
  <c r="D21" i="14" s="1"/>
  <c r="C19" i="14"/>
  <c r="D19" i="14" s="1"/>
  <c r="C17" i="14"/>
  <c r="D17" i="14" s="1"/>
  <c r="C15" i="14"/>
  <c r="D15" i="14" s="1"/>
  <c r="C64" i="14"/>
  <c r="D64" i="14" s="1"/>
  <c r="C61" i="14"/>
  <c r="D61" i="14" s="1"/>
  <c r="C86" i="14"/>
  <c r="D86" i="14" s="1"/>
  <c r="C80" i="14"/>
  <c r="D80" i="14" s="1"/>
  <c r="C66" i="14"/>
  <c r="D66" i="14" s="1"/>
  <c r="C90" i="14"/>
  <c r="D90" i="14" s="1"/>
  <c r="C68" i="14"/>
  <c r="D68" i="14" s="1"/>
  <c r="K147" i="14"/>
  <c r="L147" i="14" s="1"/>
  <c r="K145" i="14"/>
  <c r="L145" i="14" s="1"/>
  <c r="K143" i="14"/>
  <c r="L143" i="14" s="1"/>
  <c r="K141" i="14"/>
  <c r="L141" i="14" s="1"/>
  <c r="K139" i="14"/>
  <c r="L139" i="14" s="1"/>
  <c r="K137" i="14"/>
  <c r="L137" i="14" s="1"/>
  <c r="K135" i="14"/>
  <c r="L135" i="14" s="1"/>
  <c r="K133" i="14"/>
  <c r="L133" i="14" s="1"/>
  <c r="K131" i="14"/>
  <c r="L131" i="14" s="1"/>
  <c r="K129" i="14"/>
  <c r="L129" i="14" s="1"/>
  <c r="K127" i="14"/>
  <c r="L127" i="14" s="1"/>
  <c r="K125" i="14"/>
  <c r="L125" i="14" s="1"/>
  <c r="K123" i="14"/>
  <c r="L123" i="14" s="1"/>
  <c r="K121" i="14"/>
  <c r="L121" i="14" s="1"/>
  <c r="K119" i="14"/>
  <c r="L119" i="14" s="1"/>
  <c r="K117" i="14"/>
  <c r="L117" i="14" s="1"/>
  <c r="K115" i="14"/>
  <c r="L115" i="14" s="1"/>
  <c r="K113" i="14"/>
  <c r="L113" i="14" s="1"/>
  <c r="K111" i="14"/>
  <c r="L111" i="14" s="1"/>
  <c r="K109" i="14"/>
  <c r="L109" i="14" s="1"/>
  <c r="K107" i="14"/>
  <c r="L107" i="14" s="1"/>
  <c r="K105" i="14"/>
  <c r="L105" i="14" s="1"/>
  <c r="K103" i="14"/>
  <c r="L103" i="14" s="1"/>
  <c r="K101" i="14"/>
  <c r="L101" i="14" s="1"/>
  <c r="K99" i="14"/>
  <c r="L99" i="14" s="1"/>
  <c r="K97" i="14"/>
  <c r="L97" i="14" s="1"/>
  <c r="K95" i="14"/>
  <c r="L95" i="14" s="1"/>
  <c r="K118" i="14"/>
  <c r="L118" i="14" s="1"/>
  <c r="K102" i="14"/>
  <c r="L102" i="14" s="1"/>
  <c r="K93" i="14"/>
  <c r="L93" i="14" s="1"/>
  <c r="K91" i="14"/>
  <c r="L91" i="14" s="1"/>
  <c r="K89" i="14"/>
  <c r="L89" i="14" s="1"/>
  <c r="K87" i="14"/>
  <c r="L87" i="14" s="1"/>
  <c r="K85" i="14"/>
  <c r="L85" i="14" s="1"/>
  <c r="K83" i="14"/>
  <c r="L83" i="14" s="1"/>
  <c r="K81" i="14"/>
  <c r="L81" i="14" s="1"/>
  <c r="K79" i="14"/>
  <c r="L79" i="14" s="1"/>
  <c r="K77" i="14"/>
  <c r="L77" i="14" s="1"/>
  <c r="K75" i="14"/>
  <c r="L75" i="14" s="1"/>
  <c r="K73" i="14"/>
  <c r="L73" i="14" s="1"/>
  <c r="K71" i="14"/>
  <c r="L71" i="14" s="1"/>
  <c r="K69" i="14"/>
  <c r="L69" i="14" s="1"/>
  <c r="K67" i="14"/>
  <c r="L67" i="14" s="1"/>
  <c r="K65" i="14"/>
  <c r="L65" i="14" s="1"/>
  <c r="K63" i="14"/>
  <c r="L63" i="14" s="1"/>
  <c r="K61" i="14"/>
  <c r="L61" i="14" s="1"/>
  <c r="K140" i="14"/>
  <c r="L140" i="14" s="1"/>
  <c r="K132" i="14"/>
  <c r="L132" i="14" s="1"/>
  <c r="K124" i="14"/>
  <c r="L124" i="14" s="1"/>
  <c r="K108" i="14"/>
  <c r="L108" i="14" s="1"/>
  <c r="K114" i="14"/>
  <c r="L114" i="14" s="1"/>
  <c r="K98" i="14"/>
  <c r="L98" i="14" s="1"/>
  <c r="K146" i="14"/>
  <c r="L146" i="14" s="1"/>
  <c r="K138" i="14"/>
  <c r="L138" i="14" s="1"/>
  <c r="K130" i="14"/>
  <c r="L130" i="14" s="1"/>
  <c r="K120" i="14"/>
  <c r="L120" i="14" s="1"/>
  <c r="K104" i="14"/>
  <c r="L104" i="14" s="1"/>
  <c r="K110" i="14"/>
  <c r="L110" i="14" s="1"/>
  <c r="K94" i="14"/>
  <c r="L94" i="14" s="1"/>
  <c r="K92" i="14"/>
  <c r="L92" i="14" s="1"/>
  <c r="K90" i="14"/>
  <c r="L90" i="14" s="1"/>
  <c r="K88" i="14"/>
  <c r="L88" i="14" s="1"/>
  <c r="K86" i="14"/>
  <c r="L86" i="14" s="1"/>
  <c r="K84" i="14"/>
  <c r="L84" i="14" s="1"/>
  <c r="K82" i="14"/>
  <c r="L82" i="14" s="1"/>
  <c r="K80" i="14"/>
  <c r="L80" i="14" s="1"/>
  <c r="K78" i="14"/>
  <c r="L78" i="14" s="1"/>
  <c r="K76" i="14"/>
  <c r="L76" i="14" s="1"/>
  <c r="K74" i="14"/>
  <c r="L74" i="14" s="1"/>
  <c r="K72" i="14"/>
  <c r="L72" i="14" s="1"/>
  <c r="K70" i="14"/>
  <c r="L70" i="14" s="1"/>
  <c r="K68" i="14"/>
  <c r="L68" i="14" s="1"/>
  <c r="K66" i="14"/>
  <c r="L66" i="14" s="1"/>
  <c r="K64" i="14"/>
  <c r="L64" i="14" s="1"/>
  <c r="K62" i="14"/>
  <c r="L62" i="14" s="1"/>
  <c r="K144" i="14"/>
  <c r="L144" i="14" s="1"/>
  <c r="K136" i="14"/>
  <c r="L136" i="14" s="1"/>
  <c r="K128" i="14"/>
  <c r="L128" i="14" s="1"/>
  <c r="K116" i="14"/>
  <c r="L116" i="14" s="1"/>
  <c r="K100" i="14"/>
  <c r="L100" i="14" s="1"/>
  <c r="K122" i="14"/>
  <c r="L122" i="14" s="1"/>
  <c r="K106" i="14"/>
  <c r="L106" i="14" s="1"/>
  <c r="K142" i="14"/>
  <c r="L142" i="14" s="1"/>
  <c r="K134" i="14"/>
  <c r="L134" i="14" s="1"/>
  <c r="K126" i="14"/>
  <c r="L126" i="14" s="1"/>
  <c r="K112" i="14"/>
  <c r="L112" i="14" s="1"/>
  <c r="K96" i="14"/>
  <c r="L96" i="14" s="1"/>
  <c r="K60" i="14"/>
  <c r="L60" i="14" s="1"/>
  <c r="K58" i="14"/>
  <c r="L58" i="14" s="1"/>
  <c r="K56" i="14"/>
  <c r="L56" i="14" s="1"/>
  <c r="K54" i="14"/>
  <c r="L54" i="14" s="1"/>
  <c r="K52" i="14"/>
  <c r="L52" i="14" s="1"/>
  <c r="K50" i="14"/>
  <c r="L50" i="14" s="1"/>
  <c r="K48" i="14"/>
  <c r="L48" i="14" s="1"/>
  <c r="K46" i="14"/>
  <c r="L46" i="14" s="1"/>
  <c r="K44" i="14"/>
  <c r="L44" i="14" s="1"/>
  <c r="K42" i="14"/>
  <c r="L42" i="14" s="1"/>
  <c r="K40" i="14"/>
  <c r="L40" i="14" s="1"/>
  <c r="K38" i="14"/>
  <c r="L38" i="14" s="1"/>
  <c r="K36" i="14"/>
  <c r="L36" i="14" s="1"/>
  <c r="K34" i="14"/>
  <c r="L34" i="14" s="1"/>
  <c r="K32" i="14"/>
  <c r="L32" i="14" s="1"/>
  <c r="K30" i="14"/>
  <c r="L30" i="14" s="1"/>
  <c r="K28" i="14"/>
  <c r="L28" i="14" s="1"/>
  <c r="K26" i="14"/>
  <c r="L26" i="14" s="1"/>
  <c r="K24" i="14"/>
  <c r="L24" i="14" s="1"/>
  <c r="K22" i="14"/>
  <c r="L22" i="14" s="1"/>
  <c r="K20" i="14"/>
  <c r="L20" i="14" s="1"/>
  <c r="K18" i="14"/>
  <c r="L18" i="14" s="1"/>
  <c r="K16" i="14"/>
  <c r="L16" i="14" s="1"/>
  <c r="K59" i="14"/>
  <c r="L59" i="14" s="1"/>
  <c r="K57" i="14"/>
  <c r="L57" i="14" s="1"/>
  <c r="K55" i="14"/>
  <c r="L55" i="14" s="1"/>
  <c r="K53" i="14"/>
  <c r="L53" i="14" s="1"/>
  <c r="K51" i="14"/>
  <c r="L51" i="14" s="1"/>
  <c r="K49" i="14"/>
  <c r="L49" i="14" s="1"/>
  <c r="K47" i="14"/>
  <c r="L47" i="14" s="1"/>
  <c r="K45" i="14"/>
  <c r="L45" i="14" s="1"/>
  <c r="K43" i="14"/>
  <c r="L43" i="14" s="1"/>
  <c r="K41" i="14"/>
  <c r="L41" i="14" s="1"/>
  <c r="K39" i="14"/>
  <c r="L39" i="14" s="1"/>
  <c r="K37" i="14"/>
  <c r="L37" i="14" s="1"/>
  <c r="K35" i="14"/>
  <c r="L35" i="14" s="1"/>
  <c r="K33" i="14"/>
  <c r="L33" i="14" s="1"/>
  <c r="K31" i="14"/>
  <c r="L31" i="14" s="1"/>
  <c r="K29" i="14"/>
  <c r="L29" i="14" s="1"/>
  <c r="K27" i="14"/>
  <c r="L27" i="14" s="1"/>
  <c r="K25" i="14"/>
  <c r="L25" i="14" s="1"/>
  <c r="K23" i="14"/>
  <c r="L23" i="14" s="1"/>
  <c r="K21" i="14"/>
  <c r="L21" i="14" s="1"/>
  <c r="K19" i="14"/>
  <c r="L19" i="14" s="1"/>
  <c r="K17" i="14"/>
  <c r="L17" i="14" s="1"/>
  <c r="K15" i="14"/>
  <c r="L15" i="14" s="1"/>
  <c r="B27" i="4"/>
  <c r="D31" i="4" s="1"/>
  <c r="D23" i="10"/>
  <c r="C23" i="10"/>
  <c r="C22" i="10"/>
  <c r="E22" i="10" s="1"/>
  <c r="C21" i="10"/>
  <c r="E21" i="10" s="1"/>
  <c r="C20" i="10"/>
  <c r="E20" i="10" s="1"/>
  <c r="C19" i="10"/>
  <c r="E19" i="10" s="1"/>
  <c r="C18" i="10"/>
  <c r="E18" i="10" s="1"/>
  <c r="C17" i="10"/>
  <c r="E17" i="10" s="1"/>
  <c r="C16" i="10"/>
  <c r="E16" i="10" s="1"/>
  <c r="E15" i="10"/>
  <c r="E14" i="10"/>
  <c r="C10" i="10"/>
  <c r="D6" i="10" s="1"/>
  <c r="I4" i="10"/>
  <c r="G4" i="10"/>
  <c r="D4" i="10"/>
  <c r="D3" i="10"/>
  <c r="D7" i="10" l="1"/>
  <c r="D9" i="10"/>
  <c r="F23" i="10" s="1"/>
  <c r="D8" i="10"/>
  <c r="D27" i="10" s="1"/>
  <c r="D28" i="10" s="1"/>
  <c r="F15" i="10"/>
  <c r="F14" i="10"/>
  <c r="F21" i="10"/>
  <c r="E23" i="10"/>
  <c r="M34" i="14"/>
  <c r="O34" i="14"/>
  <c r="O53" i="14"/>
  <c r="M53" i="14"/>
  <c r="M56" i="14"/>
  <c r="O56" i="14"/>
  <c r="O23" i="14"/>
  <c r="M23" i="14"/>
  <c r="O39" i="14"/>
  <c r="M39" i="14"/>
  <c r="O55" i="14"/>
  <c r="M55" i="14"/>
  <c r="M26" i="14"/>
  <c r="O26" i="14"/>
  <c r="M42" i="14"/>
  <c r="O42" i="14"/>
  <c r="M58" i="14"/>
  <c r="O58" i="14"/>
  <c r="O122" i="14"/>
  <c r="M122" i="14"/>
  <c r="O66" i="14"/>
  <c r="M66" i="14"/>
  <c r="O82" i="14"/>
  <c r="M82" i="14"/>
  <c r="O104" i="14"/>
  <c r="M104" i="14"/>
  <c r="O124" i="14"/>
  <c r="M124" i="14"/>
  <c r="O71" i="14"/>
  <c r="M71" i="14"/>
  <c r="O87" i="14"/>
  <c r="M87" i="14"/>
  <c r="O99" i="14"/>
  <c r="M99" i="14"/>
  <c r="O115" i="14"/>
  <c r="M115" i="14"/>
  <c r="M131" i="14"/>
  <c r="O131" i="14"/>
  <c r="M147" i="14"/>
  <c r="O147" i="14"/>
  <c r="G15" i="14"/>
  <c r="E15" i="14"/>
  <c r="G31" i="14"/>
  <c r="E31" i="14"/>
  <c r="G47" i="14"/>
  <c r="E47" i="14"/>
  <c r="E78" i="14"/>
  <c r="G78" i="14"/>
  <c r="G18" i="14"/>
  <c r="E18" i="14"/>
  <c r="G34" i="14"/>
  <c r="E34" i="14"/>
  <c r="G50" i="14"/>
  <c r="E50" i="14"/>
  <c r="G95" i="14"/>
  <c r="E95" i="14"/>
  <c r="E63" i="14"/>
  <c r="G63" i="14"/>
  <c r="E79" i="14"/>
  <c r="G79" i="14"/>
  <c r="G105" i="14"/>
  <c r="E105" i="14"/>
  <c r="G132" i="14"/>
  <c r="E132" i="14"/>
  <c r="E119" i="14"/>
  <c r="G119" i="14"/>
  <c r="E97" i="14"/>
  <c r="G97" i="14"/>
  <c r="G136" i="14"/>
  <c r="E136" i="14"/>
  <c r="G125" i="14"/>
  <c r="E125" i="14"/>
  <c r="G141" i="14"/>
  <c r="E141" i="14"/>
  <c r="O31" i="14"/>
  <c r="M31" i="14"/>
  <c r="O37" i="14"/>
  <c r="M37" i="14"/>
  <c r="M40" i="14"/>
  <c r="O40" i="14"/>
  <c r="O25" i="14"/>
  <c r="M25" i="14"/>
  <c r="O41" i="14"/>
  <c r="M41" i="14"/>
  <c r="O57" i="14"/>
  <c r="M57" i="14"/>
  <c r="M28" i="14"/>
  <c r="O28" i="14"/>
  <c r="M44" i="14"/>
  <c r="O44" i="14"/>
  <c r="O60" i="14"/>
  <c r="M60" i="14"/>
  <c r="O100" i="14"/>
  <c r="M100" i="14"/>
  <c r="O68" i="14"/>
  <c r="M68" i="14"/>
  <c r="O84" i="14"/>
  <c r="M84" i="14"/>
  <c r="O120" i="14"/>
  <c r="M120" i="14"/>
  <c r="O132" i="14"/>
  <c r="M132" i="14"/>
  <c r="O73" i="14"/>
  <c r="M73" i="14"/>
  <c r="O89" i="14"/>
  <c r="M89" i="14"/>
  <c r="M101" i="14"/>
  <c r="O101" i="14"/>
  <c r="M117" i="14"/>
  <c r="O117" i="14"/>
  <c r="M133" i="14"/>
  <c r="O133" i="14"/>
  <c r="E68" i="14"/>
  <c r="G68" i="14"/>
  <c r="G17" i="14"/>
  <c r="E17" i="14"/>
  <c r="G33" i="14"/>
  <c r="E33" i="14"/>
  <c r="G49" i="14"/>
  <c r="E49" i="14"/>
  <c r="E76" i="14"/>
  <c r="G76" i="14"/>
  <c r="G20" i="14"/>
  <c r="E20" i="14"/>
  <c r="G36" i="14"/>
  <c r="E36" i="14"/>
  <c r="G52" i="14"/>
  <c r="E52" i="14"/>
  <c r="E98" i="14"/>
  <c r="G98" i="14"/>
  <c r="E65" i="14"/>
  <c r="G65" i="14"/>
  <c r="E81" i="14"/>
  <c r="G81" i="14"/>
  <c r="E108" i="14"/>
  <c r="G108" i="14"/>
  <c r="G140" i="14"/>
  <c r="E140" i="14"/>
  <c r="E122" i="14"/>
  <c r="G122" i="14"/>
  <c r="E100" i="14"/>
  <c r="G100" i="14"/>
  <c r="G144" i="14"/>
  <c r="E144" i="14"/>
  <c r="E127" i="14"/>
  <c r="G127" i="14"/>
  <c r="E143" i="14"/>
  <c r="G143" i="14"/>
  <c r="O27" i="14"/>
  <c r="M27" i="14"/>
  <c r="O59" i="14"/>
  <c r="M59" i="14"/>
  <c r="M46" i="14"/>
  <c r="O46" i="14"/>
  <c r="O116" i="14"/>
  <c r="M116" i="14"/>
  <c r="O70" i="14"/>
  <c r="M70" i="14"/>
  <c r="O86" i="14"/>
  <c r="M86" i="14"/>
  <c r="O130" i="14"/>
  <c r="M130" i="14"/>
  <c r="O140" i="14"/>
  <c r="M140" i="14"/>
  <c r="O75" i="14"/>
  <c r="M75" i="14"/>
  <c r="O91" i="14"/>
  <c r="M91" i="14"/>
  <c r="O103" i="14"/>
  <c r="M103" i="14"/>
  <c r="O119" i="14"/>
  <c r="M119" i="14"/>
  <c r="M135" i="14"/>
  <c r="O135" i="14"/>
  <c r="E90" i="14"/>
  <c r="G90" i="14"/>
  <c r="G19" i="14"/>
  <c r="E19" i="14"/>
  <c r="G35" i="14"/>
  <c r="E35" i="14"/>
  <c r="G51" i="14"/>
  <c r="E51" i="14"/>
  <c r="E84" i="14"/>
  <c r="G84" i="14"/>
  <c r="G22" i="14"/>
  <c r="E22" i="14"/>
  <c r="G38" i="14"/>
  <c r="E38" i="14"/>
  <c r="G54" i="14"/>
  <c r="E54" i="14"/>
  <c r="G111" i="14"/>
  <c r="E111" i="14"/>
  <c r="E67" i="14"/>
  <c r="G67" i="14"/>
  <c r="E83" i="14"/>
  <c r="G83" i="14"/>
  <c r="G121" i="14"/>
  <c r="E121" i="14"/>
  <c r="G148" i="14"/>
  <c r="E148" i="14"/>
  <c r="G126" i="14"/>
  <c r="E126" i="14"/>
  <c r="E113" i="14"/>
  <c r="G113" i="14"/>
  <c r="G149" i="14"/>
  <c r="E149" i="14"/>
  <c r="G129" i="14"/>
  <c r="E129" i="14"/>
  <c r="G145" i="14"/>
  <c r="E145" i="14"/>
  <c r="O43" i="14"/>
  <c r="M43" i="14"/>
  <c r="M30" i="14"/>
  <c r="O30" i="14"/>
  <c r="O96" i="14"/>
  <c r="M96" i="14"/>
  <c r="O29" i="14"/>
  <c r="M29" i="14"/>
  <c r="O45" i="14"/>
  <c r="M45" i="14"/>
  <c r="M16" i="14"/>
  <c r="O16" i="14"/>
  <c r="M32" i="14"/>
  <c r="O32" i="14"/>
  <c r="M48" i="14"/>
  <c r="O48" i="14"/>
  <c r="O112" i="14"/>
  <c r="M112" i="14"/>
  <c r="O128" i="14"/>
  <c r="M128" i="14"/>
  <c r="O72" i="14"/>
  <c r="M72" i="14"/>
  <c r="O88" i="14"/>
  <c r="M88" i="14"/>
  <c r="O138" i="14"/>
  <c r="M138" i="14"/>
  <c r="O61" i="14"/>
  <c r="M61" i="14"/>
  <c r="O77" i="14"/>
  <c r="M77" i="14"/>
  <c r="O93" i="14"/>
  <c r="M93" i="14"/>
  <c r="O105" i="14"/>
  <c r="M105" i="14"/>
  <c r="O121" i="14"/>
  <c r="M121" i="14"/>
  <c r="M137" i="14"/>
  <c r="O137" i="14"/>
  <c r="E66" i="14"/>
  <c r="G66" i="14"/>
  <c r="G21" i="14"/>
  <c r="E21" i="14"/>
  <c r="G37" i="14"/>
  <c r="E37" i="14"/>
  <c r="G53" i="14"/>
  <c r="E53" i="14"/>
  <c r="E74" i="14"/>
  <c r="G74" i="14"/>
  <c r="G24" i="14"/>
  <c r="E24" i="14"/>
  <c r="G40" i="14"/>
  <c r="E40" i="14"/>
  <c r="G56" i="14"/>
  <c r="E56" i="14"/>
  <c r="E114" i="14"/>
  <c r="G114" i="14"/>
  <c r="E69" i="14"/>
  <c r="G69" i="14"/>
  <c r="E85" i="14"/>
  <c r="G85" i="14"/>
  <c r="E124" i="14"/>
  <c r="G124" i="14"/>
  <c r="E96" i="14"/>
  <c r="G96" i="14"/>
  <c r="G134" i="14"/>
  <c r="E134" i="14"/>
  <c r="E116" i="14"/>
  <c r="G116" i="14"/>
  <c r="G101" i="14"/>
  <c r="E101" i="14"/>
  <c r="G131" i="14"/>
  <c r="E131" i="14"/>
  <c r="G147" i="14"/>
  <c r="E147" i="14"/>
  <c r="M18" i="14"/>
  <c r="O18" i="14"/>
  <c r="M50" i="14"/>
  <c r="O50" i="14"/>
  <c r="O126" i="14"/>
  <c r="M126" i="14"/>
  <c r="O136" i="14"/>
  <c r="M136" i="14"/>
  <c r="O74" i="14"/>
  <c r="M74" i="14"/>
  <c r="O90" i="14"/>
  <c r="M90" i="14"/>
  <c r="O146" i="14"/>
  <c r="M146" i="14"/>
  <c r="O63" i="14"/>
  <c r="M63" i="14"/>
  <c r="O79" i="14"/>
  <c r="M79" i="14"/>
  <c r="O102" i="14"/>
  <c r="M102" i="14"/>
  <c r="O107" i="14"/>
  <c r="M107" i="14"/>
  <c r="O123" i="14"/>
  <c r="M123" i="14"/>
  <c r="M139" i="14"/>
  <c r="O139" i="14"/>
  <c r="E80" i="14"/>
  <c r="G80" i="14"/>
  <c r="G23" i="14"/>
  <c r="E23" i="14"/>
  <c r="G39" i="14"/>
  <c r="E39" i="14"/>
  <c r="G55" i="14"/>
  <c r="E55" i="14"/>
  <c r="E88" i="14"/>
  <c r="G88" i="14"/>
  <c r="G26" i="14"/>
  <c r="E26" i="14"/>
  <c r="G42" i="14"/>
  <c r="E42" i="14"/>
  <c r="G58" i="14"/>
  <c r="E58" i="14"/>
  <c r="G130" i="14"/>
  <c r="E130" i="14"/>
  <c r="E71" i="14"/>
  <c r="G71" i="14"/>
  <c r="E87" i="14"/>
  <c r="G87" i="14"/>
  <c r="G99" i="14"/>
  <c r="E99" i="14"/>
  <c r="G109" i="14"/>
  <c r="E109" i="14"/>
  <c r="G142" i="14"/>
  <c r="E142" i="14"/>
  <c r="G107" i="14"/>
  <c r="E107" i="14"/>
  <c r="E104" i="14"/>
  <c r="G104" i="14"/>
  <c r="G133" i="14"/>
  <c r="E133" i="14"/>
  <c r="G150" i="14"/>
  <c r="E150" i="14"/>
  <c r="O15" i="14"/>
  <c r="M15" i="14"/>
  <c r="O33" i="14"/>
  <c r="M33" i="14"/>
  <c r="M20" i="14"/>
  <c r="O20" i="14"/>
  <c r="M52" i="14"/>
  <c r="O52" i="14"/>
  <c r="O144" i="14"/>
  <c r="M144" i="14"/>
  <c r="O92" i="14"/>
  <c r="M92" i="14"/>
  <c r="O98" i="14"/>
  <c r="M98" i="14"/>
  <c r="O65" i="14"/>
  <c r="M65" i="14"/>
  <c r="O81" i="14"/>
  <c r="M81" i="14"/>
  <c r="O118" i="14"/>
  <c r="M118" i="14"/>
  <c r="O109" i="14"/>
  <c r="M109" i="14"/>
  <c r="M125" i="14"/>
  <c r="O125" i="14"/>
  <c r="M141" i="14"/>
  <c r="O141" i="14"/>
  <c r="E86" i="14"/>
  <c r="G86" i="14"/>
  <c r="G25" i="14"/>
  <c r="E25" i="14"/>
  <c r="G41" i="14"/>
  <c r="E41" i="14"/>
  <c r="G57" i="14"/>
  <c r="E57" i="14"/>
  <c r="E72" i="14"/>
  <c r="G72" i="14"/>
  <c r="G28" i="14"/>
  <c r="E28" i="14"/>
  <c r="G44" i="14"/>
  <c r="E44" i="14"/>
  <c r="G60" i="14"/>
  <c r="E60" i="14"/>
  <c r="G138" i="14"/>
  <c r="E138" i="14"/>
  <c r="E73" i="14"/>
  <c r="G73" i="14"/>
  <c r="E89" i="14"/>
  <c r="G89" i="14"/>
  <c r="E102" i="14"/>
  <c r="G102" i="14"/>
  <c r="E112" i="14"/>
  <c r="G112" i="14"/>
  <c r="G152" i="14"/>
  <c r="E152" i="14"/>
  <c r="E110" i="14"/>
  <c r="G110" i="14"/>
  <c r="G117" i="14"/>
  <c r="E117" i="14"/>
  <c r="E135" i="14"/>
  <c r="G135" i="14"/>
  <c r="G154" i="14"/>
  <c r="E154" i="14"/>
  <c r="O47" i="14"/>
  <c r="M47" i="14"/>
  <c r="O17" i="14"/>
  <c r="M17" i="14"/>
  <c r="O49" i="14"/>
  <c r="M49" i="14"/>
  <c r="M36" i="14"/>
  <c r="O36" i="14"/>
  <c r="O134" i="14"/>
  <c r="M134" i="14"/>
  <c r="O76" i="14"/>
  <c r="M76" i="14"/>
  <c r="O19" i="14"/>
  <c r="M19" i="14"/>
  <c r="O35" i="14"/>
  <c r="M35" i="14"/>
  <c r="O51" i="14"/>
  <c r="M51" i="14"/>
  <c r="M22" i="14"/>
  <c r="O22" i="14"/>
  <c r="M38" i="14"/>
  <c r="O38" i="14"/>
  <c r="M54" i="14"/>
  <c r="O54" i="14"/>
  <c r="O142" i="14"/>
  <c r="M142" i="14"/>
  <c r="O62" i="14"/>
  <c r="M62" i="14"/>
  <c r="O78" i="14"/>
  <c r="M78" i="14"/>
  <c r="O94" i="14"/>
  <c r="M94" i="14"/>
  <c r="O114" i="14"/>
  <c r="M114" i="14"/>
  <c r="O67" i="14"/>
  <c r="M67" i="14"/>
  <c r="O83" i="14"/>
  <c r="M83" i="14"/>
  <c r="M95" i="14"/>
  <c r="O95" i="14"/>
  <c r="M111" i="14"/>
  <c r="O111" i="14"/>
  <c r="M127" i="14"/>
  <c r="O127" i="14"/>
  <c r="M143" i="14"/>
  <c r="O143" i="14"/>
  <c r="E61" i="14"/>
  <c r="G61" i="14"/>
  <c r="G27" i="14"/>
  <c r="E27" i="14"/>
  <c r="G43" i="14"/>
  <c r="E43" i="14"/>
  <c r="G59" i="14"/>
  <c r="E59" i="14"/>
  <c r="G14" i="14"/>
  <c r="E14" i="14"/>
  <c r="G30" i="14"/>
  <c r="E30" i="14"/>
  <c r="G46" i="14"/>
  <c r="E46" i="14"/>
  <c r="E70" i="14"/>
  <c r="G70" i="14"/>
  <c r="G146" i="14"/>
  <c r="E146" i="14"/>
  <c r="E75" i="14"/>
  <c r="G75" i="14"/>
  <c r="E91" i="14"/>
  <c r="G91" i="14"/>
  <c r="G115" i="14"/>
  <c r="E115" i="14"/>
  <c r="E103" i="14"/>
  <c r="G103" i="14"/>
  <c r="E92" i="14"/>
  <c r="G92" i="14"/>
  <c r="G123" i="14"/>
  <c r="E123" i="14"/>
  <c r="E120" i="14"/>
  <c r="G120" i="14"/>
  <c r="G137" i="14"/>
  <c r="E137" i="14"/>
  <c r="O21" i="14"/>
  <c r="M21" i="14"/>
  <c r="M24" i="14"/>
  <c r="O24" i="14"/>
  <c r="O106" i="14"/>
  <c r="M106" i="14"/>
  <c r="O64" i="14"/>
  <c r="M64" i="14"/>
  <c r="O80" i="14"/>
  <c r="M80" i="14"/>
  <c r="O110" i="14"/>
  <c r="M110" i="14"/>
  <c r="O108" i="14"/>
  <c r="M108" i="14"/>
  <c r="O69" i="14"/>
  <c r="M69" i="14"/>
  <c r="O85" i="14"/>
  <c r="M85" i="14"/>
  <c r="O97" i="14"/>
  <c r="M97" i="14"/>
  <c r="O113" i="14"/>
  <c r="M113" i="14"/>
  <c r="M129" i="14"/>
  <c r="O129" i="14"/>
  <c r="M145" i="14"/>
  <c r="O145" i="14"/>
  <c r="E64" i="14"/>
  <c r="G64" i="14"/>
  <c r="G29" i="14"/>
  <c r="E29" i="14"/>
  <c r="G45" i="14"/>
  <c r="E45" i="14"/>
  <c r="E62" i="14"/>
  <c r="G62" i="14"/>
  <c r="G16" i="14"/>
  <c r="E16" i="14"/>
  <c r="G32" i="14"/>
  <c r="E32" i="14"/>
  <c r="G48" i="14"/>
  <c r="E48" i="14"/>
  <c r="E82" i="14"/>
  <c r="G82" i="14"/>
  <c r="G153" i="14"/>
  <c r="E153" i="14"/>
  <c r="E77" i="14"/>
  <c r="G77" i="14"/>
  <c r="G93" i="14"/>
  <c r="E93" i="14"/>
  <c r="E118" i="14"/>
  <c r="G118" i="14"/>
  <c r="E106" i="14"/>
  <c r="G106" i="14"/>
  <c r="E94" i="14"/>
  <c r="G94" i="14"/>
  <c r="G128" i="14"/>
  <c r="E128" i="14"/>
  <c r="E151" i="14"/>
  <c r="G151" i="14"/>
  <c r="G139" i="14"/>
  <c r="E139" i="14"/>
  <c r="C32" i="4"/>
  <c r="C33" i="4" s="1"/>
  <c r="B32" i="4"/>
  <c r="B33" i="4" s="1"/>
  <c r="F22" i="10"/>
  <c r="F19" i="10"/>
  <c r="F20" i="10"/>
  <c r="F16" i="10"/>
  <c r="F17" i="10"/>
  <c r="D5" i="10"/>
  <c r="F18" i="10" l="1"/>
  <c r="E6" i="3"/>
  <c r="D55" i="9"/>
  <c r="C55" i="9"/>
  <c r="B55" i="9"/>
  <c r="D47" i="9"/>
  <c r="C47" i="9"/>
  <c r="B48" i="9" s="1"/>
  <c r="D6" i="3" s="1"/>
  <c r="B47" i="9"/>
  <c r="E4" i="3" l="1"/>
  <c r="D38" i="9"/>
  <c r="C38" i="9"/>
  <c r="B39" i="9" s="1"/>
  <c r="D4" i="3" s="1"/>
  <c r="B38" i="9"/>
  <c r="D29" i="9"/>
  <c r="C29" i="9"/>
  <c r="B29" i="9"/>
  <c r="E3" i="3" l="1"/>
  <c r="E18" i="9"/>
  <c r="D18" i="9"/>
  <c r="C18" i="9"/>
  <c r="B18" i="9"/>
  <c r="B19" i="9" s="1"/>
  <c r="D3" i="3" s="1"/>
  <c r="F15" i="9"/>
  <c r="D8" i="9"/>
  <c r="C8" i="9"/>
  <c r="B8" i="9"/>
  <c r="F154" i="6" l="1"/>
  <c r="B154" i="6"/>
  <c r="F153" i="6"/>
  <c r="B153" i="6"/>
  <c r="F152" i="6"/>
  <c r="B152" i="6"/>
  <c r="F151" i="6"/>
  <c r="B151" i="6"/>
  <c r="F150" i="6"/>
  <c r="B150" i="6"/>
  <c r="F149" i="6"/>
  <c r="B149" i="6"/>
  <c r="F148" i="6"/>
  <c r="B148" i="6"/>
  <c r="N147" i="6"/>
  <c r="J147" i="6"/>
  <c r="F147" i="6"/>
  <c r="B147" i="6"/>
  <c r="N146" i="6"/>
  <c r="J146" i="6"/>
  <c r="F146" i="6"/>
  <c r="B146" i="6"/>
  <c r="N145" i="6"/>
  <c r="J145" i="6"/>
  <c r="F145" i="6"/>
  <c r="B145" i="6"/>
  <c r="N144" i="6"/>
  <c r="J144" i="6"/>
  <c r="F144" i="6"/>
  <c r="B144" i="6"/>
  <c r="N143" i="6"/>
  <c r="J143" i="6"/>
  <c r="F143" i="6"/>
  <c r="B143" i="6"/>
  <c r="N142" i="6"/>
  <c r="J142" i="6"/>
  <c r="F142" i="6"/>
  <c r="B142" i="6"/>
  <c r="N141" i="6"/>
  <c r="J141" i="6"/>
  <c r="F141" i="6"/>
  <c r="B141" i="6"/>
  <c r="N140" i="6"/>
  <c r="J140" i="6"/>
  <c r="F140" i="6"/>
  <c r="B140" i="6"/>
  <c r="N139" i="6"/>
  <c r="J139" i="6"/>
  <c r="F139" i="6"/>
  <c r="B139" i="6"/>
  <c r="N138" i="6"/>
  <c r="J138" i="6"/>
  <c r="F138" i="6"/>
  <c r="B138" i="6"/>
  <c r="N137" i="6"/>
  <c r="J137" i="6"/>
  <c r="F137" i="6"/>
  <c r="B137" i="6"/>
  <c r="N136" i="6"/>
  <c r="J136" i="6"/>
  <c r="F136" i="6"/>
  <c r="B136" i="6"/>
  <c r="N135" i="6"/>
  <c r="J135" i="6"/>
  <c r="F135" i="6"/>
  <c r="B135" i="6"/>
  <c r="N134" i="6"/>
  <c r="J134" i="6"/>
  <c r="F134" i="6"/>
  <c r="B134" i="6"/>
  <c r="N133" i="6"/>
  <c r="J133" i="6"/>
  <c r="F133" i="6"/>
  <c r="B133" i="6"/>
  <c r="N132" i="6"/>
  <c r="J132" i="6"/>
  <c r="F132" i="6"/>
  <c r="B132" i="6"/>
  <c r="N131" i="6"/>
  <c r="J131" i="6"/>
  <c r="F131" i="6"/>
  <c r="B131" i="6"/>
  <c r="N130" i="6"/>
  <c r="J130" i="6"/>
  <c r="F130" i="6"/>
  <c r="B130" i="6"/>
  <c r="N129" i="6"/>
  <c r="J129" i="6"/>
  <c r="F129" i="6"/>
  <c r="B129" i="6"/>
  <c r="N128" i="6"/>
  <c r="J128" i="6"/>
  <c r="F128" i="6"/>
  <c r="B128" i="6"/>
  <c r="N127" i="6"/>
  <c r="J127" i="6"/>
  <c r="F127" i="6"/>
  <c r="B127" i="6"/>
  <c r="N126" i="6"/>
  <c r="J126" i="6"/>
  <c r="F126" i="6"/>
  <c r="B126" i="6"/>
  <c r="N125" i="6"/>
  <c r="J125" i="6"/>
  <c r="F125" i="6"/>
  <c r="B125" i="6"/>
  <c r="N124" i="6"/>
  <c r="J124" i="6"/>
  <c r="F124" i="6"/>
  <c r="B124" i="6"/>
  <c r="N123" i="6"/>
  <c r="J123" i="6"/>
  <c r="F123" i="6"/>
  <c r="B123" i="6"/>
  <c r="N122" i="6"/>
  <c r="J122" i="6"/>
  <c r="F122" i="6"/>
  <c r="B122" i="6"/>
  <c r="N121" i="6"/>
  <c r="J121" i="6"/>
  <c r="F121" i="6"/>
  <c r="B121" i="6"/>
  <c r="N120" i="6"/>
  <c r="J120" i="6"/>
  <c r="F120" i="6"/>
  <c r="B120" i="6"/>
  <c r="N119" i="6"/>
  <c r="J119" i="6"/>
  <c r="F119" i="6"/>
  <c r="B119" i="6"/>
  <c r="N118" i="6"/>
  <c r="J118" i="6"/>
  <c r="F118" i="6"/>
  <c r="B118" i="6"/>
  <c r="N117" i="6"/>
  <c r="J117" i="6"/>
  <c r="F117" i="6"/>
  <c r="B117" i="6"/>
  <c r="N116" i="6"/>
  <c r="J116" i="6"/>
  <c r="F116" i="6"/>
  <c r="B116" i="6"/>
  <c r="N115" i="6"/>
  <c r="J115" i="6"/>
  <c r="F115" i="6"/>
  <c r="B115" i="6"/>
  <c r="N114" i="6"/>
  <c r="J114" i="6"/>
  <c r="F114" i="6"/>
  <c r="B114" i="6"/>
  <c r="N113" i="6"/>
  <c r="J113" i="6"/>
  <c r="F113" i="6"/>
  <c r="B113" i="6"/>
  <c r="N112" i="6"/>
  <c r="J112" i="6"/>
  <c r="F112" i="6"/>
  <c r="B112" i="6"/>
  <c r="N111" i="6"/>
  <c r="J111" i="6"/>
  <c r="F111" i="6"/>
  <c r="B111" i="6"/>
  <c r="N110" i="6"/>
  <c r="J110" i="6"/>
  <c r="F110" i="6"/>
  <c r="B110" i="6"/>
  <c r="N109" i="6"/>
  <c r="J109" i="6"/>
  <c r="F109" i="6"/>
  <c r="B109" i="6"/>
  <c r="N108" i="6"/>
  <c r="J108" i="6"/>
  <c r="F108" i="6"/>
  <c r="B108" i="6"/>
  <c r="N107" i="6"/>
  <c r="J107" i="6"/>
  <c r="F107" i="6"/>
  <c r="B107" i="6"/>
  <c r="N106" i="6"/>
  <c r="J106" i="6"/>
  <c r="F106" i="6"/>
  <c r="B106" i="6"/>
  <c r="N105" i="6"/>
  <c r="J105" i="6"/>
  <c r="F105" i="6"/>
  <c r="B105" i="6"/>
  <c r="N104" i="6"/>
  <c r="J104" i="6"/>
  <c r="F104" i="6"/>
  <c r="B104" i="6"/>
  <c r="N103" i="6"/>
  <c r="J103" i="6"/>
  <c r="F103" i="6"/>
  <c r="B103" i="6"/>
  <c r="N102" i="6"/>
  <c r="J102" i="6"/>
  <c r="F102" i="6"/>
  <c r="B102" i="6"/>
  <c r="N101" i="6"/>
  <c r="J101" i="6"/>
  <c r="F101" i="6"/>
  <c r="B101" i="6"/>
  <c r="N100" i="6"/>
  <c r="J100" i="6"/>
  <c r="F100" i="6"/>
  <c r="B100" i="6"/>
  <c r="N99" i="6"/>
  <c r="J99" i="6"/>
  <c r="F99" i="6"/>
  <c r="B99" i="6"/>
  <c r="N98" i="6"/>
  <c r="J98" i="6"/>
  <c r="F98" i="6"/>
  <c r="B98" i="6"/>
  <c r="N97" i="6"/>
  <c r="J97" i="6"/>
  <c r="F97" i="6"/>
  <c r="B97" i="6"/>
  <c r="N96" i="6"/>
  <c r="J96" i="6"/>
  <c r="F96" i="6"/>
  <c r="B96" i="6"/>
  <c r="N95" i="6"/>
  <c r="J95" i="6"/>
  <c r="F95" i="6"/>
  <c r="B95" i="6"/>
  <c r="N94" i="6"/>
  <c r="J94" i="6"/>
  <c r="F94" i="6"/>
  <c r="B94" i="6"/>
  <c r="N93" i="6"/>
  <c r="J93" i="6"/>
  <c r="F93" i="6"/>
  <c r="B93" i="6"/>
  <c r="N92" i="6"/>
  <c r="J92" i="6"/>
  <c r="F92" i="6"/>
  <c r="B92" i="6"/>
  <c r="N91" i="6"/>
  <c r="J91" i="6"/>
  <c r="F91" i="6"/>
  <c r="B91" i="6"/>
  <c r="N90" i="6"/>
  <c r="J90" i="6"/>
  <c r="F90" i="6"/>
  <c r="B90" i="6"/>
  <c r="N89" i="6"/>
  <c r="J89" i="6"/>
  <c r="F89" i="6"/>
  <c r="B89" i="6"/>
  <c r="N88" i="6"/>
  <c r="J88" i="6"/>
  <c r="F88" i="6"/>
  <c r="B88" i="6"/>
  <c r="N87" i="6"/>
  <c r="J87" i="6"/>
  <c r="F87" i="6"/>
  <c r="B87" i="6"/>
  <c r="N86" i="6"/>
  <c r="J86" i="6"/>
  <c r="F86" i="6"/>
  <c r="B86" i="6"/>
  <c r="N85" i="6"/>
  <c r="J85" i="6"/>
  <c r="F85" i="6"/>
  <c r="B85" i="6"/>
  <c r="N84" i="6"/>
  <c r="J84" i="6"/>
  <c r="F84" i="6"/>
  <c r="B84" i="6"/>
  <c r="N83" i="6"/>
  <c r="J83" i="6"/>
  <c r="F83" i="6"/>
  <c r="B83" i="6"/>
  <c r="N82" i="6"/>
  <c r="J82" i="6"/>
  <c r="F82" i="6"/>
  <c r="B82" i="6"/>
  <c r="N81" i="6"/>
  <c r="J81" i="6"/>
  <c r="F81" i="6"/>
  <c r="B81" i="6"/>
  <c r="N80" i="6"/>
  <c r="J80" i="6"/>
  <c r="F80" i="6"/>
  <c r="B80" i="6"/>
  <c r="N79" i="6"/>
  <c r="J79" i="6"/>
  <c r="F79" i="6"/>
  <c r="B79" i="6"/>
  <c r="N78" i="6"/>
  <c r="J78" i="6"/>
  <c r="F78" i="6"/>
  <c r="B78" i="6"/>
  <c r="N77" i="6"/>
  <c r="J77" i="6"/>
  <c r="F77" i="6"/>
  <c r="B77" i="6"/>
  <c r="N76" i="6"/>
  <c r="J76" i="6"/>
  <c r="F76" i="6"/>
  <c r="B76" i="6"/>
  <c r="N75" i="6"/>
  <c r="J75" i="6"/>
  <c r="F75" i="6"/>
  <c r="B75" i="6"/>
  <c r="N74" i="6"/>
  <c r="J74" i="6"/>
  <c r="F74" i="6"/>
  <c r="B74" i="6"/>
  <c r="N73" i="6"/>
  <c r="J73" i="6"/>
  <c r="F73" i="6"/>
  <c r="B73" i="6"/>
  <c r="N72" i="6"/>
  <c r="J72" i="6"/>
  <c r="F72" i="6"/>
  <c r="B72" i="6"/>
  <c r="N71" i="6"/>
  <c r="J71" i="6"/>
  <c r="F71" i="6"/>
  <c r="B71" i="6"/>
  <c r="N70" i="6"/>
  <c r="J70" i="6"/>
  <c r="F70" i="6"/>
  <c r="B70" i="6"/>
  <c r="N69" i="6"/>
  <c r="J69" i="6"/>
  <c r="F69" i="6"/>
  <c r="B69" i="6"/>
  <c r="N68" i="6"/>
  <c r="J68" i="6"/>
  <c r="F68" i="6"/>
  <c r="B68" i="6"/>
  <c r="N67" i="6"/>
  <c r="J67" i="6"/>
  <c r="F67" i="6"/>
  <c r="B67" i="6"/>
  <c r="N66" i="6"/>
  <c r="J66" i="6"/>
  <c r="F66" i="6"/>
  <c r="B66" i="6"/>
  <c r="N65" i="6"/>
  <c r="J65" i="6"/>
  <c r="F65" i="6"/>
  <c r="B65" i="6"/>
  <c r="N64" i="6"/>
  <c r="J64" i="6"/>
  <c r="F64" i="6"/>
  <c r="B64" i="6"/>
  <c r="N63" i="6"/>
  <c r="J63" i="6"/>
  <c r="F63" i="6"/>
  <c r="B63" i="6"/>
  <c r="N62" i="6"/>
  <c r="J62" i="6"/>
  <c r="F62" i="6"/>
  <c r="B62" i="6"/>
  <c r="N61" i="6"/>
  <c r="J61" i="6"/>
  <c r="F61" i="6"/>
  <c r="B61" i="6"/>
  <c r="N60" i="6"/>
  <c r="J60" i="6"/>
  <c r="F60" i="6"/>
  <c r="B60" i="6"/>
  <c r="N59" i="6"/>
  <c r="J59" i="6"/>
  <c r="F59" i="6"/>
  <c r="B59" i="6"/>
  <c r="N58" i="6"/>
  <c r="J58" i="6"/>
  <c r="F58" i="6"/>
  <c r="B58" i="6"/>
  <c r="N57" i="6"/>
  <c r="J57" i="6"/>
  <c r="F57" i="6"/>
  <c r="B57" i="6"/>
  <c r="N56" i="6"/>
  <c r="J56" i="6"/>
  <c r="F56" i="6"/>
  <c r="B56" i="6"/>
  <c r="N55" i="6"/>
  <c r="J55" i="6"/>
  <c r="F55" i="6"/>
  <c r="B55" i="6"/>
  <c r="N54" i="6"/>
  <c r="J54" i="6"/>
  <c r="F54" i="6"/>
  <c r="B54" i="6"/>
  <c r="N53" i="6"/>
  <c r="J53" i="6"/>
  <c r="F53" i="6"/>
  <c r="B53" i="6"/>
  <c r="N52" i="6"/>
  <c r="J52" i="6"/>
  <c r="F52" i="6"/>
  <c r="B52" i="6"/>
  <c r="N51" i="6"/>
  <c r="J51" i="6"/>
  <c r="F51" i="6"/>
  <c r="B51" i="6"/>
  <c r="N50" i="6"/>
  <c r="J50" i="6"/>
  <c r="F50" i="6"/>
  <c r="B50" i="6"/>
  <c r="N49" i="6"/>
  <c r="J49" i="6"/>
  <c r="F49" i="6"/>
  <c r="B49" i="6"/>
  <c r="N48" i="6"/>
  <c r="J48" i="6"/>
  <c r="F48" i="6"/>
  <c r="B48" i="6"/>
  <c r="N47" i="6"/>
  <c r="J47" i="6"/>
  <c r="F47" i="6"/>
  <c r="B47" i="6"/>
  <c r="N46" i="6"/>
  <c r="J46" i="6"/>
  <c r="F46" i="6"/>
  <c r="B46" i="6"/>
  <c r="N45" i="6"/>
  <c r="J45" i="6"/>
  <c r="F45" i="6"/>
  <c r="B45" i="6"/>
  <c r="N44" i="6"/>
  <c r="J44" i="6"/>
  <c r="F44" i="6"/>
  <c r="B44" i="6"/>
  <c r="N43" i="6"/>
  <c r="J43" i="6"/>
  <c r="F43" i="6"/>
  <c r="B43" i="6"/>
  <c r="N42" i="6"/>
  <c r="J42" i="6"/>
  <c r="F42" i="6"/>
  <c r="B42" i="6"/>
  <c r="N41" i="6"/>
  <c r="J41" i="6"/>
  <c r="F41" i="6"/>
  <c r="B41" i="6"/>
  <c r="N40" i="6"/>
  <c r="J40" i="6"/>
  <c r="F40" i="6"/>
  <c r="B40" i="6"/>
  <c r="N39" i="6"/>
  <c r="J39" i="6"/>
  <c r="F39" i="6"/>
  <c r="B39" i="6"/>
  <c r="N38" i="6"/>
  <c r="J38" i="6"/>
  <c r="F38" i="6"/>
  <c r="B38" i="6"/>
  <c r="N37" i="6"/>
  <c r="J37" i="6"/>
  <c r="F37" i="6"/>
  <c r="B37" i="6"/>
  <c r="N36" i="6"/>
  <c r="J36" i="6"/>
  <c r="F36" i="6"/>
  <c r="B36" i="6"/>
  <c r="N35" i="6"/>
  <c r="J35" i="6"/>
  <c r="F35" i="6"/>
  <c r="B35" i="6"/>
  <c r="N34" i="6"/>
  <c r="J34" i="6"/>
  <c r="F34" i="6"/>
  <c r="B34" i="6"/>
  <c r="N33" i="6"/>
  <c r="J33" i="6"/>
  <c r="F33" i="6"/>
  <c r="B33" i="6"/>
  <c r="N32" i="6"/>
  <c r="J32" i="6"/>
  <c r="F32" i="6"/>
  <c r="B32" i="6"/>
  <c r="N31" i="6"/>
  <c r="J31" i="6"/>
  <c r="F31" i="6"/>
  <c r="B31" i="6"/>
  <c r="N30" i="6"/>
  <c r="J30" i="6"/>
  <c r="F30" i="6"/>
  <c r="B30" i="6"/>
  <c r="N29" i="6"/>
  <c r="J29" i="6"/>
  <c r="F29" i="6"/>
  <c r="B29" i="6"/>
  <c r="N28" i="6"/>
  <c r="J28" i="6"/>
  <c r="F28" i="6"/>
  <c r="B28" i="6"/>
  <c r="N27" i="6"/>
  <c r="J27" i="6"/>
  <c r="F27" i="6"/>
  <c r="B27" i="6"/>
  <c r="N26" i="6"/>
  <c r="J26" i="6"/>
  <c r="F26" i="6"/>
  <c r="B26" i="6"/>
  <c r="N25" i="6"/>
  <c r="J25" i="6"/>
  <c r="F25" i="6"/>
  <c r="B25" i="6"/>
  <c r="N24" i="6"/>
  <c r="J24" i="6"/>
  <c r="F24" i="6"/>
  <c r="B24" i="6"/>
  <c r="N23" i="6"/>
  <c r="J23" i="6"/>
  <c r="F23" i="6"/>
  <c r="B23" i="6"/>
  <c r="N22" i="6"/>
  <c r="J22" i="6"/>
  <c r="F22" i="6"/>
  <c r="B22" i="6"/>
  <c r="N21" i="6"/>
  <c r="J21" i="6"/>
  <c r="F21" i="6"/>
  <c r="B21" i="6"/>
  <c r="N20" i="6"/>
  <c r="J20" i="6"/>
  <c r="F20" i="6"/>
  <c r="B20" i="6"/>
  <c r="N19" i="6"/>
  <c r="J19" i="6"/>
  <c r="F19" i="6"/>
  <c r="B19" i="6"/>
  <c r="N18" i="6"/>
  <c r="J18" i="6"/>
  <c r="F18" i="6"/>
  <c r="B18" i="6"/>
  <c r="N17" i="6"/>
  <c r="J17" i="6"/>
  <c r="F17" i="6"/>
  <c r="B17" i="6"/>
  <c r="N16" i="6"/>
  <c r="J16" i="6"/>
  <c r="F16" i="6"/>
  <c r="B16" i="6"/>
  <c r="N15" i="6"/>
  <c r="J15" i="6"/>
  <c r="F15" i="6"/>
  <c r="B15" i="6"/>
  <c r="N14" i="6"/>
  <c r="J14" i="6"/>
  <c r="F14" i="6"/>
  <c r="B14" i="6"/>
  <c r="J5" i="6"/>
  <c r="K91" i="6" s="1"/>
  <c r="L91" i="6" s="1"/>
  <c r="B5" i="6"/>
  <c r="C51" i="6" s="1"/>
  <c r="D51" i="6" s="1"/>
  <c r="K3" i="6"/>
  <c r="L3" i="6" s="1"/>
  <c r="C3" i="6"/>
  <c r="D3" i="6" s="1"/>
  <c r="B14" i="4"/>
  <c r="K21" i="6" l="1"/>
  <c r="L21" i="6" s="1"/>
  <c r="O21" i="6" s="1"/>
  <c r="K37" i="6"/>
  <c r="L37" i="6" s="1"/>
  <c r="O37" i="6" s="1"/>
  <c r="K89" i="6"/>
  <c r="L89" i="6" s="1"/>
  <c r="O89" i="6" s="1"/>
  <c r="K23" i="6"/>
  <c r="L23" i="6" s="1"/>
  <c r="O23" i="6" s="1"/>
  <c r="K39" i="6"/>
  <c r="L39" i="6" s="1"/>
  <c r="O39" i="6" s="1"/>
  <c r="K25" i="6"/>
  <c r="L25" i="6" s="1"/>
  <c r="O25" i="6" s="1"/>
  <c r="K41" i="6"/>
  <c r="L41" i="6" s="1"/>
  <c r="M41" i="6" s="1"/>
  <c r="K27" i="6"/>
  <c r="L27" i="6" s="1"/>
  <c r="O27" i="6" s="1"/>
  <c r="K43" i="6"/>
  <c r="L43" i="6" s="1"/>
  <c r="M43" i="6" s="1"/>
  <c r="K29" i="6"/>
  <c r="L29" i="6" s="1"/>
  <c r="O29" i="6" s="1"/>
  <c r="K45" i="6"/>
  <c r="L45" i="6" s="1"/>
  <c r="M45" i="6" s="1"/>
  <c r="K15" i="6"/>
  <c r="L15" i="6" s="1"/>
  <c r="O15" i="6" s="1"/>
  <c r="K31" i="6"/>
  <c r="L31" i="6" s="1"/>
  <c r="O31" i="6" s="1"/>
  <c r="K47" i="6"/>
  <c r="L47" i="6" s="1"/>
  <c r="O47" i="6" s="1"/>
  <c r="K17" i="6"/>
  <c r="L17" i="6" s="1"/>
  <c r="M17" i="6" s="1"/>
  <c r="K33" i="6"/>
  <c r="L33" i="6" s="1"/>
  <c r="O33" i="6" s="1"/>
  <c r="K49" i="6"/>
  <c r="L49" i="6" s="1"/>
  <c r="O49" i="6" s="1"/>
  <c r="K19" i="6"/>
  <c r="L19" i="6" s="1"/>
  <c r="O19" i="6" s="1"/>
  <c r="K35" i="6"/>
  <c r="L35" i="6" s="1"/>
  <c r="M35" i="6" s="1"/>
  <c r="K81" i="6"/>
  <c r="L81" i="6" s="1"/>
  <c r="E51" i="6"/>
  <c r="G51" i="6"/>
  <c r="O91" i="6"/>
  <c r="M91" i="6"/>
  <c r="K53" i="6"/>
  <c r="L53" i="6" s="1"/>
  <c r="C58" i="6"/>
  <c r="D58" i="6" s="1"/>
  <c r="K61" i="6"/>
  <c r="L61" i="6" s="1"/>
  <c r="C66" i="6"/>
  <c r="D66" i="6" s="1"/>
  <c r="K69" i="6"/>
  <c r="L69" i="6" s="1"/>
  <c r="K85" i="6"/>
  <c r="L85" i="6" s="1"/>
  <c r="C15" i="6"/>
  <c r="D15" i="6" s="1"/>
  <c r="C17" i="6"/>
  <c r="D17" i="6" s="1"/>
  <c r="C19" i="6"/>
  <c r="D19" i="6" s="1"/>
  <c r="C21" i="6"/>
  <c r="D21" i="6" s="1"/>
  <c r="C23" i="6"/>
  <c r="D23" i="6" s="1"/>
  <c r="C25" i="6"/>
  <c r="D25" i="6" s="1"/>
  <c r="C27" i="6"/>
  <c r="D27" i="6" s="1"/>
  <c r="C29" i="6"/>
  <c r="D29" i="6" s="1"/>
  <c r="C31" i="6"/>
  <c r="D31" i="6" s="1"/>
  <c r="C33" i="6"/>
  <c r="D33" i="6" s="1"/>
  <c r="C35" i="6"/>
  <c r="D35" i="6" s="1"/>
  <c r="C37" i="6"/>
  <c r="D37" i="6" s="1"/>
  <c r="C39" i="6"/>
  <c r="D39" i="6" s="1"/>
  <c r="C41" i="6"/>
  <c r="D41" i="6" s="1"/>
  <c r="C43" i="6"/>
  <c r="D43" i="6" s="1"/>
  <c r="C45" i="6"/>
  <c r="D45" i="6" s="1"/>
  <c r="C47" i="6"/>
  <c r="D47" i="6" s="1"/>
  <c r="C49" i="6"/>
  <c r="D49" i="6" s="1"/>
  <c r="K79" i="6"/>
  <c r="L79" i="6" s="1"/>
  <c r="C152" i="6"/>
  <c r="D152" i="6" s="1"/>
  <c r="C148" i="6"/>
  <c r="D148" i="6" s="1"/>
  <c r="C146" i="6"/>
  <c r="D146" i="6" s="1"/>
  <c r="C144" i="6"/>
  <c r="D144" i="6" s="1"/>
  <c r="C142" i="6"/>
  <c r="D142" i="6" s="1"/>
  <c r="C140" i="6"/>
  <c r="D140" i="6" s="1"/>
  <c r="C138" i="6"/>
  <c r="D138" i="6" s="1"/>
  <c r="C136" i="6"/>
  <c r="D136" i="6" s="1"/>
  <c r="C134" i="6"/>
  <c r="D134" i="6" s="1"/>
  <c r="C132" i="6"/>
  <c r="D132" i="6" s="1"/>
  <c r="C130" i="6"/>
  <c r="D130" i="6" s="1"/>
  <c r="C128" i="6"/>
  <c r="D128" i="6" s="1"/>
  <c r="C126" i="6"/>
  <c r="D126" i="6" s="1"/>
  <c r="C124" i="6"/>
  <c r="D124" i="6" s="1"/>
  <c r="C122" i="6"/>
  <c r="D122" i="6" s="1"/>
  <c r="C120" i="6"/>
  <c r="D120" i="6" s="1"/>
  <c r="C118" i="6"/>
  <c r="D118" i="6" s="1"/>
  <c r="C116" i="6"/>
  <c r="D116" i="6" s="1"/>
  <c r="C114" i="6"/>
  <c r="D114" i="6" s="1"/>
  <c r="C112" i="6"/>
  <c r="D112" i="6" s="1"/>
  <c r="C110" i="6"/>
  <c r="D110" i="6" s="1"/>
  <c r="C108" i="6"/>
  <c r="D108" i="6" s="1"/>
  <c r="C106" i="6"/>
  <c r="D106" i="6" s="1"/>
  <c r="C104" i="6"/>
  <c r="D104" i="6" s="1"/>
  <c r="C102" i="6"/>
  <c r="D102" i="6" s="1"/>
  <c r="C100" i="6"/>
  <c r="D100" i="6" s="1"/>
  <c r="C98" i="6"/>
  <c r="D98" i="6" s="1"/>
  <c r="C96" i="6"/>
  <c r="D96" i="6" s="1"/>
  <c r="C153" i="6"/>
  <c r="D153" i="6" s="1"/>
  <c r="C149" i="6"/>
  <c r="D149" i="6" s="1"/>
  <c r="C154" i="6"/>
  <c r="D154" i="6" s="1"/>
  <c r="C150" i="6"/>
  <c r="D150" i="6" s="1"/>
  <c r="C147" i="6"/>
  <c r="D147" i="6" s="1"/>
  <c r="C145" i="6"/>
  <c r="D145" i="6" s="1"/>
  <c r="C143" i="6"/>
  <c r="D143" i="6" s="1"/>
  <c r="C141" i="6"/>
  <c r="D141" i="6" s="1"/>
  <c r="C139" i="6"/>
  <c r="D139" i="6" s="1"/>
  <c r="C137" i="6"/>
  <c r="D137" i="6" s="1"/>
  <c r="C135" i="6"/>
  <c r="D135" i="6" s="1"/>
  <c r="C133" i="6"/>
  <c r="D133" i="6" s="1"/>
  <c r="C131" i="6"/>
  <c r="D131" i="6" s="1"/>
  <c r="C129" i="6"/>
  <c r="D129" i="6" s="1"/>
  <c r="C151" i="6"/>
  <c r="D151" i="6" s="1"/>
  <c r="C117" i="6"/>
  <c r="D117" i="6" s="1"/>
  <c r="C101" i="6"/>
  <c r="D101" i="6" s="1"/>
  <c r="C119" i="6"/>
  <c r="D119" i="6" s="1"/>
  <c r="C103" i="6"/>
  <c r="D103" i="6" s="1"/>
  <c r="C94" i="6"/>
  <c r="D94" i="6" s="1"/>
  <c r="C92" i="6"/>
  <c r="D92" i="6" s="1"/>
  <c r="C90" i="6"/>
  <c r="D90" i="6" s="1"/>
  <c r="C88" i="6"/>
  <c r="D88" i="6" s="1"/>
  <c r="C86" i="6"/>
  <c r="D86" i="6" s="1"/>
  <c r="C84" i="6"/>
  <c r="D84" i="6" s="1"/>
  <c r="C82" i="6"/>
  <c r="D82" i="6" s="1"/>
  <c r="C80" i="6"/>
  <c r="D80" i="6" s="1"/>
  <c r="C78" i="6"/>
  <c r="D78" i="6" s="1"/>
  <c r="C76" i="6"/>
  <c r="D76" i="6" s="1"/>
  <c r="C74" i="6"/>
  <c r="D74" i="6" s="1"/>
  <c r="C121" i="6"/>
  <c r="D121" i="6" s="1"/>
  <c r="C105" i="6"/>
  <c r="D105" i="6" s="1"/>
  <c r="C123" i="6"/>
  <c r="D123" i="6" s="1"/>
  <c r="C107" i="6"/>
  <c r="D107" i="6" s="1"/>
  <c r="C125" i="6"/>
  <c r="D125" i="6" s="1"/>
  <c r="C109" i="6"/>
  <c r="D109" i="6" s="1"/>
  <c r="C127" i="6"/>
  <c r="D127" i="6" s="1"/>
  <c r="C111" i="6"/>
  <c r="D111" i="6" s="1"/>
  <c r="C95" i="6"/>
  <c r="D95" i="6" s="1"/>
  <c r="C93" i="6"/>
  <c r="D93" i="6" s="1"/>
  <c r="C91" i="6"/>
  <c r="D91" i="6" s="1"/>
  <c r="C89" i="6"/>
  <c r="D89" i="6" s="1"/>
  <c r="C87" i="6"/>
  <c r="D87" i="6" s="1"/>
  <c r="C85" i="6"/>
  <c r="D85" i="6" s="1"/>
  <c r="C83" i="6"/>
  <c r="D83" i="6" s="1"/>
  <c r="C81" i="6"/>
  <c r="D81" i="6" s="1"/>
  <c r="C79" i="6"/>
  <c r="D79" i="6" s="1"/>
  <c r="C77" i="6"/>
  <c r="D77" i="6" s="1"/>
  <c r="C75" i="6"/>
  <c r="D75" i="6" s="1"/>
  <c r="C73" i="6"/>
  <c r="D73" i="6" s="1"/>
  <c r="C71" i="6"/>
  <c r="D71" i="6" s="1"/>
  <c r="C69" i="6"/>
  <c r="D69" i="6" s="1"/>
  <c r="C67" i="6"/>
  <c r="D67" i="6" s="1"/>
  <c r="C65" i="6"/>
  <c r="D65" i="6" s="1"/>
  <c r="C63" i="6"/>
  <c r="D63" i="6" s="1"/>
  <c r="C61" i="6"/>
  <c r="D61" i="6" s="1"/>
  <c r="C59" i="6"/>
  <c r="D59" i="6" s="1"/>
  <c r="C57" i="6"/>
  <c r="D57" i="6" s="1"/>
  <c r="C55" i="6"/>
  <c r="D55" i="6" s="1"/>
  <c r="C53" i="6"/>
  <c r="D53" i="6" s="1"/>
  <c r="C113" i="6"/>
  <c r="D113" i="6" s="1"/>
  <c r="C97" i="6"/>
  <c r="D97" i="6" s="1"/>
  <c r="C52" i="6"/>
  <c r="D52" i="6" s="1"/>
  <c r="K55" i="6"/>
  <c r="L55" i="6" s="1"/>
  <c r="C60" i="6"/>
  <c r="D60" i="6" s="1"/>
  <c r="K63" i="6"/>
  <c r="L63" i="6" s="1"/>
  <c r="C68" i="6"/>
  <c r="D68" i="6" s="1"/>
  <c r="K71" i="6"/>
  <c r="L71" i="6" s="1"/>
  <c r="K77" i="6"/>
  <c r="L77" i="6" s="1"/>
  <c r="K146" i="6"/>
  <c r="L146" i="6" s="1"/>
  <c r="K144" i="6"/>
  <c r="L144" i="6" s="1"/>
  <c r="K142" i="6"/>
  <c r="L142" i="6" s="1"/>
  <c r="K140" i="6"/>
  <c r="L140" i="6" s="1"/>
  <c r="K138" i="6"/>
  <c r="L138" i="6" s="1"/>
  <c r="K136" i="6"/>
  <c r="L136" i="6" s="1"/>
  <c r="K134" i="6"/>
  <c r="L134" i="6" s="1"/>
  <c r="K132" i="6"/>
  <c r="L132" i="6" s="1"/>
  <c r="K130" i="6"/>
  <c r="L130" i="6" s="1"/>
  <c r="K128" i="6"/>
  <c r="L128" i="6" s="1"/>
  <c r="K126" i="6"/>
  <c r="L126" i="6" s="1"/>
  <c r="K124" i="6"/>
  <c r="L124" i="6" s="1"/>
  <c r="K122" i="6"/>
  <c r="L122" i="6" s="1"/>
  <c r="K120" i="6"/>
  <c r="L120" i="6" s="1"/>
  <c r="K118" i="6"/>
  <c r="L118" i="6" s="1"/>
  <c r="K116" i="6"/>
  <c r="L116" i="6" s="1"/>
  <c r="K114" i="6"/>
  <c r="L114" i="6" s="1"/>
  <c r="K112" i="6"/>
  <c r="L112" i="6" s="1"/>
  <c r="K110" i="6"/>
  <c r="L110" i="6" s="1"/>
  <c r="K108" i="6"/>
  <c r="L108" i="6" s="1"/>
  <c r="K106" i="6"/>
  <c r="L106" i="6" s="1"/>
  <c r="K104" i="6"/>
  <c r="L104" i="6" s="1"/>
  <c r="K102" i="6"/>
  <c r="L102" i="6" s="1"/>
  <c r="K100" i="6"/>
  <c r="L100" i="6" s="1"/>
  <c r="K98" i="6"/>
  <c r="L98" i="6" s="1"/>
  <c r="K96" i="6"/>
  <c r="L96" i="6" s="1"/>
  <c r="K147" i="6"/>
  <c r="L147" i="6" s="1"/>
  <c r="K145" i="6"/>
  <c r="L145" i="6" s="1"/>
  <c r="K143" i="6"/>
  <c r="L143" i="6" s="1"/>
  <c r="K141" i="6"/>
  <c r="L141" i="6" s="1"/>
  <c r="K139" i="6"/>
  <c r="L139" i="6" s="1"/>
  <c r="K137" i="6"/>
  <c r="L137" i="6" s="1"/>
  <c r="K135" i="6"/>
  <c r="L135" i="6" s="1"/>
  <c r="K133" i="6"/>
  <c r="L133" i="6" s="1"/>
  <c r="K131" i="6"/>
  <c r="L131" i="6" s="1"/>
  <c r="K129" i="6"/>
  <c r="L129" i="6" s="1"/>
  <c r="K127" i="6"/>
  <c r="L127" i="6" s="1"/>
  <c r="K125" i="6"/>
  <c r="L125" i="6" s="1"/>
  <c r="K123" i="6"/>
  <c r="L123" i="6" s="1"/>
  <c r="K121" i="6"/>
  <c r="L121" i="6" s="1"/>
  <c r="K119" i="6"/>
  <c r="L119" i="6" s="1"/>
  <c r="K117" i="6"/>
  <c r="L117" i="6" s="1"/>
  <c r="K115" i="6"/>
  <c r="L115" i="6" s="1"/>
  <c r="K113" i="6"/>
  <c r="L113" i="6" s="1"/>
  <c r="K111" i="6"/>
  <c r="L111" i="6" s="1"/>
  <c r="K109" i="6"/>
  <c r="L109" i="6" s="1"/>
  <c r="K107" i="6"/>
  <c r="L107" i="6" s="1"/>
  <c r="K105" i="6"/>
  <c r="L105" i="6" s="1"/>
  <c r="K103" i="6"/>
  <c r="L103" i="6" s="1"/>
  <c r="K101" i="6"/>
  <c r="L101" i="6" s="1"/>
  <c r="K99" i="6"/>
  <c r="L99" i="6" s="1"/>
  <c r="K97" i="6"/>
  <c r="L97" i="6" s="1"/>
  <c r="K95" i="6"/>
  <c r="L95" i="6" s="1"/>
  <c r="K94" i="6"/>
  <c r="L94" i="6" s="1"/>
  <c r="K92" i="6"/>
  <c r="L92" i="6" s="1"/>
  <c r="K90" i="6"/>
  <c r="L90" i="6" s="1"/>
  <c r="K88" i="6"/>
  <c r="L88" i="6" s="1"/>
  <c r="K86" i="6"/>
  <c r="L86" i="6" s="1"/>
  <c r="K84" i="6"/>
  <c r="L84" i="6" s="1"/>
  <c r="K82" i="6"/>
  <c r="L82" i="6" s="1"/>
  <c r="K80" i="6"/>
  <c r="L80" i="6" s="1"/>
  <c r="K78" i="6"/>
  <c r="L78" i="6" s="1"/>
  <c r="K76" i="6"/>
  <c r="L76" i="6" s="1"/>
  <c r="K74" i="6"/>
  <c r="L74" i="6" s="1"/>
  <c r="K72" i="6"/>
  <c r="L72" i="6" s="1"/>
  <c r="K70" i="6"/>
  <c r="L70" i="6" s="1"/>
  <c r="K68" i="6"/>
  <c r="L68" i="6" s="1"/>
  <c r="K66" i="6"/>
  <c r="L66" i="6" s="1"/>
  <c r="K64" i="6"/>
  <c r="L64" i="6" s="1"/>
  <c r="K62" i="6"/>
  <c r="L62" i="6" s="1"/>
  <c r="K60" i="6"/>
  <c r="L60" i="6" s="1"/>
  <c r="K58" i="6"/>
  <c r="L58" i="6" s="1"/>
  <c r="K56" i="6"/>
  <c r="L56" i="6" s="1"/>
  <c r="K54" i="6"/>
  <c r="L54" i="6" s="1"/>
  <c r="K52" i="6"/>
  <c r="L52" i="6" s="1"/>
  <c r="K14" i="6"/>
  <c r="L14" i="6" s="1"/>
  <c r="M14" i="6" s="1"/>
  <c r="K16" i="6"/>
  <c r="L16" i="6" s="1"/>
  <c r="K18" i="6"/>
  <c r="L18" i="6" s="1"/>
  <c r="K20" i="6"/>
  <c r="L20" i="6" s="1"/>
  <c r="K22" i="6"/>
  <c r="L22" i="6" s="1"/>
  <c r="K24" i="6"/>
  <c r="L24" i="6" s="1"/>
  <c r="K26" i="6"/>
  <c r="L26" i="6" s="1"/>
  <c r="K28" i="6"/>
  <c r="L28" i="6" s="1"/>
  <c r="K30" i="6"/>
  <c r="L30" i="6" s="1"/>
  <c r="K32" i="6"/>
  <c r="L32" i="6" s="1"/>
  <c r="K34" i="6"/>
  <c r="L34" i="6" s="1"/>
  <c r="K36" i="6"/>
  <c r="L36" i="6" s="1"/>
  <c r="K38" i="6"/>
  <c r="L38" i="6" s="1"/>
  <c r="K40" i="6"/>
  <c r="L40" i="6" s="1"/>
  <c r="K42" i="6"/>
  <c r="L42" i="6" s="1"/>
  <c r="K44" i="6"/>
  <c r="L44" i="6" s="1"/>
  <c r="K46" i="6"/>
  <c r="L46" i="6" s="1"/>
  <c r="K48" i="6"/>
  <c r="L48" i="6" s="1"/>
  <c r="K50" i="6"/>
  <c r="L50" i="6" s="1"/>
  <c r="K75" i="6"/>
  <c r="L75" i="6" s="1"/>
  <c r="C54" i="6"/>
  <c r="D54" i="6" s="1"/>
  <c r="K57" i="6"/>
  <c r="L57" i="6" s="1"/>
  <c r="C62" i="6"/>
  <c r="D62" i="6" s="1"/>
  <c r="K65" i="6"/>
  <c r="L65" i="6" s="1"/>
  <c r="C70" i="6"/>
  <c r="D70" i="6" s="1"/>
  <c r="K73" i="6"/>
  <c r="L73" i="6" s="1"/>
  <c r="K83" i="6"/>
  <c r="L83" i="6" s="1"/>
  <c r="K87" i="6"/>
  <c r="L87" i="6" s="1"/>
  <c r="C14" i="6"/>
  <c r="D14" i="6" s="1"/>
  <c r="C16" i="6"/>
  <c r="D16" i="6" s="1"/>
  <c r="C18" i="6"/>
  <c r="D18" i="6" s="1"/>
  <c r="C20" i="6"/>
  <c r="D20" i="6" s="1"/>
  <c r="C22" i="6"/>
  <c r="D22" i="6" s="1"/>
  <c r="C24" i="6"/>
  <c r="D24" i="6" s="1"/>
  <c r="C26" i="6"/>
  <c r="D26" i="6" s="1"/>
  <c r="C28" i="6"/>
  <c r="D28" i="6" s="1"/>
  <c r="C30" i="6"/>
  <c r="D30" i="6" s="1"/>
  <c r="C32" i="6"/>
  <c r="D32" i="6" s="1"/>
  <c r="C34" i="6"/>
  <c r="D34" i="6" s="1"/>
  <c r="C36" i="6"/>
  <c r="D36" i="6" s="1"/>
  <c r="C38" i="6"/>
  <c r="D38" i="6" s="1"/>
  <c r="C40" i="6"/>
  <c r="D40" i="6" s="1"/>
  <c r="C42" i="6"/>
  <c r="D42" i="6" s="1"/>
  <c r="C44" i="6"/>
  <c r="D44" i="6" s="1"/>
  <c r="C46" i="6"/>
  <c r="D46" i="6" s="1"/>
  <c r="C48" i="6"/>
  <c r="D48" i="6" s="1"/>
  <c r="C50" i="6"/>
  <c r="D50" i="6" s="1"/>
  <c r="K93" i="6"/>
  <c r="L93" i="6" s="1"/>
  <c r="C115" i="6"/>
  <c r="D115" i="6" s="1"/>
  <c r="O81" i="6"/>
  <c r="M81" i="6"/>
  <c r="K51" i="6"/>
  <c r="L51" i="6" s="1"/>
  <c r="C56" i="6"/>
  <c r="D56" i="6" s="1"/>
  <c r="K59" i="6"/>
  <c r="L59" i="6" s="1"/>
  <c r="C64" i="6"/>
  <c r="D64" i="6" s="1"/>
  <c r="K67" i="6"/>
  <c r="L67" i="6" s="1"/>
  <c r="C72" i="6"/>
  <c r="D72" i="6" s="1"/>
  <c r="C99" i="6"/>
  <c r="D99" i="6" s="1"/>
  <c r="B17" i="4"/>
  <c r="B16" i="4"/>
  <c r="B15" i="4"/>
  <c r="B13" i="4" s="1"/>
  <c r="D17" i="4" l="1"/>
  <c r="B18" i="4"/>
  <c r="B19" i="4" s="1"/>
  <c r="C18" i="4"/>
  <c r="C19" i="4" s="1"/>
  <c r="M37" i="6"/>
  <c r="O43" i="6"/>
  <c r="M89" i="6"/>
  <c r="M49" i="6"/>
  <c r="O17" i="6"/>
  <c r="M21" i="6"/>
  <c r="M31" i="6"/>
  <c r="M27" i="6"/>
  <c r="M25" i="6"/>
  <c r="M39" i="6"/>
  <c r="M47" i="6"/>
  <c r="M23" i="6"/>
  <c r="M19" i="6"/>
  <c r="O41" i="6"/>
  <c r="M33" i="6"/>
  <c r="O45" i="6"/>
  <c r="O35" i="6"/>
  <c r="M29" i="6"/>
  <c r="M15" i="6"/>
  <c r="G72" i="6"/>
  <c r="E72" i="6"/>
  <c r="M30" i="6"/>
  <c r="O30" i="6"/>
  <c r="M108" i="6"/>
  <c r="O108" i="6"/>
  <c r="G91" i="6"/>
  <c r="E91" i="6"/>
  <c r="E153" i="6"/>
  <c r="G153" i="6"/>
  <c r="O67" i="6"/>
  <c r="M67" i="6"/>
  <c r="O93" i="6"/>
  <c r="M93" i="6"/>
  <c r="G36" i="6"/>
  <c r="E36" i="6"/>
  <c r="E20" i="6"/>
  <c r="G20" i="6"/>
  <c r="O65" i="6"/>
  <c r="M65" i="6"/>
  <c r="M44" i="6"/>
  <c r="O44" i="6"/>
  <c r="M28" i="6"/>
  <c r="O28" i="6"/>
  <c r="O52" i="6"/>
  <c r="M52" i="6"/>
  <c r="O68" i="6"/>
  <c r="M68" i="6"/>
  <c r="M84" i="6"/>
  <c r="O84" i="6"/>
  <c r="O99" i="6"/>
  <c r="M99" i="6"/>
  <c r="O115" i="6"/>
  <c r="M115" i="6"/>
  <c r="O131" i="6"/>
  <c r="M131" i="6"/>
  <c r="O147" i="6"/>
  <c r="M147" i="6"/>
  <c r="M110" i="6"/>
  <c r="O110" i="6"/>
  <c r="M126" i="6"/>
  <c r="O126" i="6"/>
  <c r="M142" i="6"/>
  <c r="O142" i="6"/>
  <c r="O55" i="6"/>
  <c r="M55" i="6"/>
  <c r="E61" i="6"/>
  <c r="G61" i="6"/>
  <c r="G77" i="6"/>
  <c r="E77" i="6"/>
  <c r="G93" i="6"/>
  <c r="E93" i="6"/>
  <c r="G105" i="6"/>
  <c r="E105" i="6"/>
  <c r="G86" i="6"/>
  <c r="E86" i="6"/>
  <c r="G117" i="6"/>
  <c r="E117" i="6"/>
  <c r="G141" i="6"/>
  <c r="E141" i="6"/>
  <c r="E96" i="6"/>
  <c r="G96" i="6"/>
  <c r="E112" i="6"/>
  <c r="G112" i="6"/>
  <c r="E128" i="6"/>
  <c r="G128" i="6"/>
  <c r="G144" i="6"/>
  <c r="E144" i="6"/>
  <c r="G43" i="6"/>
  <c r="E43" i="6"/>
  <c r="G27" i="6"/>
  <c r="E27" i="6"/>
  <c r="E22" i="6"/>
  <c r="G22" i="6"/>
  <c r="O97" i="6"/>
  <c r="M97" i="6"/>
  <c r="G60" i="6"/>
  <c r="E60" i="6"/>
  <c r="G139" i="6"/>
  <c r="E139" i="6"/>
  <c r="G64" i="6"/>
  <c r="E64" i="6"/>
  <c r="E34" i="6"/>
  <c r="G34" i="6"/>
  <c r="G18" i="6"/>
  <c r="E18" i="6"/>
  <c r="G62" i="6"/>
  <c r="E62" i="6"/>
  <c r="M42" i="6"/>
  <c r="O42" i="6"/>
  <c r="M26" i="6"/>
  <c r="O26" i="6"/>
  <c r="O54" i="6"/>
  <c r="M54" i="6"/>
  <c r="O70" i="6"/>
  <c r="M70" i="6"/>
  <c r="M86" i="6"/>
  <c r="O86" i="6"/>
  <c r="O101" i="6"/>
  <c r="M101" i="6"/>
  <c r="O117" i="6"/>
  <c r="M117" i="6"/>
  <c r="O133" i="6"/>
  <c r="M133" i="6"/>
  <c r="M96" i="6"/>
  <c r="O96" i="6"/>
  <c r="M112" i="6"/>
  <c r="O112" i="6"/>
  <c r="M128" i="6"/>
  <c r="O128" i="6"/>
  <c r="M144" i="6"/>
  <c r="O144" i="6"/>
  <c r="G52" i="6"/>
  <c r="E52" i="6"/>
  <c r="E63" i="6"/>
  <c r="G63" i="6"/>
  <c r="G79" i="6"/>
  <c r="E79" i="6"/>
  <c r="G95" i="6"/>
  <c r="E95" i="6"/>
  <c r="G121" i="6"/>
  <c r="E121" i="6"/>
  <c r="G88" i="6"/>
  <c r="E88" i="6"/>
  <c r="G151" i="6"/>
  <c r="E151" i="6"/>
  <c r="G143" i="6"/>
  <c r="E143" i="6"/>
  <c r="E98" i="6"/>
  <c r="G98" i="6"/>
  <c r="E114" i="6"/>
  <c r="G114" i="6"/>
  <c r="G130" i="6"/>
  <c r="E130" i="6"/>
  <c r="G146" i="6"/>
  <c r="E146" i="6"/>
  <c r="G41" i="6"/>
  <c r="E41" i="6"/>
  <c r="G25" i="6"/>
  <c r="E25" i="6"/>
  <c r="O85" i="6"/>
  <c r="M85" i="6"/>
  <c r="G115" i="6"/>
  <c r="E115" i="6"/>
  <c r="M66" i="6"/>
  <c r="O66" i="6"/>
  <c r="M124" i="6"/>
  <c r="O124" i="6"/>
  <c r="G84" i="6"/>
  <c r="E84" i="6"/>
  <c r="E110" i="6"/>
  <c r="G110" i="6"/>
  <c r="G50" i="6"/>
  <c r="E50" i="6"/>
  <c r="O59" i="6"/>
  <c r="M59" i="6"/>
  <c r="E48" i="6"/>
  <c r="G48" i="6"/>
  <c r="E32" i="6"/>
  <c r="G32" i="6"/>
  <c r="E16" i="6"/>
  <c r="G16" i="6"/>
  <c r="O57" i="6"/>
  <c r="M57" i="6"/>
  <c r="M40" i="6"/>
  <c r="O40" i="6"/>
  <c r="M24" i="6"/>
  <c r="O24" i="6"/>
  <c r="O56" i="6"/>
  <c r="M56" i="6"/>
  <c r="O72" i="6"/>
  <c r="M72" i="6"/>
  <c r="M88" i="6"/>
  <c r="O88" i="6"/>
  <c r="O103" i="6"/>
  <c r="M103" i="6"/>
  <c r="O119" i="6"/>
  <c r="M119" i="6"/>
  <c r="O135" i="6"/>
  <c r="M135" i="6"/>
  <c r="M98" i="6"/>
  <c r="O98" i="6"/>
  <c r="M114" i="6"/>
  <c r="O114" i="6"/>
  <c r="M130" i="6"/>
  <c r="O130" i="6"/>
  <c r="M146" i="6"/>
  <c r="O146" i="6"/>
  <c r="G97" i="6"/>
  <c r="E97" i="6"/>
  <c r="E65" i="6"/>
  <c r="G65" i="6"/>
  <c r="G81" i="6"/>
  <c r="E81" i="6"/>
  <c r="G111" i="6"/>
  <c r="E111" i="6"/>
  <c r="G74" i="6"/>
  <c r="E74" i="6"/>
  <c r="G90" i="6"/>
  <c r="E90" i="6"/>
  <c r="G129" i="6"/>
  <c r="E129" i="6"/>
  <c r="G145" i="6"/>
  <c r="E145" i="6"/>
  <c r="E100" i="6"/>
  <c r="G100" i="6"/>
  <c r="E116" i="6"/>
  <c r="G116" i="6"/>
  <c r="G132" i="6"/>
  <c r="E132" i="6"/>
  <c r="G148" i="6"/>
  <c r="E148" i="6"/>
  <c r="G39" i="6"/>
  <c r="E39" i="6"/>
  <c r="G23" i="6"/>
  <c r="E23" i="6"/>
  <c r="O69" i="6"/>
  <c r="M69" i="6"/>
  <c r="M46" i="6"/>
  <c r="O46" i="6"/>
  <c r="O113" i="6"/>
  <c r="M113" i="6"/>
  <c r="G75" i="6"/>
  <c r="E75" i="6"/>
  <c r="G142" i="6"/>
  <c r="E142" i="6"/>
  <c r="G46" i="6"/>
  <c r="E46" i="6"/>
  <c r="E14" i="6"/>
  <c r="G14" i="6"/>
  <c r="M38" i="6"/>
  <c r="O38" i="6"/>
  <c r="M22" i="6"/>
  <c r="O22" i="6"/>
  <c r="M58" i="6"/>
  <c r="O58" i="6"/>
  <c r="M74" i="6"/>
  <c r="O74" i="6"/>
  <c r="M90" i="6"/>
  <c r="O90" i="6"/>
  <c r="O105" i="6"/>
  <c r="M105" i="6"/>
  <c r="O121" i="6"/>
  <c r="M121" i="6"/>
  <c r="O137" i="6"/>
  <c r="M137" i="6"/>
  <c r="M100" i="6"/>
  <c r="O100" i="6"/>
  <c r="M116" i="6"/>
  <c r="O116" i="6"/>
  <c r="M132" i="6"/>
  <c r="O132" i="6"/>
  <c r="O77" i="6"/>
  <c r="M77" i="6"/>
  <c r="G113" i="6"/>
  <c r="E113" i="6"/>
  <c r="E67" i="6"/>
  <c r="G67" i="6"/>
  <c r="G83" i="6"/>
  <c r="E83" i="6"/>
  <c r="G127" i="6"/>
  <c r="E127" i="6"/>
  <c r="G76" i="6"/>
  <c r="E76" i="6"/>
  <c r="G92" i="6"/>
  <c r="E92" i="6"/>
  <c r="G131" i="6"/>
  <c r="E131" i="6"/>
  <c r="G147" i="6"/>
  <c r="E147" i="6"/>
  <c r="E102" i="6"/>
  <c r="G102" i="6"/>
  <c r="E118" i="6"/>
  <c r="G118" i="6"/>
  <c r="G134" i="6"/>
  <c r="E134" i="6"/>
  <c r="G152" i="6"/>
  <c r="E152" i="6"/>
  <c r="G37" i="6"/>
  <c r="E37" i="6"/>
  <c r="G21" i="6"/>
  <c r="E21" i="6"/>
  <c r="G66" i="6"/>
  <c r="E66" i="6"/>
  <c r="O14" i="6"/>
  <c r="O145" i="6"/>
  <c r="M145" i="6"/>
  <c r="G123" i="6"/>
  <c r="E123" i="6"/>
  <c r="G45" i="6"/>
  <c r="E45" i="6"/>
  <c r="G56" i="6"/>
  <c r="E56" i="6"/>
  <c r="E30" i="6"/>
  <c r="G30" i="6"/>
  <c r="G54" i="6"/>
  <c r="E54" i="6"/>
  <c r="O51" i="6"/>
  <c r="M51" i="6"/>
  <c r="G44" i="6"/>
  <c r="E44" i="6"/>
  <c r="E28" i="6"/>
  <c r="G28" i="6"/>
  <c r="O87" i="6"/>
  <c r="M87" i="6"/>
  <c r="O75" i="6"/>
  <c r="M75" i="6"/>
  <c r="M36" i="6"/>
  <c r="O36" i="6"/>
  <c r="M20" i="6"/>
  <c r="O20" i="6"/>
  <c r="O60" i="6"/>
  <c r="M60" i="6"/>
  <c r="M76" i="6"/>
  <c r="O76" i="6"/>
  <c r="M92" i="6"/>
  <c r="O92" i="6"/>
  <c r="O107" i="6"/>
  <c r="M107" i="6"/>
  <c r="O123" i="6"/>
  <c r="M123" i="6"/>
  <c r="O139" i="6"/>
  <c r="M139" i="6"/>
  <c r="M102" i="6"/>
  <c r="O102" i="6"/>
  <c r="M118" i="6"/>
  <c r="O118" i="6"/>
  <c r="M134" i="6"/>
  <c r="O134" i="6"/>
  <c r="O71" i="6"/>
  <c r="M71" i="6"/>
  <c r="E53" i="6"/>
  <c r="G53" i="6"/>
  <c r="E69" i="6"/>
  <c r="G69" i="6"/>
  <c r="G85" i="6"/>
  <c r="E85" i="6"/>
  <c r="G109" i="6"/>
  <c r="E109" i="6"/>
  <c r="G78" i="6"/>
  <c r="E78" i="6"/>
  <c r="G94" i="6"/>
  <c r="E94" i="6"/>
  <c r="G133" i="6"/>
  <c r="E133" i="6"/>
  <c r="G150" i="6"/>
  <c r="E150" i="6"/>
  <c r="E104" i="6"/>
  <c r="G104" i="6"/>
  <c r="E120" i="6"/>
  <c r="G120" i="6"/>
  <c r="G136" i="6"/>
  <c r="E136" i="6"/>
  <c r="O79" i="6"/>
  <c r="M79" i="6"/>
  <c r="G35" i="6"/>
  <c r="E35" i="6"/>
  <c r="G19" i="6"/>
  <c r="E19" i="6"/>
  <c r="O61" i="6"/>
  <c r="M61" i="6"/>
  <c r="G70" i="6"/>
  <c r="E70" i="6"/>
  <c r="O129" i="6"/>
  <c r="M129" i="6"/>
  <c r="E59" i="6"/>
  <c r="G59" i="6"/>
  <c r="E126" i="6"/>
  <c r="G126" i="6"/>
  <c r="G42" i="6"/>
  <c r="E42" i="6"/>
  <c r="O83" i="6"/>
  <c r="M83" i="6"/>
  <c r="M50" i="6"/>
  <c r="O50" i="6"/>
  <c r="M18" i="6"/>
  <c r="O18" i="6"/>
  <c r="O62" i="6"/>
  <c r="M62" i="6"/>
  <c r="M78" i="6"/>
  <c r="O78" i="6"/>
  <c r="M94" i="6"/>
  <c r="O94" i="6"/>
  <c r="O109" i="6"/>
  <c r="M109" i="6"/>
  <c r="O125" i="6"/>
  <c r="M125" i="6"/>
  <c r="O141" i="6"/>
  <c r="M141" i="6"/>
  <c r="M104" i="6"/>
  <c r="O104" i="6"/>
  <c r="M120" i="6"/>
  <c r="O120" i="6"/>
  <c r="M136" i="6"/>
  <c r="O136" i="6"/>
  <c r="G68" i="6"/>
  <c r="E68" i="6"/>
  <c r="E55" i="6"/>
  <c r="G55" i="6"/>
  <c r="E71" i="6"/>
  <c r="G71" i="6"/>
  <c r="G87" i="6"/>
  <c r="E87" i="6"/>
  <c r="G125" i="6"/>
  <c r="E125" i="6"/>
  <c r="G80" i="6"/>
  <c r="E80" i="6"/>
  <c r="G103" i="6"/>
  <c r="E103" i="6"/>
  <c r="G135" i="6"/>
  <c r="E135" i="6"/>
  <c r="G154" i="6"/>
  <c r="E154" i="6"/>
  <c r="E106" i="6"/>
  <c r="G106" i="6"/>
  <c r="E122" i="6"/>
  <c r="G122" i="6"/>
  <c r="G138" i="6"/>
  <c r="E138" i="6"/>
  <c r="G49" i="6"/>
  <c r="E49" i="6"/>
  <c r="G33" i="6"/>
  <c r="E33" i="6"/>
  <c r="G17" i="6"/>
  <c r="E17" i="6"/>
  <c r="G58" i="6"/>
  <c r="E58" i="6"/>
  <c r="G38" i="6"/>
  <c r="E38" i="6"/>
  <c r="M82" i="6"/>
  <c r="O82" i="6"/>
  <c r="M140" i="6"/>
  <c r="O140" i="6"/>
  <c r="G101" i="6"/>
  <c r="E101" i="6"/>
  <c r="G29" i="6"/>
  <c r="E29" i="6"/>
  <c r="G26" i="6"/>
  <c r="E26" i="6"/>
  <c r="M34" i="6"/>
  <c r="O34" i="6"/>
  <c r="G99" i="6"/>
  <c r="E99" i="6"/>
  <c r="G40" i="6"/>
  <c r="E40" i="6"/>
  <c r="E24" i="6"/>
  <c r="G24" i="6"/>
  <c r="O73" i="6"/>
  <c r="M73" i="6"/>
  <c r="M48" i="6"/>
  <c r="O48" i="6"/>
  <c r="M32" i="6"/>
  <c r="O32" i="6"/>
  <c r="M16" i="6"/>
  <c r="O16" i="6"/>
  <c r="O64" i="6"/>
  <c r="M64" i="6"/>
  <c r="M80" i="6"/>
  <c r="O80" i="6"/>
  <c r="O95" i="6"/>
  <c r="M95" i="6"/>
  <c r="O111" i="6"/>
  <c r="M111" i="6"/>
  <c r="O127" i="6"/>
  <c r="M127" i="6"/>
  <c r="O143" i="6"/>
  <c r="M143" i="6"/>
  <c r="M106" i="6"/>
  <c r="O106" i="6"/>
  <c r="M122" i="6"/>
  <c r="O122" i="6"/>
  <c r="M138" i="6"/>
  <c r="O138" i="6"/>
  <c r="O63" i="6"/>
  <c r="M63" i="6"/>
  <c r="E57" i="6"/>
  <c r="G57" i="6"/>
  <c r="E73" i="6"/>
  <c r="G73" i="6"/>
  <c r="G89" i="6"/>
  <c r="E89" i="6"/>
  <c r="G107" i="6"/>
  <c r="E107" i="6"/>
  <c r="G82" i="6"/>
  <c r="E82" i="6"/>
  <c r="G119" i="6"/>
  <c r="E119" i="6"/>
  <c r="G137" i="6"/>
  <c r="E137" i="6"/>
  <c r="E149" i="6"/>
  <c r="G149" i="6"/>
  <c r="E108" i="6"/>
  <c r="G108" i="6"/>
  <c r="E124" i="6"/>
  <c r="G124" i="6"/>
  <c r="G140" i="6"/>
  <c r="E140" i="6"/>
  <c r="G47" i="6"/>
  <c r="E47" i="6"/>
  <c r="G31" i="6"/>
  <c r="E31" i="6"/>
  <c r="G15" i="6"/>
  <c r="E15" i="6"/>
  <c r="O53" i="6"/>
  <c r="M53" i="6"/>
  <c r="B11" i="4" l="1"/>
  <c r="B9" i="4"/>
  <c r="B8" i="4"/>
  <c r="B10" i="4" s="1"/>
  <c r="B9" i="3"/>
  <c r="B8" i="3"/>
  <c r="B7" i="3"/>
  <c r="B6" i="3"/>
  <c r="B3" i="3"/>
</calcChain>
</file>

<file path=xl/sharedStrings.xml><?xml version="1.0" encoding="utf-8"?>
<sst xmlns="http://schemas.openxmlformats.org/spreadsheetml/2006/main" count="830" uniqueCount="208">
  <si>
    <t>Utuado</t>
  </si>
  <si>
    <t>Samples</t>
  </si>
  <si>
    <t>UTU-1 z=0.7m</t>
  </si>
  <si>
    <t>UTU-1 z=0.35m</t>
  </si>
  <si>
    <t>UTU-1 z=0.m</t>
  </si>
  <si>
    <t>Depth from surface (m)</t>
  </si>
  <si>
    <t>ELT-1 z=0.15m</t>
  </si>
  <si>
    <t>ELT-1 z=0.42m</t>
  </si>
  <si>
    <t>ELT-1 z=0.89m</t>
  </si>
  <si>
    <t>Effective normal stress (kPa)</t>
  </si>
  <si>
    <t>Total Normal stress (kPa)</t>
  </si>
  <si>
    <t>h (cm)</t>
  </si>
  <si>
    <t>D (cm)</t>
  </si>
  <si>
    <t>Volume (cc)</t>
  </si>
  <si>
    <t>total density (g/cc)</t>
  </si>
  <si>
    <t>Area (m^2)</t>
  </si>
  <si>
    <t>Mass in situ (g)=</t>
  </si>
  <si>
    <t>mass c+wet=</t>
  </si>
  <si>
    <t>mass c+dry</t>
  </si>
  <si>
    <t>w=</t>
  </si>
  <si>
    <t>sat density</t>
  </si>
  <si>
    <t>UTU-1 z=0m</t>
  </si>
  <si>
    <t>PL</t>
  </si>
  <si>
    <t>LL</t>
  </si>
  <si>
    <t>Soil Classification</t>
  </si>
  <si>
    <t>porosity</t>
  </si>
  <si>
    <t>Drying</t>
  </si>
  <si>
    <t>Wetting</t>
  </si>
  <si>
    <t>Direct shear</t>
  </si>
  <si>
    <t>c' (kPa)</t>
  </si>
  <si>
    <t>mass c=</t>
  </si>
  <si>
    <t>mass c (g)=</t>
  </si>
  <si>
    <t>mass c+wet (g)=</t>
  </si>
  <si>
    <t>moist soil (g)=</t>
  </si>
  <si>
    <t>in situ w=</t>
  </si>
  <si>
    <t>dry soil (g)=</t>
  </si>
  <si>
    <t>porosity small sample</t>
  </si>
  <si>
    <t>Gs=</t>
  </si>
  <si>
    <t>porosity TRIM</t>
  </si>
  <si>
    <t>Volume</t>
  </si>
  <si>
    <t>Area</t>
  </si>
  <si>
    <t>height=</t>
  </si>
  <si>
    <t>Shear stress kPa</t>
  </si>
  <si>
    <t>UTU-1 z=0.0m</t>
  </si>
  <si>
    <t>El Toro</t>
  </si>
  <si>
    <t>mass sat=</t>
  </si>
  <si>
    <t>mass dry=</t>
  </si>
  <si>
    <t>Volume water initial</t>
  </si>
  <si>
    <t>Van Genuchten parameters</t>
  </si>
  <si>
    <t>DRYING</t>
  </si>
  <si>
    <t>WETTING</t>
  </si>
  <si>
    <r>
      <t xml:space="preserve">a </t>
    </r>
    <r>
      <rPr>
        <sz val="10"/>
        <rFont val="Arial"/>
        <family val="2"/>
      </rPr>
      <t>(1/cm)</t>
    </r>
    <r>
      <rPr>
        <sz val="10"/>
        <rFont val="Symbol"/>
        <family val="1"/>
        <charset val="2"/>
      </rPr>
      <t xml:space="preserve"> =</t>
    </r>
  </si>
  <si>
    <t>a =</t>
  </si>
  <si>
    <t>n =</t>
  </si>
  <si>
    <t>m=</t>
  </si>
  <si>
    <r>
      <t>q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 xml:space="preserve"> =</t>
    </r>
  </si>
  <si>
    <r>
      <t>q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 xml:space="preserve"> =</t>
    </r>
  </si>
  <si>
    <r>
      <t>k</t>
    </r>
    <r>
      <rPr>
        <vertAlign val="subscript"/>
        <sz val="10"/>
        <rFont val="Arial"/>
        <family val="2"/>
      </rPr>
      <t>sat</t>
    </r>
    <r>
      <rPr>
        <sz val="10"/>
        <rFont val="Arial"/>
        <family val="2"/>
      </rPr>
      <t xml:space="preserve"> (cm/sec)=</t>
    </r>
  </si>
  <si>
    <t>l=</t>
  </si>
  <si>
    <t>HCCC obtained with Van Genuchten-Mualem model</t>
  </si>
  <si>
    <t>Suction (cm)</t>
  </si>
  <si>
    <t>Suction (kPa)</t>
  </si>
  <si>
    <t>q</t>
  </si>
  <si>
    <t>Se</t>
  </si>
  <si>
    <t>k (cm/s)</t>
  </si>
  <si>
    <t>Suction stress (kPa)</t>
  </si>
  <si>
    <t>Item</t>
  </si>
  <si>
    <t>Test Number</t>
  </si>
  <si>
    <t>Can No.</t>
  </si>
  <si>
    <t>1-utuz=0</t>
  </si>
  <si>
    <t>2-utuz=0</t>
  </si>
  <si>
    <t>3-utuz=0</t>
  </si>
  <si>
    <t>Mass of Can, M1 (g)</t>
  </si>
  <si>
    <t>Mass of can + moist soil, M2 (g)</t>
  </si>
  <si>
    <t>Mass of can + dry soil, M3 (g)</t>
  </si>
  <si>
    <t>Moisture content, w(%)=(M2-M3)/(M3-M1)*100</t>
  </si>
  <si>
    <t>Number of Blows, N</t>
  </si>
  <si>
    <t>Liquid Limit</t>
  </si>
  <si>
    <t>4-utuz=0</t>
  </si>
  <si>
    <t>Plastic Limit</t>
  </si>
  <si>
    <t>UTU z=0m</t>
  </si>
  <si>
    <t>Liquid Limit Test</t>
  </si>
  <si>
    <t>Tail number</t>
  </si>
  <si>
    <t>Mass of Can (g)</t>
  </si>
  <si>
    <t>Mass of Can + Moist Soil (g)</t>
  </si>
  <si>
    <t>Mass of Can + Dry Soil (g)</t>
  </si>
  <si>
    <t>water content (%)</t>
  </si>
  <si>
    <t xml:space="preserve">Number of Blow </t>
  </si>
  <si>
    <t>LL=</t>
  </si>
  <si>
    <t>UTU z=0.35m</t>
  </si>
  <si>
    <t>Plastic Limit Test</t>
  </si>
  <si>
    <t>LL=39.1%</t>
  </si>
  <si>
    <t>UTU z=0.7m</t>
  </si>
  <si>
    <t>SM</t>
  </si>
  <si>
    <t>Sieve Analysis</t>
  </si>
  <si>
    <t>Hydrometer Reading</t>
  </si>
  <si>
    <t>L</t>
  </si>
  <si>
    <t>Water viscosity</t>
  </si>
  <si>
    <t>A</t>
  </si>
  <si>
    <t>Ft</t>
  </si>
  <si>
    <t>(cm)</t>
  </si>
  <si>
    <t>Hydrometer test</t>
  </si>
  <si>
    <t>L (cm)</t>
  </si>
  <si>
    <t>t (min)</t>
  </si>
  <si>
    <t>D (mm)</t>
  </si>
  <si>
    <t>Percentage Finer</t>
  </si>
  <si>
    <t>Gravel</t>
  </si>
  <si>
    <t>Sand</t>
  </si>
  <si>
    <t>Silt</t>
  </si>
  <si>
    <t>Clay</t>
  </si>
  <si>
    <t>Silty Sand</t>
  </si>
  <si>
    <t>end</t>
  </si>
  <si>
    <t>Node</t>
  </si>
  <si>
    <t>Depth</t>
  </si>
  <si>
    <t>Head M</t>
  </si>
  <si>
    <t>oisture</t>
  </si>
  <si>
    <t>K</t>
  </si>
  <si>
    <t>C</t>
  </si>
  <si>
    <t>Flux</t>
  </si>
  <si>
    <t>Sink</t>
  </si>
  <si>
    <t>Kappa</t>
  </si>
  <si>
    <t>v/KsTop</t>
  </si>
  <si>
    <t>Temp</t>
  </si>
  <si>
    <t>[L]</t>
  </si>
  <si>
    <t>[-]</t>
  </si>
  <si>
    <t>[L/T]</t>
  </si>
  <si>
    <t>[1/L]</t>
  </si>
  <si>
    <t>[1/T]</t>
  </si>
  <si>
    <t>[C]</t>
  </si>
  <si>
    <t>Highly variable with depth</t>
  </si>
  <si>
    <t>CL</t>
  </si>
  <si>
    <t>MH</t>
  </si>
  <si>
    <t>OH</t>
  </si>
  <si>
    <t xml:space="preserve">Coarse </t>
  </si>
  <si>
    <t>Fine</t>
  </si>
  <si>
    <t>ELT-0.15m</t>
  </si>
  <si>
    <t>ELT-0.42m</t>
  </si>
  <si>
    <t>ELT 0.89m</t>
  </si>
  <si>
    <t>Fm</t>
  </si>
  <si>
    <t>Sandy Silty Clay</t>
  </si>
  <si>
    <t>ELT-1 z= 0.42</t>
  </si>
  <si>
    <t>mass c+moist (g)=</t>
  </si>
  <si>
    <t>mass c+sat=</t>
  </si>
  <si>
    <t>ELT-1 z= 0.15</t>
  </si>
  <si>
    <t>Sample</t>
  </si>
  <si>
    <t>Slope angle = 42degrees</t>
  </si>
  <si>
    <t xml:space="preserve">Total stress due to porous stone, loading cap, and selfweight of soil (kPa)= </t>
  </si>
  <si>
    <t>Pore water pressure (kPa)=</t>
  </si>
  <si>
    <t>Total</t>
  </si>
  <si>
    <t>phi' (deg)</t>
  </si>
  <si>
    <t>undisturbed</t>
  </si>
  <si>
    <t xml:space="preserve">disturbed </t>
  </si>
  <si>
    <t>UTU-7-B and UTU-8-B z=0.55m</t>
  </si>
  <si>
    <t>Slope angle = 45degrees</t>
  </si>
  <si>
    <t>These samples had roots and some cobbles, so the tested samples were disturbed.</t>
  </si>
  <si>
    <t>ELT-1 remolded</t>
  </si>
  <si>
    <t>Sieve #</t>
  </si>
  <si>
    <t>Diameter (mm)</t>
  </si>
  <si>
    <t>Pan</t>
  </si>
  <si>
    <t>Mass retained (g)</t>
  </si>
  <si>
    <t>% Finer</t>
  </si>
  <si>
    <t>Total mass</t>
  </si>
  <si>
    <t>Undisturbed</t>
  </si>
  <si>
    <t>Total Normal stress kPa</t>
  </si>
  <si>
    <t>Shear stress (kPa)</t>
  </si>
  <si>
    <t>(similar to UTU-1, z=0.35m)</t>
  </si>
  <si>
    <t>D1. Falling head test: saturated remolded ELT sample which does not contain any particles &gt; 5mm.</t>
  </si>
  <si>
    <t xml:space="preserve">Diameter of soil specimen </t>
  </si>
  <si>
    <t xml:space="preserve">Area of soil specimen </t>
  </si>
  <si>
    <t xml:space="preserve">Length of soil specimen </t>
  </si>
  <si>
    <t xml:space="preserve">Beginning head position </t>
  </si>
  <si>
    <t xml:space="preserve">Ending head position </t>
  </si>
  <si>
    <t xml:space="preserve">Time: </t>
  </si>
  <si>
    <t xml:space="preserve">Flow volume: </t>
  </si>
  <si>
    <t>According to falling head formula</t>
  </si>
  <si>
    <t>no data</t>
  </si>
  <si>
    <t xml:space="preserve"> no data</t>
  </si>
  <si>
    <t xml:space="preserve">no data </t>
  </si>
  <si>
    <t>Plastic Limit (PL)</t>
  </si>
  <si>
    <t>Liquid Limit (LL)</t>
  </si>
  <si>
    <r>
      <rPr>
        <sz val="11"/>
        <color theme="1"/>
        <rFont val="Symbol"/>
        <family val="1"/>
        <charset val="2"/>
      </rPr>
      <t>r</t>
    </r>
    <r>
      <rPr>
        <sz val="11"/>
        <color theme="1"/>
        <rFont val="Calibri"/>
        <family val="2"/>
        <scheme val="minor"/>
      </rPr>
      <t>sat [g/cm^3]</t>
    </r>
  </si>
  <si>
    <t>porosity [-]</t>
  </si>
  <si>
    <r>
      <t>a [</t>
    </r>
    <r>
      <rPr>
        <sz val="11"/>
        <color theme="1"/>
        <rFont val="Arial"/>
        <family val="2"/>
      </rPr>
      <t>1/cm]</t>
    </r>
  </si>
  <si>
    <t>n [-]</t>
  </si>
  <si>
    <t>ksat [cm/s]</t>
  </si>
  <si>
    <r>
      <rPr>
        <sz val="11"/>
        <color theme="1"/>
        <rFont val="Symbol"/>
        <family val="1"/>
        <charset val="2"/>
      </rPr>
      <t>f</t>
    </r>
    <r>
      <rPr>
        <sz val="11"/>
        <color theme="1"/>
        <rFont val="Calibri"/>
        <family val="2"/>
        <scheme val="minor"/>
      </rPr>
      <t>' [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]</t>
    </r>
  </si>
  <si>
    <t>c' [kPa]</t>
  </si>
  <si>
    <t>Specific Gravity (Gs) [-]</t>
  </si>
  <si>
    <r>
      <t>Slope angle [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]</t>
    </r>
  </si>
  <si>
    <t>Depth below surface [m]</t>
  </si>
  <si>
    <r>
      <rPr>
        <sz val="11"/>
        <color theme="1"/>
        <rFont val="Calibri"/>
        <family val="2"/>
      </rPr>
      <t>θ</t>
    </r>
    <r>
      <rPr>
        <sz val="11"/>
        <color theme="1"/>
        <rFont val="Calibri"/>
        <family val="2"/>
        <scheme val="minor"/>
      </rPr>
      <t>sat [-]</t>
    </r>
  </si>
  <si>
    <t>θr [-]</t>
  </si>
  <si>
    <t>θsat [-]</t>
  </si>
  <si>
    <t>Percentage</t>
  </si>
  <si>
    <t>Particle size class</t>
  </si>
  <si>
    <t>α, n:  van Genuchten soil water retention parameters</t>
  </si>
  <si>
    <r>
      <rPr>
        <sz val="11"/>
        <color theme="1"/>
        <rFont val="Symbol"/>
        <family val="1"/>
        <charset val="2"/>
      </rPr>
      <t>r</t>
    </r>
    <r>
      <rPr>
        <sz val="11"/>
        <color theme="1"/>
        <rFont val="Calibri"/>
        <family val="2"/>
        <scheme val="minor"/>
      </rPr>
      <t>sat</t>
    </r>
    <r>
      <rPr>
        <sz val="11"/>
        <color theme="1"/>
        <rFont val="Calibri"/>
        <family val="1"/>
        <charset val="2"/>
        <scheme val="minor"/>
      </rPr>
      <t>: saturated bulk density</t>
    </r>
  </si>
  <si>
    <t>θr : residual water content</t>
  </si>
  <si>
    <r>
      <rPr>
        <sz val="11"/>
        <color theme="1"/>
        <rFont val="Symbol"/>
        <family val="1"/>
        <charset val="2"/>
      </rPr>
      <t>f</t>
    </r>
    <r>
      <rPr>
        <sz val="11"/>
        <color theme="1"/>
        <rFont val="Calibri"/>
        <family val="2"/>
        <scheme val="minor"/>
      </rPr>
      <t>': friction angle</t>
    </r>
  </si>
  <si>
    <t>c': cohesion</t>
  </si>
  <si>
    <t>z: height above bottom of soil pit</t>
  </si>
  <si>
    <r>
      <rPr>
        <sz val="11"/>
        <color theme="1"/>
        <rFont val="Calibri"/>
        <family val="2"/>
      </rPr>
      <t>θ</t>
    </r>
    <r>
      <rPr>
        <sz val="11"/>
        <color theme="1"/>
        <rFont val="Calibri"/>
        <family val="2"/>
        <scheme val="minor"/>
      </rPr>
      <t>sat: saturated water content</t>
    </r>
  </si>
  <si>
    <t>UTU-1 z=0.35 m</t>
  </si>
  <si>
    <t>UTU-7/8 B z = 0.55 m</t>
  </si>
  <si>
    <t>additional sample UTU-7/8 B collected at z=0.55 to supplement direct shear testing results (not pictured)</t>
  </si>
  <si>
    <t xml:space="preserve">ksat: saturated hydraulic conductivity </t>
  </si>
  <si>
    <t>diameter (mm)</t>
  </si>
  <si>
    <t>Saturated bulk density,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</si>
</sst>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%"/>
  </numFmts>
  <fonts count="18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0"/>
      <name val="Arial"/>
      <family val="2"/>
    </font>
    <font>
      <b/>
      <sz val="10"/>
      <name val="Arial"/>
      <family val="2"/>
    </font>
    <font>
      <sz val="10"/>
      <name val="Symbol"/>
      <family val="1"/>
      <charset val="2"/>
    </font>
    <font>
      <vertAlign val="subscript"/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1"/>
      <charset val="2"/>
      <scheme val="minor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9" fontId="6" fillId="0" borderId="0" applyFont="0" applyFill="0" applyBorder="0" applyAlignment="0" applyProtection="0"/>
  </cellStyleXfs>
  <cellXfs count="259">
    <xf numFmtId="0" fontId="0" fillId="0" borderId="0" xfId="0"/>
    <xf numFmtId="0" fontId="0" fillId="2" borderId="0" xfId="0" applyFill="1"/>
    <xf numFmtId="0" fontId="0" fillId="0" borderId="1" xfId="0" applyBorder="1"/>
    <xf numFmtId="2" fontId="0" fillId="0" borderId="1" xfId="0" applyNumberFormat="1" applyBorder="1"/>
    <xf numFmtId="0" fontId="0" fillId="0" borderId="2" xfId="0" applyFill="1" applyBorder="1"/>
    <xf numFmtId="0" fontId="0" fillId="0" borderId="0" xfId="0" applyFill="1" applyBorder="1"/>
    <xf numFmtId="0" fontId="0" fillId="0" borderId="1" xfId="0" applyFill="1" applyBorder="1"/>
    <xf numFmtId="164" fontId="0" fillId="2" borderId="0" xfId="0" applyNumberFormat="1" applyFill="1"/>
    <xf numFmtId="0" fontId="0" fillId="3" borderId="0" xfId="0" applyFill="1"/>
    <xf numFmtId="0" fontId="3" fillId="0" borderId="0" xfId="1" applyFont="1"/>
    <xf numFmtId="0" fontId="2" fillId="0" borderId="0" xfId="1"/>
    <xf numFmtId="11" fontId="2" fillId="0" borderId="0" xfId="1" applyNumberFormat="1"/>
    <xf numFmtId="0" fontId="2" fillId="0" borderId="0" xfId="1" applyFont="1"/>
    <xf numFmtId="0" fontId="4" fillId="0" borderId="0" xfId="1" applyFont="1"/>
    <xf numFmtId="11" fontId="2" fillId="4" borderId="0" xfId="1" applyNumberFormat="1" applyFill="1"/>
    <xf numFmtId="11" fontId="2" fillId="0" borderId="0" xfId="1" applyNumberFormat="1" applyFill="1"/>
    <xf numFmtId="165" fontId="2" fillId="4" borderId="0" xfId="1" applyNumberFormat="1" applyFill="1"/>
    <xf numFmtId="0" fontId="2" fillId="4" borderId="0" xfId="1" applyFill="1"/>
    <xf numFmtId="0" fontId="2" fillId="0" borderId="0" xfId="1" applyFill="1"/>
    <xf numFmtId="0" fontId="2" fillId="5" borderId="0" xfId="1" applyFill="1"/>
    <xf numFmtId="2" fontId="2" fillId="5" borderId="0" xfId="1" applyNumberFormat="1" applyFill="1"/>
    <xf numFmtId="2" fontId="2" fillId="0" borderId="0" xfId="1" applyNumberFormat="1" applyFill="1"/>
    <xf numFmtId="165" fontId="2" fillId="5" borderId="0" xfId="1" applyNumberFormat="1" applyFill="1"/>
    <xf numFmtId="11" fontId="2" fillId="0" borderId="0" xfId="1" applyNumberFormat="1" applyFont="1"/>
    <xf numFmtId="165" fontId="2" fillId="0" borderId="0" xfId="1" applyNumberFormat="1"/>
    <xf numFmtId="0" fontId="0" fillId="0" borderId="0" xfId="0" applyFill="1"/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2" applyNumberFormat="1" applyFont="1" applyBorder="1" applyAlignment="1">
      <alignment horizontal="center" vertical="center"/>
    </xf>
    <xf numFmtId="10" fontId="0" fillId="0" borderId="7" xfId="2" applyNumberFormat="1" applyFont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0" xfId="0" applyBorder="1" applyAlignment="1"/>
    <xf numFmtId="0" fontId="7" fillId="0" borderId="1" xfId="0" applyFont="1" applyBorder="1" applyAlignment="1">
      <alignment horizontal="center" vertical="center"/>
    </xf>
    <xf numFmtId="10" fontId="0" fillId="0" borderId="1" xfId="2" applyNumberFormat="1" applyFont="1" applyFill="1" applyBorder="1" applyAlignment="1">
      <alignment horizontal="center" vertical="center"/>
    </xf>
    <xf numFmtId="10" fontId="0" fillId="0" borderId="1" xfId="0" applyNumberFormat="1" applyBorder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0" fontId="0" fillId="0" borderId="1" xfId="2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0" fontId="0" fillId="2" borderId="1" xfId="0" applyNumberFormat="1" applyFill="1" applyBorder="1" applyAlignment="1">
      <alignment horizontal="center" vertical="center" wrapText="1"/>
    </xf>
    <xf numFmtId="9" fontId="0" fillId="0" borderId="1" xfId="2" applyFont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9" fontId="0" fillId="0" borderId="1" xfId="0" applyNumberFormat="1" applyBorder="1"/>
    <xf numFmtId="0" fontId="0" fillId="6" borderId="1" xfId="0" applyFill="1" applyBorder="1"/>
    <xf numFmtId="0" fontId="9" fillId="0" borderId="15" xfId="0" applyFont="1" applyBorder="1" applyAlignment="1">
      <alignment horizontal="center" vertical="center" wrapText="1"/>
    </xf>
    <xf numFmtId="167" fontId="0" fillId="0" borderId="1" xfId="2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9" fontId="0" fillId="0" borderId="0" xfId="2" applyFont="1"/>
    <xf numFmtId="166" fontId="0" fillId="0" borderId="1" xfId="0" applyNumberFormat="1" applyBorder="1" applyAlignment="1">
      <alignment horizontal="center" vertical="center"/>
    </xf>
    <xf numFmtId="9" fontId="0" fillId="0" borderId="0" xfId="0" applyNumberFormat="1"/>
    <xf numFmtId="0" fontId="10" fillId="0" borderId="16" xfId="0" applyFon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1" fillId="0" borderId="1" xfId="0" applyFont="1" applyBorder="1"/>
    <xf numFmtId="2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9" fontId="0" fillId="0" borderId="0" xfId="2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0" fontId="0" fillId="0" borderId="0" xfId="0" applyNumberFormat="1"/>
    <xf numFmtId="9" fontId="0" fillId="0" borderId="1" xfId="2" applyNumberFormat="1" applyFont="1" applyBorder="1" applyAlignment="1">
      <alignment horizontal="center" vertical="center"/>
    </xf>
    <xf numFmtId="0" fontId="0" fillId="0" borderId="0" xfId="0" applyBorder="1" applyAlignment="1">
      <alignment wrapText="1"/>
    </xf>
    <xf numFmtId="2" fontId="0" fillId="3" borderId="0" xfId="0" applyNumberFormat="1" applyFill="1"/>
    <xf numFmtId="11" fontId="0" fillId="0" borderId="1" xfId="0" applyNumberFormat="1" applyFill="1" applyBorder="1"/>
    <xf numFmtId="11" fontId="0" fillId="0" borderId="1" xfId="0" applyNumberFormat="1" applyBorder="1"/>
    <xf numFmtId="0" fontId="0" fillId="7" borderId="2" xfId="0" applyFill="1" applyBorder="1"/>
    <xf numFmtId="0" fontId="0" fillId="7" borderId="20" xfId="0" applyFill="1" applyBorder="1"/>
    <xf numFmtId="0" fontId="0" fillId="7" borderId="21" xfId="0" applyFill="1" applyBorder="1"/>
    <xf numFmtId="0" fontId="0" fillId="7" borderId="0" xfId="0" applyFill="1" applyBorder="1"/>
    <xf numFmtId="0" fontId="0" fillId="6" borderId="0" xfId="0" applyFill="1" applyBorder="1"/>
    <xf numFmtId="164" fontId="0" fillId="0" borderId="0" xfId="0" applyNumberFormat="1" applyFill="1"/>
    <xf numFmtId="0" fontId="0" fillId="7" borderId="24" xfId="0" applyFill="1" applyBorder="1"/>
    <xf numFmtId="2" fontId="0" fillId="7" borderId="24" xfId="0" quotePrefix="1" applyNumberFormat="1" applyFill="1" applyBorder="1"/>
    <xf numFmtId="0" fontId="0" fillId="7" borderId="25" xfId="0" applyFill="1" applyBorder="1"/>
    <xf numFmtId="0" fontId="0" fillId="7" borderId="27" xfId="0" applyFill="1" applyBorder="1"/>
    <xf numFmtId="0" fontId="0" fillId="7" borderId="28" xfId="0" applyFill="1" applyBorder="1"/>
    <xf numFmtId="0" fontId="0" fillId="7" borderId="23" xfId="0" applyFill="1" applyBorder="1"/>
    <xf numFmtId="0" fontId="0" fillId="6" borderId="21" xfId="0" applyFill="1" applyBorder="1"/>
    <xf numFmtId="0" fontId="0" fillId="6" borderId="24" xfId="0" applyFill="1" applyBorder="1"/>
    <xf numFmtId="0" fontId="0" fillId="6" borderId="25" xfId="0" applyFill="1" applyBorder="1"/>
    <xf numFmtId="0" fontId="0" fillId="6" borderId="28" xfId="0" applyFill="1" applyBorder="1"/>
    <xf numFmtId="0" fontId="0" fillId="0" borderId="23" xfId="0" applyBorder="1"/>
    <xf numFmtId="0" fontId="0" fillId="6" borderId="20" xfId="0" applyFill="1" applyBorder="1"/>
    <xf numFmtId="0" fontId="0" fillId="6" borderId="2" xfId="0" applyFill="1" applyBorder="1"/>
    <xf numFmtId="2" fontId="0" fillId="7" borderId="2" xfId="0" applyNumberFormat="1" applyFill="1" applyBorder="1" applyAlignment="1"/>
    <xf numFmtId="2" fontId="0" fillId="7" borderId="23" xfId="0" applyNumberFormat="1" applyFill="1" applyBorder="1" applyAlignment="1"/>
    <xf numFmtId="164" fontId="0" fillId="6" borderId="20" xfId="0" applyNumberFormat="1" applyFont="1" applyFill="1" applyBorder="1"/>
    <xf numFmtId="0" fontId="0" fillId="0" borderId="26" xfId="0" applyFill="1" applyBorder="1"/>
    <xf numFmtId="0" fontId="13" fillId="0" borderId="0" xfId="0" applyFont="1" applyBorder="1"/>
    <xf numFmtId="165" fontId="13" fillId="0" borderId="0" xfId="0" applyNumberFormat="1" applyFont="1" applyBorder="1"/>
    <xf numFmtId="2" fontId="0" fillId="0" borderId="0" xfId="0" applyNumberFormat="1" applyFill="1" applyBorder="1" applyAlignment="1">
      <alignment horizontal="center"/>
    </xf>
    <xf numFmtId="2" fontId="0" fillId="0" borderId="0" xfId="0" quotePrefix="1" applyNumberFormat="1" applyFill="1" applyBorder="1"/>
    <xf numFmtId="0" fontId="0" fillId="6" borderId="27" xfId="0" applyFill="1" applyBorder="1"/>
    <xf numFmtId="164" fontId="0" fillId="6" borderId="0" xfId="0" applyNumberFormat="1" applyFill="1" applyBorder="1"/>
    <xf numFmtId="164" fontId="0" fillId="6" borderId="28" xfId="0" applyNumberFormat="1" applyFill="1" applyBorder="1"/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1" xfId="0" applyFill="1" applyBorder="1"/>
    <xf numFmtId="0" fontId="0" fillId="0" borderId="11" xfId="0" applyBorder="1"/>
    <xf numFmtId="2" fontId="0" fillId="0" borderId="11" xfId="0" applyNumberFormat="1" applyBorder="1"/>
    <xf numFmtId="2" fontId="0" fillId="0" borderId="11" xfId="0" applyNumberFormat="1" applyFill="1" applyBorder="1"/>
    <xf numFmtId="2" fontId="0" fillId="0" borderId="6" xfId="0" applyNumberFormat="1" applyBorder="1"/>
    <xf numFmtId="11" fontId="0" fillId="0" borderId="7" xfId="0" applyNumberFormat="1" applyBorder="1"/>
    <xf numFmtId="2" fontId="0" fillId="0" borderId="6" xfId="0" applyNumberFormat="1" applyFill="1" applyBorder="1"/>
    <xf numFmtId="11" fontId="0" fillId="0" borderId="7" xfId="0" applyNumberFormat="1" applyFill="1" applyBorder="1"/>
    <xf numFmtId="0" fontId="0" fillId="0" borderId="6" xfId="0" applyBorder="1"/>
    <xf numFmtId="164" fontId="0" fillId="0" borderId="13" xfId="0" applyNumberFormat="1" applyBorder="1"/>
    <xf numFmtId="0" fontId="0" fillId="0" borderId="6" xfId="0" applyFill="1" applyBorder="1"/>
    <xf numFmtId="167" fontId="0" fillId="6" borderId="1" xfId="2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0" xfId="0" applyFill="1" applyBorder="1" applyAlignment="1">
      <alignment horizontal="center" vertical="center" wrapText="1"/>
    </xf>
    <xf numFmtId="9" fontId="0" fillId="6" borderId="1" xfId="2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9" fontId="0" fillId="6" borderId="1" xfId="0" applyNumberFormat="1" applyFill="1" applyBorder="1" applyAlignment="1">
      <alignment horizontal="center" vertical="center" wrapText="1"/>
    </xf>
    <xf numFmtId="167" fontId="0" fillId="0" borderId="1" xfId="2" applyNumberFormat="1" applyFont="1" applyBorder="1"/>
    <xf numFmtId="10" fontId="0" fillId="6" borderId="1" xfId="0" applyNumberFormat="1" applyFill="1" applyBorder="1" applyAlignment="1">
      <alignment horizontal="center" vertical="center" wrapText="1"/>
    </xf>
    <xf numFmtId="0" fontId="0" fillId="0" borderId="20" xfId="0" applyFill="1" applyBorder="1"/>
    <xf numFmtId="0" fontId="0" fillId="0" borderId="20" xfId="0" applyBorder="1"/>
    <xf numFmtId="0" fontId="0" fillId="6" borderId="26" xfId="0" applyFill="1" applyBorder="1"/>
    <xf numFmtId="0" fontId="0" fillId="6" borderId="0" xfId="0" applyFill="1"/>
    <xf numFmtId="0" fontId="0" fillId="6" borderId="24" xfId="0" applyFont="1" applyFill="1" applyBorder="1"/>
    <xf numFmtId="165" fontId="0" fillId="6" borderId="24" xfId="0" applyNumberFormat="1" applyFont="1" applyFill="1" applyBorder="1"/>
    <xf numFmtId="0" fontId="0" fillId="6" borderId="20" xfId="0" applyFont="1" applyFill="1" applyBorder="1"/>
    <xf numFmtId="0" fontId="0" fillId="6" borderId="22" xfId="0" applyFont="1" applyFill="1" applyBorder="1"/>
    <xf numFmtId="0" fontId="0" fillId="6" borderId="2" xfId="0" applyFont="1" applyFill="1" applyBorder="1"/>
    <xf numFmtId="0" fontId="0" fillId="6" borderId="0" xfId="0" applyFont="1" applyFill="1" applyBorder="1"/>
    <xf numFmtId="165" fontId="0" fillId="6" borderId="2" xfId="0" applyNumberFormat="1" applyFont="1" applyFill="1" applyBorder="1"/>
    <xf numFmtId="165" fontId="0" fillId="6" borderId="0" xfId="0" applyNumberFormat="1" applyFont="1" applyFill="1" applyBorder="1"/>
    <xf numFmtId="0" fontId="0" fillId="6" borderId="26" xfId="0" applyFont="1" applyFill="1" applyBorder="1"/>
    <xf numFmtId="0" fontId="0" fillId="6" borderId="23" xfId="0" applyFont="1" applyFill="1" applyBorder="1"/>
    <xf numFmtId="0" fontId="0" fillId="6" borderId="28" xfId="0" applyFont="1" applyFill="1" applyBorder="1"/>
    <xf numFmtId="165" fontId="0" fillId="6" borderId="23" xfId="0" applyNumberFormat="1" applyFont="1" applyFill="1" applyBorder="1"/>
    <xf numFmtId="165" fontId="0" fillId="6" borderId="28" xfId="0" applyNumberFormat="1" applyFont="1" applyFill="1" applyBorder="1"/>
    <xf numFmtId="0" fontId="0" fillId="6" borderId="29" xfId="0" applyFont="1" applyFill="1" applyBorder="1"/>
    <xf numFmtId="0" fontId="0" fillId="7" borderId="22" xfId="0" applyFill="1" applyBorder="1"/>
    <xf numFmtId="0" fontId="0" fillId="6" borderId="2" xfId="0" applyFont="1" applyFill="1" applyBorder="1" applyAlignment="1">
      <alignment wrapText="1"/>
    </xf>
    <xf numFmtId="0" fontId="0" fillId="6" borderId="23" xfId="0" applyFill="1" applyBorder="1"/>
    <xf numFmtId="164" fontId="0" fillId="6" borderId="21" xfId="0" applyNumberFormat="1" applyFill="1" applyBorder="1"/>
    <xf numFmtId="0" fontId="0" fillId="0" borderId="2" xfId="0" applyBorder="1"/>
    <xf numFmtId="164" fontId="0" fillId="6" borderId="25" xfId="0" applyNumberFormat="1" applyFill="1" applyBorder="1"/>
    <xf numFmtId="0" fontId="0" fillId="7" borderId="20" xfId="0" applyFill="1" applyBorder="1" applyAlignment="1">
      <alignment wrapText="1"/>
    </xf>
    <xf numFmtId="0" fontId="0" fillId="7" borderId="24" xfId="0" applyFill="1" applyBorder="1" applyAlignment="1">
      <alignment wrapText="1"/>
    </xf>
    <xf numFmtId="0" fontId="0" fillId="8" borderId="20" xfId="0" applyFill="1" applyBorder="1"/>
    <xf numFmtId="0" fontId="0" fillId="8" borderId="22" xfId="0" applyFill="1" applyBorder="1"/>
    <xf numFmtId="0" fontId="0" fillId="8" borderId="24" xfId="0" applyFill="1" applyBorder="1"/>
    <xf numFmtId="164" fontId="0" fillId="8" borderId="20" xfId="0" applyNumberFormat="1" applyFill="1" applyBorder="1"/>
    <xf numFmtId="0" fontId="0" fillId="8" borderId="2" xfId="0" applyFill="1" applyBorder="1"/>
    <xf numFmtId="0" fontId="0" fillId="8" borderId="26" xfId="0" applyFill="1" applyBorder="1"/>
    <xf numFmtId="0" fontId="0" fillId="8" borderId="0" xfId="0" applyFill="1" applyBorder="1"/>
    <xf numFmtId="164" fontId="0" fillId="8" borderId="2" xfId="0" applyNumberFormat="1" applyFill="1" applyBorder="1"/>
    <xf numFmtId="0" fontId="0" fillId="8" borderId="23" xfId="0" applyFill="1" applyBorder="1"/>
    <xf numFmtId="0" fontId="0" fillId="8" borderId="29" xfId="0" applyFill="1" applyBorder="1"/>
    <xf numFmtId="0" fontId="0" fillId="8" borderId="28" xfId="0" applyFill="1" applyBorder="1"/>
    <xf numFmtId="164" fontId="0" fillId="8" borderId="23" xfId="0" applyNumberFormat="1" applyFill="1" applyBorder="1"/>
    <xf numFmtId="2" fontId="0" fillId="8" borderId="2" xfId="0" applyNumberFormat="1" applyFill="1" applyBorder="1" applyAlignment="1"/>
    <xf numFmtId="2" fontId="0" fillId="8" borderId="0" xfId="0" quotePrefix="1" applyNumberFormat="1" applyFill="1" applyBorder="1"/>
    <xf numFmtId="2" fontId="0" fillId="8" borderId="23" xfId="0" applyNumberFormat="1" applyFill="1" applyBorder="1" applyAlignment="1"/>
    <xf numFmtId="0" fontId="14" fillId="0" borderId="0" xfId="0" applyFont="1" applyAlignment="1">
      <alignment wrapText="1"/>
    </xf>
    <xf numFmtId="2" fontId="0" fillId="7" borderId="25" xfId="0" applyNumberFormat="1" applyFill="1" applyBorder="1" applyAlignment="1">
      <alignment horizontal="center"/>
    </xf>
    <xf numFmtId="2" fontId="0" fillId="6" borderId="0" xfId="0" applyNumberFormat="1" applyFill="1" applyBorder="1" applyAlignment="1">
      <alignment horizontal="center"/>
    </xf>
    <xf numFmtId="2" fontId="0" fillId="6" borderId="28" xfId="0" applyNumberFormat="1" applyFill="1" applyBorder="1" applyAlignment="1">
      <alignment horizontal="center"/>
    </xf>
    <xf numFmtId="2" fontId="0" fillId="7" borderId="27" xfId="0" applyNumberFormat="1" applyFill="1" applyBorder="1" applyAlignment="1">
      <alignment horizontal="center"/>
    </xf>
    <xf numFmtId="2" fontId="0" fillId="7" borderId="2" xfId="0" applyNumberFormat="1" applyFill="1" applyBorder="1" applyAlignment="1">
      <alignment horizontal="center"/>
    </xf>
    <xf numFmtId="2" fontId="0" fillId="7" borderId="23" xfId="0" applyNumberFormat="1" applyFill="1" applyBorder="1" applyAlignment="1">
      <alignment horizontal="center"/>
    </xf>
    <xf numFmtId="2" fontId="0" fillId="7" borderId="21" xfId="0" applyNumberFormat="1" applyFill="1" applyBorder="1" applyAlignment="1">
      <alignment horizontal="center"/>
    </xf>
    <xf numFmtId="2" fontId="0" fillId="7" borderId="20" xfId="0" applyNumberFormat="1" applyFill="1" applyBorder="1" applyAlignment="1">
      <alignment horizontal="center"/>
    </xf>
    <xf numFmtId="164" fontId="0" fillId="7" borderId="21" xfId="0" applyNumberFormat="1" applyFill="1" applyBorder="1"/>
    <xf numFmtId="2" fontId="0" fillId="6" borderId="24" xfId="0" applyNumberFormat="1" applyFill="1" applyBorder="1" applyAlignment="1">
      <alignment horizontal="center"/>
    </xf>
    <xf numFmtId="0" fontId="0" fillId="0" borderId="25" xfId="0" applyBorder="1"/>
    <xf numFmtId="2" fontId="0" fillId="0" borderId="0" xfId="0" applyNumberFormat="1" applyBorder="1" applyAlignment="1">
      <alignment horizontal="center"/>
    </xf>
    <xf numFmtId="2" fontId="0" fillId="6" borderId="20" xfId="0" applyNumberFormat="1" applyFill="1" applyBorder="1" applyAlignment="1">
      <alignment horizontal="center"/>
    </xf>
    <xf numFmtId="2" fontId="0" fillId="6" borderId="2" xfId="0" applyNumberFormat="1" applyFill="1" applyBorder="1" applyAlignment="1">
      <alignment horizontal="center"/>
    </xf>
    <xf numFmtId="2" fontId="0" fillId="6" borderId="23" xfId="0" applyNumberFormat="1" applyFill="1" applyBorder="1" applyAlignment="1">
      <alignment horizontal="center"/>
    </xf>
    <xf numFmtId="164" fontId="0" fillId="7" borderId="25" xfId="0" applyNumberFormat="1" applyFill="1" applyBorder="1"/>
    <xf numFmtId="0" fontId="0" fillId="0" borderId="30" xfId="0" applyFill="1" applyBorder="1"/>
    <xf numFmtId="0" fontId="0" fillId="0" borderId="23" xfId="0" applyFill="1" applyBorder="1"/>
    <xf numFmtId="0" fontId="1" fillId="0" borderId="23" xfId="0" applyFont="1" applyFill="1" applyBorder="1"/>
    <xf numFmtId="0" fontId="0" fillId="0" borderId="31" xfId="0" applyFill="1" applyBorder="1"/>
    <xf numFmtId="0" fontId="0" fillId="0" borderId="12" xfId="0" applyBorder="1"/>
    <xf numFmtId="0" fontId="0" fillId="0" borderId="13" xfId="0" applyBorder="1"/>
    <xf numFmtId="11" fontId="0" fillId="6" borderId="7" xfId="0" applyNumberFormat="1" applyFill="1" applyBorder="1"/>
    <xf numFmtId="0" fontId="11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0" fillId="0" borderId="32" xfId="0" applyBorder="1"/>
    <xf numFmtId="11" fontId="0" fillId="0" borderId="20" xfId="0" applyNumberFormat="1" applyBorder="1"/>
    <xf numFmtId="11" fontId="0" fillId="0" borderId="33" xfId="0" applyNumberFormat="1" applyBorder="1"/>
    <xf numFmtId="0" fontId="16" fillId="0" borderId="1" xfId="0" applyFont="1" applyFill="1" applyBorder="1"/>
    <xf numFmtId="0" fontId="16" fillId="0" borderId="13" xfId="0" applyFont="1" applyFill="1" applyBorder="1"/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0" fillId="2" borderId="11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64" fontId="0" fillId="6" borderId="0" xfId="0" applyNumberFormat="1" applyFill="1"/>
    <xf numFmtId="11" fontId="0" fillId="0" borderId="2" xfId="0" applyNumberFormat="1" applyBorder="1"/>
    <xf numFmtId="0" fontId="16" fillId="0" borderId="0" xfId="0" applyFont="1" applyFill="1" applyBorder="1"/>
    <xf numFmtId="0" fontId="17" fillId="0" borderId="0" xfId="0" applyFon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64" fontId="0" fillId="0" borderId="22" xfId="0" applyNumberFormat="1" applyBorder="1" applyAlignment="1">
      <alignment vertical="center"/>
    </xf>
    <xf numFmtId="164" fontId="0" fillId="0" borderId="29" xfId="0" applyNumberFormat="1" applyBorder="1" applyAlignment="1">
      <alignment vertical="center"/>
    </xf>
    <xf numFmtId="2" fontId="0" fillId="0" borderId="22" xfId="0" applyNumberFormat="1" applyBorder="1" applyAlignment="1">
      <alignment vertical="center"/>
    </xf>
    <xf numFmtId="2" fontId="0" fillId="0" borderId="29" xfId="0" applyNumberFormat="1" applyBorder="1" applyAlignment="1">
      <alignment vertical="center"/>
    </xf>
    <xf numFmtId="167" fontId="0" fillId="2" borderId="1" xfId="0" applyNumberFormat="1" applyFill="1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10" fontId="0" fillId="2" borderId="11" xfId="0" applyNumberFormat="1" applyFill="1" applyBorder="1" applyAlignment="1">
      <alignment horizontal="center" vertical="center" wrapText="1"/>
    </xf>
    <xf numFmtId="10" fontId="0" fillId="2" borderId="12" xfId="0" applyNumberFormat="1" applyFill="1" applyBorder="1" applyAlignment="1">
      <alignment horizontal="center" vertical="center" wrapText="1"/>
    </xf>
    <xf numFmtId="10" fontId="0" fillId="2" borderId="13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167" fontId="0" fillId="2" borderId="11" xfId="0" applyNumberFormat="1" applyFill="1" applyBorder="1" applyAlignment="1">
      <alignment horizontal="center" vertical="center" wrapText="1"/>
    </xf>
    <xf numFmtId="167" fontId="0" fillId="2" borderId="12" xfId="0" applyNumberFormat="1" applyFill="1" applyBorder="1" applyAlignment="1">
      <alignment horizontal="center" vertical="center" wrapText="1"/>
    </xf>
    <xf numFmtId="167" fontId="0" fillId="2" borderId="13" xfId="0" applyNumberForma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9" fontId="0" fillId="2" borderId="9" xfId="2" applyFont="1" applyFill="1" applyBorder="1" applyAlignment="1">
      <alignment horizontal="center" vertical="center"/>
    </xf>
    <xf numFmtId="9" fontId="0" fillId="2" borderId="10" xfId="2" applyFont="1" applyFill="1" applyBorder="1" applyAlignment="1">
      <alignment horizontal="center" vertical="center"/>
    </xf>
    <xf numFmtId="9" fontId="0" fillId="2" borderId="11" xfId="0" applyNumberFormat="1" applyFill="1" applyBorder="1" applyAlignment="1">
      <alignment horizontal="center" vertical="center" wrapText="1"/>
    </xf>
    <xf numFmtId="9" fontId="0" fillId="2" borderId="12" xfId="0" applyNumberFormat="1" applyFill="1" applyBorder="1" applyAlignment="1">
      <alignment horizontal="center" vertical="center" wrapText="1"/>
    </xf>
    <xf numFmtId="9" fontId="0" fillId="2" borderId="13" xfId="0" applyNumberFormat="1" applyFill="1" applyBorder="1" applyAlignment="1">
      <alignment horizontal="center" vertical="center" wrapText="1"/>
    </xf>
    <xf numFmtId="10" fontId="0" fillId="2" borderId="9" xfId="0" applyNumberForma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9" borderId="26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166" fontId="0" fillId="9" borderId="0" xfId="0" applyNumberFormat="1" applyFill="1"/>
    <xf numFmtId="0" fontId="0" fillId="9" borderId="2" xfId="0" applyFill="1" applyBorder="1" applyAlignment="1">
      <alignment horizontal="center" vertical="center" wrapText="1"/>
    </xf>
    <xf numFmtId="0" fontId="0" fillId="9" borderId="0" xfId="0" applyFill="1"/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</cellXfs>
  <cellStyles count="3">
    <cellStyle name="Normal" xfId="0" builtinId="0"/>
    <cellStyle name="Normal 2 2_organic_clay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Atterberg!$B$9:$D$9</c:f>
              <c:numCache>
                <c:formatCode>General</c:formatCode>
                <c:ptCount val="3"/>
                <c:pt idx="0">
                  <c:v>28</c:v>
                </c:pt>
                <c:pt idx="1">
                  <c:v>23</c:v>
                </c:pt>
                <c:pt idx="2">
                  <c:v>16</c:v>
                </c:pt>
              </c:numCache>
            </c:numRef>
          </c:xVal>
          <c:yVal>
            <c:numRef>
              <c:f>Atterberg!$B$8:$D$8</c:f>
              <c:numCache>
                <c:formatCode>0.00%</c:formatCode>
                <c:ptCount val="3"/>
                <c:pt idx="0">
                  <c:v>0.23201438848920916</c:v>
                </c:pt>
                <c:pt idx="1">
                  <c:v>0.23308270676691772</c:v>
                </c:pt>
                <c:pt idx="2">
                  <c:v>0.24349881796690295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41-4E0E-9A25-A925C6D52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8165592"/>
        <c:axId val="348161984"/>
      </c:scatterChart>
      <c:valAx>
        <c:axId val="348165592"/>
        <c:scaling>
          <c:orientation val="minMax"/>
          <c:max val="35"/>
          <c:min val="1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Blows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161984"/>
        <c:crosses val="autoZero"/>
        <c:crossBetween val="midCat"/>
      </c:valAx>
      <c:valAx>
        <c:axId val="34816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Water Content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165592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[1]USUZ.35!$D$7:$F$7</c:f>
              <c:numCache>
                <c:formatCode>General</c:formatCode>
                <c:ptCount val="3"/>
                <c:pt idx="0">
                  <c:v>27</c:v>
                </c:pt>
                <c:pt idx="1">
                  <c:v>17</c:v>
                </c:pt>
                <c:pt idx="2">
                  <c:v>23</c:v>
                </c:pt>
              </c:numCache>
            </c:numRef>
          </c:xVal>
          <c:yVal>
            <c:numRef>
              <c:f>[1]USUZ.35!$D$6:$F$6</c:f>
              <c:numCache>
                <c:formatCode>General</c:formatCode>
                <c:ptCount val="3"/>
                <c:pt idx="0">
                  <c:v>0.31530139103554855</c:v>
                </c:pt>
                <c:pt idx="1">
                  <c:v>0.34064665127020777</c:v>
                </c:pt>
                <c:pt idx="2">
                  <c:v>0.33300297324083239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93-44DB-96D3-64B597E4C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362944"/>
        <c:axId val="328363272"/>
      </c:scatterChart>
      <c:valAx>
        <c:axId val="328362944"/>
        <c:scaling>
          <c:orientation val="minMax"/>
          <c:max val="35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Blows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363272"/>
        <c:crosses val="autoZero"/>
        <c:crossBetween val="midCat"/>
        <c:minorUnit val="1"/>
      </c:valAx>
      <c:valAx>
        <c:axId val="328363272"/>
        <c:scaling>
          <c:orientation val="minMax"/>
          <c:max val="0.36000000000000004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 Content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362944"/>
        <c:crosses val="autoZero"/>
        <c:crossBetween val="midCat"/>
        <c:majorUnit val="2.0000000000000004E-2"/>
        <c:minorUnit val="5.000000000000001E-3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'[2]USUZ=.7'!$D$17:$F$17</c:f>
              <c:numCache>
                <c:formatCode>General</c:formatCode>
                <c:ptCount val="3"/>
                <c:pt idx="0">
                  <c:v>13</c:v>
                </c:pt>
                <c:pt idx="1">
                  <c:v>23</c:v>
                </c:pt>
                <c:pt idx="2">
                  <c:v>34</c:v>
                </c:pt>
              </c:numCache>
            </c:numRef>
          </c:xVal>
          <c:yVal>
            <c:numRef>
              <c:f>'[2]USUZ=.7'!$D$16:$F$16</c:f>
              <c:numCache>
                <c:formatCode>General</c:formatCode>
                <c:ptCount val="3"/>
                <c:pt idx="0">
                  <c:v>0.42388758782201363</c:v>
                </c:pt>
                <c:pt idx="1">
                  <c:v>0.39313984168865385</c:v>
                </c:pt>
                <c:pt idx="2">
                  <c:v>0.3697705802968958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7D-4894-A8E0-E79008478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362944"/>
        <c:axId val="328363272"/>
      </c:scatterChart>
      <c:valAx>
        <c:axId val="328362944"/>
        <c:scaling>
          <c:orientation val="minMax"/>
          <c:max val="35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Blows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363272"/>
        <c:crosses val="autoZero"/>
        <c:crossBetween val="midCat"/>
      </c:valAx>
      <c:valAx>
        <c:axId val="328363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 Content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36294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'[3]EIT=0.15'!$C$8:$E$8</c:f>
              <c:numCache>
                <c:formatCode>General</c:formatCode>
                <c:ptCount val="3"/>
                <c:pt idx="0">
                  <c:v>12</c:v>
                </c:pt>
                <c:pt idx="1">
                  <c:v>26</c:v>
                </c:pt>
                <c:pt idx="2">
                  <c:v>23</c:v>
                </c:pt>
              </c:numCache>
            </c:numRef>
          </c:xVal>
          <c:yVal>
            <c:numRef>
              <c:f>'[3]EIT=0.15'!$C$7:$E$7</c:f>
              <c:numCache>
                <c:formatCode>General</c:formatCode>
                <c:ptCount val="3"/>
                <c:pt idx="0">
                  <c:v>0.49137931034482796</c:v>
                </c:pt>
                <c:pt idx="1">
                  <c:v>0.45195729537366525</c:v>
                </c:pt>
                <c:pt idx="2">
                  <c:v>0.46315789473684227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36-4D07-BC1A-2992BE4D6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362944"/>
        <c:axId val="328363272"/>
      </c:scatterChart>
      <c:valAx>
        <c:axId val="328362944"/>
        <c:scaling>
          <c:orientation val="minMax"/>
          <c:max val="35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Blows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363272"/>
        <c:crosses val="autoZero"/>
        <c:crossBetween val="midCat"/>
      </c:valAx>
      <c:valAx>
        <c:axId val="328363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 Content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36294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0"/>
            <c:dispRSqr val="0"/>
            <c:dispEq val="0"/>
          </c:trendline>
          <c:xVal>
            <c:numRef>
              <c:f>'[3]EIT=0.42 '!$C$8:$E$8</c:f>
              <c:numCache>
                <c:formatCode>General</c:formatCode>
                <c:ptCount val="3"/>
                <c:pt idx="0">
                  <c:v>35</c:v>
                </c:pt>
                <c:pt idx="1">
                  <c:v>20</c:v>
                </c:pt>
                <c:pt idx="2">
                  <c:v>16</c:v>
                </c:pt>
              </c:numCache>
            </c:numRef>
          </c:xVal>
          <c:yVal>
            <c:numRef>
              <c:f>'[3]EIT=0.42 '!$C$7:$E$7</c:f>
              <c:numCache>
                <c:formatCode>General</c:formatCode>
                <c:ptCount val="3"/>
                <c:pt idx="0">
                  <c:v>0.52573529411764686</c:v>
                </c:pt>
                <c:pt idx="1">
                  <c:v>0.64013840830449842</c:v>
                </c:pt>
                <c:pt idx="2">
                  <c:v>0.6700507614213197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47-4347-822B-3835D58A4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362944"/>
        <c:axId val="328363272"/>
      </c:scatterChart>
      <c:valAx>
        <c:axId val="328362944"/>
        <c:scaling>
          <c:orientation val="minMax"/>
          <c:max val="35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Blows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363272"/>
        <c:crosses val="autoZero"/>
        <c:crossBetween val="midCat"/>
      </c:valAx>
      <c:valAx>
        <c:axId val="328363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 Content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36294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0"/>
            <c:dispRSqr val="0"/>
            <c:dispEq val="0"/>
          </c:trendline>
          <c:xVal>
            <c:numRef>
              <c:f>'[3]EIT=0.82'!$C$8:$E$8</c:f>
              <c:numCache>
                <c:formatCode>General</c:formatCode>
                <c:ptCount val="3"/>
                <c:pt idx="0">
                  <c:v>21</c:v>
                </c:pt>
                <c:pt idx="1">
                  <c:v>31</c:v>
                </c:pt>
                <c:pt idx="2">
                  <c:v>13</c:v>
                </c:pt>
              </c:numCache>
            </c:numRef>
          </c:xVal>
          <c:yVal>
            <c:numRef>
              <c:f>'[3]EIT=0.82'!$C$7:$E$7</c:f>
              <c:numCache>
                <c:formatCode>General</c:formatCode>
                <c:ptCount val="3"/>
                <c:pt idx="0">
                  <c:v>1.1750000000000007</c:v>
                </c:pt>
                <c:pt idx="1">
                  <c:v>1.0173410404624275</c:v>
                </c:pt>
                <c:pt idx="2">
                  <c:v>1.2773109243697462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8B-4A48-B63E-9CCABCAA3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362944"/>
        <c:axId val="328363272"/>
      </c:scatterChart>
      <c:valAx>
        <c:axId val="328362944"/>
        <c:scaling>
          <c:orientation val="minMax"/>
          <c:max val="35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Blows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363272"/>
        <c:crosses val="autoZero"/>
        <c:crossBetween val="midCat"/>
      </c:valAx>
      <c:valAx>
        <c:axId val="328363272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 Content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36294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73403324584427"/>
          <c:y val="5.0925925925925923E-2"/>
          <c:w val="0.81111329833770773"/>
          <c:h val="0.74350320793234181"/>
        </c:manualLayout>
      </c:layout>
      <c:scatterChart>
        <c:scatterStyle val="lineMarker"/>
        <c:varyColors val="0"/>
        <c:ser>
          <c:idx val="0"/>
          <c:order val="0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('PSD UTU z=0.0'!$B$3:$B$8,'PSD UTU z=0.0'!$E$14)</c:f>
              <c:numCache>
                <c:formatCode>General</c:formatCode>
                <c:ptCount val="7"/>
                <c:pt idx="0">
                  <c:v>2</c:v>
                </c:pt>
                <c:pt idx="1">
                  <c:v>0.4</c:v>
                </c:pt>
                <c:pt idx="2">
                  <c:v>0.25</c:v>
                </c:pt>
                <c:pt idx="3">
                  <c:v>0.17699999999999999</c:v>
                </c:pt>
                <c:pt idx="4">
                  <c:v>0.14899999999999999</c:v>
                </c:pt>
                <c:pt idx="5">
                  <c:v>7.4999999999999997E-2</c:v>
                </c:pt>
                <c:pt idx="6" formatCode="0.0000">
                  <c:v>3.1992061515319706E-2</c:v>
                </c:pt>
              </c:numCache>
            </c:numRef>
          </c:xVal>
          <c:yVal>
            <c:numRef>
              <c:f>('PSD UTU z=0.0'!$D$3:$D$8,'PSD UTU z=0.0'!$F$14)</c:f>
              <c:numCache>
                <c:formatCode>0.0%</c:formatCode>
                <c:ptCount val="7"/>
                <c:pt idx="0">
                  <c:v>0.98318307267709293</c:v>
                </c:pt>
                <c:pt idx="1">
                  <c:v>0.55068997240110384</c:v>
                </c:pt>
                <c:pt idx="2">
                  <c:v>0.40886844526218946</c:v>
                </c:pt>
                <c:pt idx="3">
                  <c:v>0.34627414903403858</c:v>
                </c:pt>
                <c:pt idx="4">
                  <c:v>0.31816007359705611</c:v>
                </c:pt>
                <c:pt idx="5">
                  <c:v>0.22259429622815083</c:v>
                </c:pt>
                <c:pt idx="6" formatCode="0.00%">
                  <c:v>0.15361232382704695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FC-4F71-B332-67F7DD0846EA}"/>
            </c:ext>
          </c:extLst>
        </c:ser>
        <c:ser>
          <c:idx val="1"/>
          <c:order val="1"/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'PSD UTU z=0.0'!$E$14:$E$23</c:f>
              <c:numCache>
                <c:formatCode>0.0000</c:formatCode>
                <c:ptCount val="10"/>
                <c:pt idx="0">
                  <c:v>3.1992061515319706E-2</c:v>
                </c:pt>
                <c:pt idx="1">
                  <c:v>2.272080544346965E-2</c:v>
                </c:pt>
                <c:pt idx="2">
                  <c:v>1.6411581276647293E-2</c:v>
                </c:pt>
                <c:pt idx="3">
                  <c:v>1.1796567297311537E-2</c:v>
                </c:pt>
                <c:pt idx="4">
                  <c:v>8.7185855121879336E-3</c:v>
                </c:pt>
                <c:pt idx="5">
                  <c:v>6.2373605528834603E-3</c:v>
                </c:pt>
                <c:pt idx="6">
                  <c:v>4.5111122058017284E-3</c:v>
                </c:pt>
                <c:pt idx="7">
                  <c:v>3.1780890484692211E-3</c:v>
                </c:pt>
                <c:pt idx="8">
                  <c:v>2.2720805443469647E-3</c:v>
                </c:pt>
                <c:pt idx="9">
                  <c:v>1.3306619071391166E-3</c:v>
                </c:pt>
              </c:numCache>
            </c:numRef>
          </c:xVal>
          <c:yVal>
            <c:numRef>
              <c:f>'PSD UTU z=0.0'!$F$14:$F$23</c:f>
              <c:numCache>
                <c:formatCode>0.00%</c:formatCode>
                <c:ptCount val="10"/>
                <c:pt idx="0">
                  <c:v>0.15361232382704695</c:v>
                </c:pt>
                <c:pt idx="1">
                  <c:v>0.14864105121128493</c:v>
                </c:pt>
                <c:pt idx="2">
                  <c:v>0.1337272333639988</c:v>
                </c:pt>
                <c:pt idx="3">
                  <c:v>0.12378468813247474</c:v>
                </c:pt>
                <c:pt idx="4">
                  <c:v>0.11384214290095065</c:v>
                </c:pt>
                <c:pt idx="5">
                  <c:v>0.10389959766942658</c:v>
                </c:pt>
                <c:pt idx="6">
                  <c:v>9.3957052437902505E-2</c:v>
                </c:pt>
                <c:pt idx="7">
                  <c:v>8.8985779822140454E-2</c:v>
                </c:pt>
                <c:pt idx="8">
                  <c:v>7.9043234590616407E-2</c:v>
                </c:pt>
                <c:pt idx="9">
                  <c:v>6.9100689359092318E-2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FC-4F71-B332-67F7DD084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250616"/>
        <c:axId val="596250288"/>
      </c:scatterChart>
      <c:valAx>
        <c:axId val="596250616"/>
        <c:scaling>
          <c:logBase val="10"/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Particle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250288"/>
        <c:crosses val="autoZero"/>
        <c:crossBetween val="midCat"/>
      </c:valAx>
      <c:valAx>
        <c:axId val="596250288"/>
        <c:scaling>
          <c:orientation val="minMax"/>
          <c:max val="1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finer</a:t>
                </a:r>
              </a:p>
            </c:rich>
          </c:tx>
          <c:layout>
            <c:manualLayout>
              <c:xMode val="edge"/>
              <c:yMode val="edge"/>
              <c:x val="2.9319474553277425E-2"/>
              <c:y val="0.291800667235872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250616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73403324584427"/>
          <c:y val="5.0925925925925923E-2"/>
          <c:w val="0.81111329833770773"/>
          <c:h val="0.74350320793234181"/>
        </c:manualLayout>
      </c:layout>
      <c:scatterChart>
        <c:scatterStyle val="lineMarker"/>
        <c:varyColors val="0"/>
        <c:ser>
          <c:idx val="0"/>
          <c:order val="0"/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'PSD UTU z=0.35'!$V$35:$V$42</c:f>
              <c:numCache>
                <c:formatCode>General</c:formatCode>
                <c:ptCount val="8"/>
                <c:pt idx="0">
                  <c:v>4.75</c:v>
                </c:pt>
                <c:pt idx="1">
                  <c:v>2</c:v>
                </c:pt>
                <c:pt idx="2">
                  <c:v>0.4</c:v>
                </c:pt>
                <c:pt idx="3">
                  <c:v>0.25</c:v>
                </c:pt>
                <c:pt idx="4">
                  <c:v>0.17699999999999999</c:v>
                </c:pt>
                <c:pt idx="5">
                  <c:v>0.14899999999999999</c:v>
                </c:pt>
                <c:pt idx="6">
                  <c:v>7.4999999999999997E-2</c:v>
                </c:pt>
                <c:pt idx="7">
                  <c:v>2.8299999999999999E-2</c:v>
                </c:pt>
              </c:numCache>
            </c:numRef>
          </c:xVal>
          <c:yVal>
            <c:numRef>
              <c:f>'PSD UTU z=0.35'!$D$4:$D$11</c:f>
              <c:numCache>
                <c:formatCode>0%</c:formatCode>
                <c:ptCount val="8"/>
                <c:pt idx="0">
                  <c:v>0.99063438770100731</c:v>
                </c:pt>
                <c:pt idx="1">
                  <c:v>0.96550627319314375</c:v>
                </c:pt>
                <c:pt idx="2">
                  <c:v>0.70220887082523409</c:v>
                </c:pt>
                <c:pt idx="3">
                  <c:v>0.58816045237674497</c:v>
                </c:pt>
                <c:pt idx="4">
                  <c:v>0.50726276727336983</c:v>
                </c:pt>
                <c:pt idx="5">
                  <c:v>0.4933733875242976</c:v>
                </c:pt>
                <c:pt idx="6">
                  <c:v>0.4223361017847676</c:v>
                </c:pt>
                <c:pt idx="7">
                  <c:v>0.41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90-4323-9781-B37A7B4D3362}"/>
            </c:ext>
          </c:extLst>
        </c:ser>
        <c:ser>
          <c:idx val="1"/>
          <c:order val="1"/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'PSD UTU z=0.35'!$E$17:$E$26</c:f>
              <c:numCache>
                <c:formatCode>0.0000</c:formatCode>
                <c:ptCount val="10"/>
                <c:pt idx="0">
                  <c:v>2.826733096703684E-2</c:v>
                </c:pt>
                <c:pt idx="1">
                  <c:v>2.0322106190058156E-2</c:v>
                </c:pt>
                <c:pt idx="2">
                  <c:v>1.4678964541138451E-2</c:v>
                </c:pt>
                <c:pt idx="3">
                  <c:v>1.069904201318978E-2</c:v>
                </c:pt>
                <c:pt idx="4">
                  <c:v>7.965207676723398E-3</c:v>
                </c:pt>
                <c:pt idx="5">
                  <c:v>5.7894616905776889E-3</c:v>
                </c:pt>
                <c:pt idx="6">
                  <c:v>4.1841486589269273E-3</c:v>
                </c:pt>
                <c:pt idx="7">
                  <c:v>2.996331089849718E-3</c:v>
                </c:pt>
                <c:pt idx="8">
                  <c:v>2.1624157016324743E-3</c:v>
                </c:pt>
                <c:pt idx="9">
                  <c:v>1.2829523243934932E-3</c:v>
                </c:pt>
              </c:numCache>
            </c:numRef>
          </c:xVal>
          <c:yVal>
            <c:numRef>
              <c:f>'PSD UTU z=0.35'!$F$17:$F$26</c:f>
              <c:numCache>
                <c:formatCode>0%</c:formatCode>
                <c:ptCount val="10"/>
                <c:pt idx="0">
                  <c:v>0.41113433333333338</c:v>
                </c:pt>
                <c:pt idx="1">
                  <c:v>0.39282099999999998</c:v>
                </c:pt>
                <c:pt idx="2">
                  <c:v>0.37450766666666668</c:v>
                </c:pt>
                <c:pt idx="3">
                  <c:v>0.33788099999999999</c:v>
                </c:pt>
                <c:pt idx="4">
                  <c:v>0.31956766666666664</c:v>
                </c:pt>
                <c:pt idx="5">
                  <c:v>0.28294099999999994</c:v>
                </c:pt>
                <c:pt idx="6">
                  <c:v>0.255471</c:v>
                </c:pt>
                <c:pt idx="7">
                  <c:v>0.23715766666666666</c:v>
                </c:pt>
                <c:pt idx="8">
                  <c:v>0.20968766666666663</c:v>
                </c:pt>
                <c:pt idx="9">
                  <c:v>0.17306099999999999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90-4323-9781-B37A7B4D3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250616"/>
        <c:axId val="596250288"/>
        <c:extLst/>
      </c:scatterChart>
      <c:valAx>
        <c:axId val="596250616"/>
        <c:scaling>
          <c:logBase val="10"/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Particle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250288"/>
        <c:crosses val="autoZero"/>
        <c:crossBetween val="midCat"/>
      </c:valAx>
      <c:valAx>
        <c:axId val="596250288"/>
        <c:scaling>
          <c:orientation val="minMax"/>
          <c:max val="1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finer</a:t>
                </a:r>
              </a:p>
            </c:rich>
          </c:tx>
          <c:layout>
            <c:manualLayout>
              <c:xMode val="edge"/>
              <c:yMode val="edge"/>
              <c:x val="2.208223972003509E-3"/>
              <c:y val="0.296820866141732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250616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73403324584427"/>
          <c:y val="5.0925925925925923E-2"/>
          <c:w val="0.81111329833770773"/>
          <c:h val="0.74350320793234181"/>
        </c:manualLayout>
      </c:layout>
      <c:scatterChart>
        <c:scatterStyle val="lineMarker"/>
        <c:varyColors val="0"/>
        <c:ser>
          <c:idx val="0"/>
          <c:order val="0"/>
          <c:spPr>
            <a:ln w="15875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'PSD UTU z=0.7'!$Y$42:$Y$49</c:f>
              <c:numCache>
                <c:formatCode>General</c:formatCode>
                <c:ptCount val="8"/>
                <c:pt idx="0">
                  <c:v>4.75</c:v>
                </c:pt>
                <c:pt idx="1">
                  <c:v>2</c:v>
                </c:pt>
                <c:pt idx="2">
                  <c:v>0.4</c:v>
                </c:pt>
                <c:pt idx="3">
                  <c:v>0.25</c:v>
                </c:pt>
                <c:pt idx="4">
                  <c:v>0.17699999999999999</c:v>
                </c:pt>
                <c:pt idx="5">
                  <c:v>0.14899999999999999</c:v>
                </c:pt>
                <c:pt idx="6">
                  <c:v>7.3999999999999996E-2</c:v>
                </c:pt>
                <c:pt idx="7">
                  <c:v>2.86E-2</c:v>
                </c:pt>
              </c:numCache>
            </c:numRef>
          </c:xVal>
          <c:yVal>
            <c:numRef>
              <c:f>'PSD UTU z=0.7'!$D$3:$D$10</c:f>
              <c:numCache>
                <c:formatCode>0%</c:formatCode>
                <c:ptCount val="8"/>
                <c:pt idx="0">
                  <c:v>0.99870041039671686</c:v>
                </c:pt>
                <c:pt idx="1">
                  <c:v>0.98221614227086185</c:v>
                </c:pt>
                <c:pt idx="2">
                  <c:v>0.70793433652530791</c:v>
                </c:pt>
                <c:pt idx="3">
                  <c:v>0.59370725034199734</c:v>
                </c:pt>
                <c:pt idx="4">
                  <c:v>0.5309849521203831</c:v>
                </c:pt>
                <c:pt idx="5">
                  <c:v>0.50588235294117656</c:v>
                </c:pt>
                <c:pt idx="6">
                  <c:v>0.41340629274965784</c:v>
                </c:pt>
                <c:pt idx="7">
                  <c:v>0.4134062927496579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63-4D01-A8AA-AF2D99F32323}"/>
            </c:ext>
          </c:extLst>
        </c:ser>
        <c:ser>
          <c:idx val="1"/>
          <c:order val="1"/>
          <c:spPr>
            <a:ln w="15875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'PSD UTU z=0.7'!$F$16:$F$25</c:f>
              <c:numCache>
                <c:formatCode>0.0000</c:formatCode>
                <c:ptCount val="10"/>
                <c:pt idx="0">
                  <c:v>2.8583176870320068E-2</c:v>
                </c:pt>
                <c:pt idx="1">
                  <c:v>2.0867031413212566E-2</c:v>
                </c:pt>
                <c:pt idx="2">
                  <c:v>1.5130730319452527E-2</c:v>
                </c:pt>
                <c:pt idx="3">
                  <c:v>1.0906809799386803E-2</c:v>
                </c:pt>
                <c:pt idx="4">
                  <c:v>8.0771364562778891E-3</c:v>
                </c:pt>
                <c:pt idx="5">
                  <c:v>5.7894616905776889E-3</c:v>
                </c:pt>
                <c:pt idx="6">
                  <c:v>4.2197590768510308E-3</c:v>
                </c:pt>
                <c:pt idx="7">
                  <c:v>3.0458605789935077E-3</c:v>
                </c:pt>
                <c:pt idx="8">
                  <c:v>2.1796463780469834E-3</c:v>
                </c:pt>
                <c:pt idx="9">
                  <c:v>1.3022459231821172E-3</c:v>
                </c:pt>
              </c:numCache>
            </c:numRef>
          </c:xVal>
          <c:yVal>
            <c:numRef>
              <c:f>'PSD UTU z=0.7'!$G$16:$G$25</c:f>
              <c:numCache>
                <c:formatCode>0%</c:formatCode>
                <c:ptCount val="10"/>
                <c:pt idx="0">
                  <c:v>0.40531730962152296</c:v>
                </c:pt>
                <c:pt idx="1">
                  <c:v>0.36838634746922017</c:v>
                </c:pt>
                <c:pt idx="2">
                  <c:v>0.34068812585499308</c:v>
                </c:pt>
                <c:pt idx="3">
                  <c:v>0.32222264477884166</c:v>
                </c:pt>
                <c:pt idx="4">
                  <c:v>0.30375716370269029</c:v>
                </c:pt>
                <c:pt idx="5">
                  <c:v>0.28529168262653887</c:v>
                </c:pt>
                <c:pt idx="6">
                  <c:v>0.24836072047423616</c:v>
                </c:pt>
                <c:pt idx="7">
                  <c:v>0.22066249886000908</c:v>
                </c:pt>
                <c:pt idx="8">
                  <c:v>0.20219701778385768</c:v>
                </c:pt>
                <c:pt idx="9">
                  <c:v>0.16526605563155489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63-4D01-A8AA-AF2D99F32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250616"/>
        <c:axId val="596250288"/>
        <c:extLst/>
      </c:scatterChart>
      <c:valAx>
        <c:axId val="596250616"/>
        <c:scaling>
          <c:logBase val="10"/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Particle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250288"/>
        <c:crosses val="autoZero"/>
        <c:crossBetween val="midCat"/>
      </c:valAx>
      <c:valAx>
        <c:axId val="596250288"/>
        <c:scaling>
          <c:orientation val="minMax"/>
          <c:max val="1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finer</a:t>
                </a:r>
              </a:p>
            </c:rich>
          </c:tx>
          <c:layout>
            <c:manualLayout>
              <c:xMode val="edge"/>
              <c:yMode val="edge"/>
              <c:x val="2.208223972003509E-3"/>
              <c:y val="0.296820866141732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250616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73403324584427"/>
          <c:y val="5.0925925925925923E-2"/>
          <c:w val="0.81111329833770773"/>
          <c:h val="0.74350320793234181"/>
        </c:manualLayout>
      </c:layout>
      <c:scatterChart>
        <c:scatterStyle val="lineMarker"/>
        <c:varyColors val="0"/>
        <c:ser>
          <c:idx val="0"/>
          <c:order val="0"/>
          <c:spPr>
            <a:ln w="15875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'PSD ELT z=0.15'!$W$48:$W$55</c:f>
              <c:numCache>
                <c:formatCode>General</c:formatCode>
                <c:ptCount val="8"/>
                <c:pt idx="0">
                  <c:v>18.850000000000001</c:v>
                </c:pt>
                <c:pt idx="1">
                  <c:v>4.75</c:v>
                </c:pt>
                <c:pt idx="2">
                  <c:v>2</c:v>
                </c:pt>
                <c:pt idx="3">
                  <c:v>0.4</c:v>
                </c:pt>
                <c:pt idx="4">
                  <c:v>0.25</c:v>
                </c:pt>
                <c:pt idx="5">
                  <c:v>7.4999999999999997E-2</c:v>
                </c:pt>
                <c:pt idx="6" formatCode="0.0000">
                  <c:v>7.3999999999999996E-2</c:v>
                </c:pt>
                <c:pt idx="7" formatCode="0.0000">
                  <c:v>2.981311791812457E-2</c:v>
                </c:pt>
              </c:numCache>
            </c:numRef>
          </c:xVal>
          <c:yVal>
            <c:numRef>
              <c:f>'PSD ELT z=0.15'!$E$9:$E$16</c:f>
              <c:numCache>
                <c:formatCode>0%</c:formatCode>
                <c:ptCount val="8"/>
                <c:pt idx="0">
                  <c:v>0.9516989609660208</c:v>
                </c:pt>
                <c:pt idx="1">
                  <c:v>0.83684358326312847</c:v>
                </c:pt>
                <c:pt idx="2">
                  <c:v>0.79140690817186188</c:v>
                </c:pt>
                <c:pt idx="3">
                  <c:v>0.71710193765796137</c:v>
                </c:pt>
                <c:pt idx="4">
                  <c:v>0.65947767481044661</c:v>
                </c:pt>
                <c:pt idx="5">
                  <c:v>0.62707104745857911</c:v>
                </c:pt>
                <c:pt idx="6">
                  <c:v>0.63009999999999999</c:v>
                </c:pt>
                <c:pt idx="7">
                  <c:v>0.55000000000000004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70-4F59-855A-EDA9F918ABB2}"/>
            </c:ext>
          </c:extLst>
        </c:ser>
        <c:ser>
          <c:idx val="1"/>
          <c:order val="1"/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'PSD ELT z=0.15'!$G$20:$G$29</c:f>
              <c:numCache>
                <c:formatCode>0.0000</c:formatCode>
                <c:ptCount val="10"/>
                <c:pt idx="0">
                  <c:v>2.981311791812457E-2</c:v>
                </c:pt>
                <c:pt idx="1">
                  <c:v>2.139808402637956E-2</c:v>
                </c:pt>
                <c:pt idx="2">
                  <c:v>1.5424558340516592E-2</c:v>
                </c:pt>
                <c:pt idx="3">
                  <c:v>1.1161081936801646E-2</c:v>
                </c:pt>
                <c:pt idx="4">
                  <c:v>8.2603147639784286E-3</c:v>
                </c:pt>
                <c:pt idx="5">
                  <c:v>5.9676405164297E-3</c:v>
                </c:pt>
                <c:pt idx="6">
                  <c:v>4.2726182449016742E-3</c:v>
                </c:pt>
                <c:pt idx="7">
                  <c:v>3.082485469011438E-3</c:v>
                </c:pt>
                <c:pt idx="8">
                  <c:v>2.205239971824684E-3</c:v>
                </c:pt>
                <c:pt idx="9">
                  <c:v>1.2974494209794848E-3</c:v>
                </c:pt>
              </c:numCache>
            </c:numRef>
          </c:xVal>
          <c:yVal>
            <c:numRef>
              <c:f>'PSD ELT z=0.15'!$H$20:$H$29</c:f>
              <c:numCache>
                <c:formatCode>0%</c:formatCode>
                <c:ptCount val="10"/>
                <c:pt idx="0">
                  <c:v>0.54740987666666674</c:v>
                </c:pt>
                <c:pt idx="1">
                  <c:v>0.51926541000000004</c:v>
                </c:pt>
                <c:pt idx="2">
                  <c:v>0.49112094333333334</c:v>
                </c:pt>
                <c:pt idx="3">
                  <c:v>0.44890424333333334</c:v>
                </c:pt>
                <c:pt idx="4">
                  <c:v>0.4207597766666667</c:v>
                </c:pt>
                <c:pt idx="5">
                  <c:v>0.37854307666666664</c:v>
                </c:pt>
                <c:pt idx="6">
                  <c:v>0.35039861</c:v>
                </c:pt>
                <c:pt idx="7">
                  <c:v>0.30818191</c:v>
                </c:pt>
                <c:pt idx="8">
                  <c:v>0.2800374433333333</c:v>
                </c:pt>
                <c:pt idx="9">
                  <c:v>0.23782074333333331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70-4F59-855A-EDA9F918A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250616"/>
        <c:axId val="596250288"/>
        <c:extLst/>
      </c:scatterChart>
      <c:valAx>
        <c:axId val="596250616"/>
        <c:scaling>
          <c:logBase val="10"/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Particle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250288"/>
        <c:crosses val="autoZero"/>
        <c:crossBetween val="midCat"/>
      </c:valAx>
      <c:valAx>
        <c:axId val="596250288"/>
        <c:scaling>
          <c:orientation val="minMax"/>
          <c:max val="1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finer</a:t>
                </a:r>
              </a:p>
            </c:rich>
          </c:tx>
          <c:layout>
            <c:manualLayout>
              <c:xMode val="edge"/>
              <c:yMode val="edge"/>
              <c:x val="1.6043042894741427E-2"/>
              <c:y val="0.189476400195738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250616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73403324584427"/>
          <c:y val="5.0925925925925923E-2"/>
          <c:w val="0.81111329833770773"/>
          <c:h val="0.74350320793234181"/>
        </c:manualLayout>
      </c:layout>
      <c:scatterChart>
        <c:scatterStyle val="lineMarker"/>
        <c:varyColors val="0"/>
        <c:ser>
          <c:idx val="0"/>
          <c:order val="0"/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'PSD ELT z=0.42 '!$Q$45:$Q$52</c:f>
              <c:numCache>
                <c:formatCode>General</c:formatCode>
                <c:ptCount val="8"/>
                <c:pt idx="0">
                  <c:v>18.850000000000001</c:v>
                </c:pt>
                <c:pt idx="1">
                  <c:v>4.75</c:v>
                </c:pt>
                <c:pt idx="2">
                  <c:v>2</c:v>
                </c:pt>
                <c:pt idx="3">
                  <c:v>0.4</c:v>
                </c:pt>
                <c:pt idx="4">
                  <c:v>0.25</c:v>
                </c:pt>
                <c:pt idx="5">
                  <c:v>7.3999999999999996E-2</c:v>
                </c:pt>
                <c:pt idx="6">
                  <c:v>7.3999999999999996E-2</c:v>
                </c:pt>
                <c:pt idx="7">
                  <c:v>2.981311791812457E-2</c:v>
                </c:pt>
              </c:numCache>
            </c:numRef>
          </c:xVal>
          <c:yVal>
            <c:numRef>
              <c:f>'PSD ELT z=0.42 '!$D$7:$D$14</c:f>
              <c:numCache>
                <c:formatCode>0%</c:formatCode>
                <c:ptCount val="8"/>
                <c:pt idx="0">
                  <c:v>0.87700787401574798</c:v>
                </c:pt>
                <c:pt idx="1">
                  <c:v>0.66881889763779523</c:v>
                </c:pt>
                <c:pt idx="2">
                  <c:v>0.64661417322834647</c:v>
                </c:pt>
                <c:pt idx="3">
                  <c:v>0.62314960629921257</c:v>
                </c:pt>
                <c:pt idx="4">
                  <c:v>0.60724409448818906</c:v>
                </c:pt>
                <c:pt idx="5">
                  <c:v>0.51023622047244099</c:v>
                </c:pt>
                <c:pt idx="6">
                  <c:v>0.51023622047244088</c:v>
                </c:pt>
                <c:pt idx="7" formatCode="0.00%">
                  <c:v>0.443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81-4B02-8B05-77ACA340F87A}"/>
            </c:ext>
          </c:extLst>
        </c:ser>
        <c:ser>
          <c:idx val="1"/>
          <c:order val="1"/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'PSD ELT z=0.42 '!$J$20:$J$29</c:f>
              <c:numCache>
                <c:formatCode>General</c:formatCode>
                <c:ptCount val="10"/>
                <c:pt idx="0">
                  <c:v>2.981311791812457E-2</c:v>
                </c:pt>
                <c:pt idx="1">
                  <c:v>2.139808402637956E-2</c:v>
                </c:pt>
                <c:pt idx="2">
                  <c:v>1.5424558340516592E-2</c:v>
                </c:pt>
                <c:pt idx="3">
                  <c:v>1.1161081936801646E-2</c:v>
                </c:pt>
                <c:pt idx="4">
                  <c:v>8.2603147639784286E-3</c:v>
                </c:pt>
                <c:pt idx="5">
                  <c:v>5.9676405164297E-3</c:v>
                </c:pt>
                <c:pt idx="6">
                  <c:v>4.2726182449016742E-3</c:v>
                </c:pt>
                <c:pt idx="7">
                  <c:v>3.082485469011438E-3</c:v>
                </c:pt>
                <c:pt idx="8">
                  <c:v>2.205239971824684E-3</c:v>
                </c:pt>
                <c:pt idx="9">
                  <c:v>1.2974494209794848E-3</c:v>
                </c:pt>
              </c:numCache>
            </c:numRef>
          </c:xVal>
          <c:yVal>
            <c:numRef>
              <c:f>'PSD ELT z=0.42 '!$K$20:$K$29</c:f>
              <c:numCache>
                <c:formatCode>0.0%</c:formatCode>
                <c:ptCount val="10"/>
                <c:pt idx="0">
                  <c:v>0.44307100000000005</c:v>
                </c:pt>
                <c:pt idx="1">
                  <c:v>0.42029100000000003</c:v>
                </c:pt>
                <c:pt idx="2">
                  <c:v>0.397511</c:v>
                </c:pt>
                <c:pt idx="3">
                  <c:v>0.36334100000000003</c:v>
                </c:pt>
                <c:pt idx="4">
                  <c:v>0.34056100000000006</c:v>
                </c:pt>
                <c:pt idx="5">
                  <c:v>0.30639100000000002</c:v>
                </c:pt>
                <c:pt idx="6">
                  <c:v>0.283611</c:v>
                </c:pt>
                <c:pt idx="7">
                  <c:v>0.249441</c:v>
                </c:pt>
                <c:pt idx="8">
                  <c:v>0.22666099999999997</c:v>
                </c:pt>
                <c:pt idx="9">
                  <c:v>0.19249099999999997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81-4B02-8B05-77ACA340F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250616"/>
        <c:axId val="596250288"/>
        <c:extLst/>
      </c:scatterChart>
      <c:valAx>
        <c:axId val="596250616"/>
        <c:scaling>
          <c:logBase val="10"/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Particle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250288"/>
        <c:crosses val="autoZero"/>
        <c:crossBetween val="midCat"/>
      </c:valAx>
      <c:valAx>
        <c:axId val="596250288"/>
        <c:scaling>
          <c:orientation val="minMax"/>
          <c:max val="1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finer</a:t>
                </a:r>
              </a:p>
            </c:rich>
          </c:tx>
          <c:layout>
            <c:manualLayout>
              <c:xMode val="edge"/>
              <c:yMode val="edge"/>
              <c:x val="1.9986001749781278E-2"/>
              <c:y val="0.292086092221426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250616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73403324584427"/>
          <c:y val="5.0925925925925923E-2"/>
          <c:w val="0.81111329833770773"/>
          <c:h val="0.74350320793234181"/>
        </c:manualLayout>
      </c:layout>
      <c:scatterChart>
        <c:scatterStyle val="lineMarker"/>
        <c:varyColors val="0"/>
        <c:ser>
          <c:idx val="0"/>
          <c:order val="0"/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'PSD ELT z=0.82'!$G$10:$G$19</c:f>
              <c:numCache>
                <c:formatCode>0.0000</c:formatCode>
                <c:ptCount val="10"/>
                <c:pt idx="0">
                  <c:v>3.2132071206195219E-2</c:v>
                </c:pt>
                <c:pt idx="1">
                  <c:v>2.2917526044492674E-2</c:v>
                </c:pt>
                <c:pt idx="2">
                  <c:v>1.6205138074080083E-2</c:v>
                </c:pt>
                <c:pt idx="3">
                  <c:v>1.1556286168142428E-2</c:v>
                </c:pt>
                <c:pt idx="4">
                  <c:v>8.6149946798203727E-3</c:v>
                </c:pt>
                <c:pt idx="5">
                  <c:v>6.164970938022876E-3</c:v>
                </c:pt>
                <c:pt idx="6">
                  <c:v>4.410479943649368E-3</c:v>
                </c:pt>
                <c:pt idx="7">
                  <c:v>3.1898380314158061E-3</c:v>
                </c:pt>
                <c:pt idx="8">
                  <c:v>2.2472483173872886E-3</c:v>
                </c:pt>
                <c:pt idx="9">
                  <c:v>1.321257818225581E-3</c:v>
                </c:pt>
              </c:numCache>
            </c:numRef>
          </c:xVal>
          <c:yVal>
            <c:numRef>
              <c:f>'PSD ELT z=0.82'!$H$10:$H$19</c:f>
              <c:numCache>
                <c:formatCode>0%</c:formatCode>
                <c:ptCount val="10"/>
                <c:pt idx="0">
                  <c:v>0.94893157894736846</c:v>
                </c:pt>
                <c:pt idx="1">
                  <c:v>0.91719473684210528</c:v>
                </c:pt>
                <c:pt idx="2">
                  <c:v>0.91719473684210528</c:v>
                </c:pt>
                <c:pt idx="3">
                  <c:v>0.88545789473684222</c:v>
                </c:pt>
                <c:pt idx="4">
                  <c:v>0.79024736842105259</c:v>
                </c:pt>
                <c:pt idx="5">
                  <c:v>0.72677368421052635</c:v>
                </c:pt>
                <c:pt idx="6">
                  <c:v>0.6633</c:v>
                </c:pt>
                <c:pt idx="7">
                  <c:v>0.59982631578947365</c:v>
                </c:pt>
                <c:pt idx="8">
                  <c:v>0.56808947368421048</c:v>
                </c:pt>
                <c:pt idx="9">
                  <c:v>0.47287894736842112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3A-4CED-9525-86846A4E1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250616"/>
        <c:axId val="596250288"/>
        <c:extLst/>
      </c:scatterChart>
      <c:valAx>
        <c:axId val="596250616"/>
        <c:scaling>
          <c:logBase val="10"/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Particle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250288"/>
        <c:crosses val="autoZero"/>
        <c:crossBetween val="midCat"/>
      </c:valAx>
      <c:valAx>
        <c:axId val="596250288"/>
        <c:scaling>
          <c:orientation val="minMax"/>
          <c:max val="1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Passing  Percentage</a:t>
                </a:r>
              </a:p>
            </c:rich>
          </c:tx>
          <c:layout>
            <c:manualLayout>
              <c:xMode val="edge"/>
              <c:yMode val="edge"/>
              <c:x val="2.208223972003509E-3"/>
              <c:y val="0.296820866141732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250616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UTU-1 z=0.7m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'Direct_shear_ELT&amp;UTU'!$D$25:$D$27</c:f>
              <c:numCache>
                <c:formatCode>General</c:formatCode>
                <c:ptCount val="3"/>
                <c:pt idx="0">
                  <c:v>6.9979999999999993</c:v>
                </c:pt>
                <c:pt idx="1">
                  <c:v>4.0294400000000001</c:v>
                </c:pt>
                <c:pt idx="2">
                  <c:v>2.0184799999999998</c:v>
                </c:pt>
              </c:numCache>
            </c:numRef>
          </c:xVal>
          <c:yVal>
            <c:numRef>
              <c:f>'Direct_shear_ELT&amp;UTU'!$E$25:$E$27</c:f>
              <c:numCache>
                <c:formatCode>0.00</c:formatCode>
                <c:ptCount val="3"/>
                <c:pt idx="0">
                  <c:v>10.38996</c:v>
                </c:pt>
                <c:pt idx="1">
                  <c:v>5.0274000000000001</c:v>
                </c:pt>
                <c:pt idx="2">
                  <c:v>3.7346399999999997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69-4F15-A27A-1ADB24B1B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311640"/>
        <c:axId val="801315168"/>
      </c:scatterChart>
      <c:valAx>
        <c:axId val="801311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Effective</a:t>
                </a:r>
                <a:r>
                  <a:rPr lang="en-US" baseline="0"/>
                  <a:t> normal stress (kPa)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315168"/>
        <c:crosses val="autoZero"/>
        <c:crossBetween val="midCat"/>
      </c:valAx>
      <c:valAx>
        <c:axId val="80131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311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UTU-1 z=0m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'Direct_shear_ELT&amp;UTU'!$D$6:$D$8</c:f>
              <c:numCache>
                <c:formatCode>General</c:formatCode>
                <c:ptCount val="3"/>
                <c:pt idx="0">
                  <c:v>4.0294400000000001</c:v>
                </c:pt>
                <c:pt idx="1">
                  <c:v>6.9979999999999993</c:v>
                </c:pt>
                <c:pt idx="2">
                  <c:v>12.983000000000001</c:v>
                </c:pt>
              </c:numCache>
            </c:numRef>
          </c:xVal>
          <c:yVal>
            <c:numRef>
              <c:f>'Direct_shear_ELT&amp;UTU'!$E$6:$E$8</c:f>
              <c:numCache>
                <c:formatCode>General</c:formatCode>
                <c:ptCount val="3"/>
                <c:pt idx="0">
                  <c:v>8.5226399999999991</c:v>
                </c:pt>
                <c:pt idx="1">
                  <c:v>9.671759999999999</c:v>
                </c:pt>
                <c:pt idx="2">
                  <c:v>15.8004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B1-42C0-86DD-9A62F00CB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310072"/>
        <c:axId val="801317128"/>
      </c:scatterChart>
      <c:valAx>
        <c:axId val="801310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Effective</a:t>
                </a:r>
                <a:r>
                  <a:rPr lang="en-US" baseline="0"/>
                  <a:t> normal stress (kPa)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317128"/>
        <c:crosses val="autoZero"/>
        <c:crossBetween val="midCat"/>
      </c:valAx>
      <c:valAx>
        <c:axId val="801317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310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UTU-1 z=0.35m, UTU-7-B,</a:t>
            </a:r>
            <a:r>
              <a:rPr lang="en-US" baseline="0"/>
              <a:t> UTU-8B, z=0.55m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EC6-487A-89E6-5D7621D96191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DEC6-487A-89E6-5D7621D96191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EC6-487A-89E6-5D7621D96191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DEC6-487A-89E6-5D7621D96191}"/>
              </c:ext>
            </c:extLst>
          </c:dPt>
          <c:xVal>
            <c:numRef>
              <c:f>'Direct_shear_ELT&amp;UTU'!$D$9:$D$16</c:f>
              <c:numCache>
                <c:formatCode>General</c:formatCode>
                <c:ptCount val="8"/>
                <c:pt idx="0">
                  <c:v>0.17199999999999999</c:v>
                </c:pt>
                <c:pt idx="1">
                  <c:v>3.0239599999999998</c:v>
                </c:pt>
                <c:pt idx="2">
                  <c:v>4.1730799999999997</c:v>
                </c:pt>
                <c:pt idx="3">
                  <c:v>11.019919999999999</c:v>
                </c:pt>
                <c:pt idx="4">
                  <c:v>20.165000000000003</c:v>
                </c:pt>
                <c:pt idx="5">
                  <c:v>39.85</c:v>
                </c:pt>
                <c:pt idx="6">
                  <c:v>59.85</c:v>
                </c:pt>
                <c:pt idx="7">
                  <c:v>119.85</c:v>
                </c:pt>
              </c:numCache>
            </c:numRef>
          </c:xVal>
          <c:yVal>
            <c:numRef>
              <c:f>'Direct_shear_ELT&amp;UTU'!$E$9:$E$16</c:f>
              <c:numCache>
                <c:formatCode>General</c:formatCode>
                <c:ptCount val="8"/>
                <c:pt idx="0">
                  <c:v>1.125</c:v>
                </c:pt>
                <c:pt idx="1">
                  <c:v>7.7565600000000003</c:v>
                </c:pt>
                <c:pt idx="2">
                  <c:v>10.0548</c:v>
                </c:pt>
                <c:pt idx="3">
                  <c:v>14.74704</c:v>
                </c:pt>
                <c:pt idx="4">
                  <c:v>17.332560000000001</c:v>
                </c:pt>
                <c:pt idx="5">
                  <c:v>32.44</c:v>
                </c:pt>
                <c:pt idx="6">
                  <c:v>43.42</c:v>
                </c:pt>
                <c:pt idx="7">
                  <c:v>86.604900000000001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EC6-487A-89E6-5D7621D9619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'Direct_shear_ELT&amp;UTU'!$D$17:$D$24</c:f>
              <c:numCache>
                <c:formatCode>0.000</c:formatCode>
                <c:ptCount val="8"/>
                <c:pt idx="0">
                  <c:v>0.17155579999999993</c:v>
                </c:pt>
                <c:pt idx="1">
                  <c:v>0.94055579999999994</c:v>
                </c:pt>
                <c:pt idx="2" formatCode="General">
                  <c:v>1.9405557999999998</c:v>
                </c:pt>
                <c:pt idx="3" formatCode="General">
                  <c:v>4.9405558000000003</c:v>
                </c:pt>
                <c:pt idx="4">
                  <c:v>6.9405558000000003</c:v>
                </c:pt>
                <c:pt idx="5">
                  <c:v>15.9405558</c:v>
                </c:pt>
                <c:pt idx="6">
                  <c:v>30.940555799999998</c:v>
                </c:pt>
                <c:pt idx="7">
                  <c:v>60.940555799999991</c:v>
                </c:pt>
              </c:numCache>
            </c:numRef>
          </c:xVal>
          <c:yVal>
            <c:numRef>
              <c:f>'Direct_shear_ELT&amp;UTU'!$E$17:$E$24</c:f>
              <c:numCache>
                <c:formatCode>General</c:formatCode>
                <c:ptCount val="8"/>
                <c:pt idx="0">
                  <c:v>1.08</c:v>
                </c:pt>
                <c:pt idx="1">
                  <c:v>1.77</c:v>
                </c:pt>
                <c:pt idx="2">
                  <c:v>3.1949999999999998</c:v>
                </c:pt>
                <c:pt idx="3">
                  <c:v>5.3739999999999997</c:v>
                </c:pt>
                <c:pt idx="4">
                  <c:v>4.2880000000000003</c:v>
                </c:pt>
                <c:pt idx="5">
                  <c:v>15.314</c:v>
                </c:pt>
                <c:pt idx="6">
                  <c:v>25.029</c:v>
                </c:pt>
                <c:pt idx="7">
                  <c:v>52.338999999999999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EC6-487A-89E6-5D7621D96191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5535259296371268E-2"/>
                  <c:y val="1.396011790266111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('Direct_shear_ELT&amp;UTU'!$D$13:$D$16,'Direct_shear_ELT&amp;UTU'!$D$23:$D$24,'Direct_shear_ELT&amp;UTU'!$D$24)</c:f>
              <c:numCache>
                <c:formatCode>General</c:formatCode>
                <c:ptCount val="7"/>
                <c:pt idx="0">
                  <c:v>20.165000000000003</c:v>
                </c:pt>
                <c:pt idx="1">
                  <c:v>39.85</c:v>
                </c:pt>
                <c:pt idx="2">
                  <c:v>59.85</c:v>
                </c:pt>
                <c:pt idx="3">
                  <c:v>119.85</c:v>
                </c:pt>
                <c:pt idx="4" formatCode="0.000">
                  <c:v>30.940555799999998</c:v>
                </c:pt>
                <c:pt idx="5" formatCode="0.000">
                  <c:v>60.940555799999991</c:v>
                </c:pt>
                <c:pt idx="6" formatCode="0.000">
                  <c:v>60.940555799999991</c:v>
                </c:pt>
              </c:numCache>
            </c:numRef>
          </c:xVal>
          <c:yVal>
            <c:numRef>
              <c:f>('Direct_shear_ELT&amp;UTU'!$E$13:$E$16,'Direct_shear_ELT&amp;UTU'!$E$23:$E$24)</c:f>
              <c:numCache>
                <c:formatCode>General</c:formatCode>
                <c:ptCount val="6"/>
                <c:pt idx="0">
                  <c:v>17.332560000000001</c:v>
                </c:pt>
                <c:pt idx="1">
                  <c:v>32.44</c:v>
                </c:pt>
                <c:pt idx="2">
                  <c:v>43.42</c:v>
                </c:pt>
                <c:pt idx="3">
                  <c:v>86.604900000000001</c:v>
                </c:pt>
                <c:pt idx="4">
                  <c:v>25.029</c:v>
                </c:pt>
                <c:pt idx="5">
                  <c:v>52.338999999999999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EC6-487A-89E6-5D7621D96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310856"/>
        <c:axId val="801317912"/>
      </c:scatterChart>
      <c:valAx>
        <c:axId val="801310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Effective</a:t>
                </a:r>
                <a:r>
                  <a:rPr lang="en-US" baseline="0"/>
                  <a:t> normal stress (kPa)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317912"/>
        <c:crosses val="autoZero"/>
        <c:crossBetween val="midCat"/>
      </c:valAx>
      <c:valAx>
        <c:axId val="801317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310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ELT-1 z=0.89m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47D-43C7-92B3-F62CA4C30883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47D-43C7-92B3-F62CA4C30883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'Direct_shear_ELT&amp;UTU'!$D$108:$D$110</c:f>
              <c:numCache>
                <c:formatCode>0.00</c:formatCode>
                <c:ptCount val="3"/>
                <c:pt idx="0">
                  <c:v>3.0239599999999998</c:v>
                </c:pt>
                <c:pt idx="1">
                  <c:v>5.0749199999999997</c:v>
                </c:pt>
                <c:pt idx="2">
                  <c:v>8.0434799999999989</c:v>
                </c:pt>
              </c:numCache>
            </c:numRef>
          </c:xVal>
          <c:yVal>
            <c:numRef>
              <c:f>'Direct_shear_ELT&amp;UTU'!$E$108:$E$110</c:f>
              <c:numCache>
                <c:formatCode>0.00</c:formatCode>
                <c:ptCount val="3"/>
                <c:pt idx="0">
                  <c:v>7.2777599999999998</c:v>
                </c:pt>
                <c:pt idx="1">
                  <c:v>8.6183999999999994</c:v>
                </c:pt>
                <c:pt idx="2">
                  <c:v>10.773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7D-43C7-92B3-F62CA4C30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307720"/>
        <c:axId val="801313992"/>
      </c:scatterChart>
      <c:valAx>
        <c:axId val="801307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Effective</a:t>
                </a:r>
                <a:r>
                  <a:rPr lang="en-US" baseline="0"/>
                  <a:t> normal stress (kPa)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313992"/>
        <c:crosses val="autoZero"/>
        <c:crossBetween val="midCat"/>
      </c:valAx>
      <c:valAx>
        <c:axId val="801313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307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UTU- all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noFill/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093-42B8-9B71-63DCD90DA5A8}"/>
              </c:ext>
            </c:extLst>
          </c:dPt>
          <c:dPt>
            <c:idx val="8"/>
            <c:marker>
              <c:symbol val="circle"/>
              <c:size val="5"/>
              <c:spPr>
                <a:noFill/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093-42B8-9B71-63DCD90DA5A8}"/>
              </c:ext>
            </c:extLst>
          </c:dPt>
          <c:dPt>
            <c:idx val="9"/>
            <c:marker>
              <c:symbol val="circle"/>
              <c:size val="5"/>
              <c:spPr>
                <a:noFill/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6093-42B8-9B71-63DCD90DA5A8}"/>
              </c:ext>
            </c:extLst>
          </c:dPt>
          <c:dPt>
            <c:idx val="10"/>
            <c:marker>
              <c:symbol val="circle"/>
              <c:size val="5"/>
              <c:spPr>
                <a:noFill/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6093-42B8-9B71-63DCD90DA5A8}"/>
              </c:ext>
            </c:extLst>
          </c:dPt>
          <c:xVal>
            <c:numRef>
              <c:f>'Direct_shear_ELT&amp;UTU'!$D$6:$D$27</c:f>
              <c:numCache>
                <c:formatCode>General</c:formatCode>
                <c:ptCount val="22"/>
                <c:pt idx="0">
                  <c:v>4.0294400000000001</c:v>
                </c:pt>
                <c:pt idx="1">
                  <c:v>6.9979999999999993</c:v>
                </c:pt>
                <c:pt idx="2">
                  <c:v>12.983000000000001</c:v>
                </c:pt>
                <c:pt idx="3">
                  <c:v>0.17199999999999999</c:v>
                </c:pt>
                <c:pt idx="4">
                  <c:v>3.0239599999999998</c:v>
                </c:pt>
                <c:pt idx="5">
                  <c:v>4.1730799999999997</c:v>
                </c:pt>
                <c:pt idx="6">
                  <c:v>11.019919999999999</c:v>
                </c:pt>
                <c:pt idx="7">
                  <c:v>20.165000000000003</c:v>
                </c:pt>
                <c:pt idx="8">
                  <c:v>39.85</c:v>
                </c:pt>
                <c:pt idx="9">
                  <c:v>59.85</c:v>
                </c:pt>
                <c:pt idx="10">
                  <c:v>119.85</c:v>
                </c:pt>
                <c:pt idx="11" formatCode="0.000">
                  <c:v>0.17155579999999993</c:v>
                </c:pt>
                <c:pt idx="12" formatCode="0.000">
                  <c:v>0.94055579999999994</c:v>
                </c:pt>
                <c:pt idx="13">
                  <c:v>1.9405557999999998</c:v>
                </c:pt>
                <c:pt idx="14">
                  <c:v>4.9405558000000003</c:v>
                </c:pt>
                <c:pt idx="15" formatCode="0.000">
                  <c:v>6.9405558000000003</c:v>
                </c:pt>
                <c:pt idx="16" formatCode="0.000">
                  <c:v>15.9405558</c:v>
                </c:pt>
                <c:pt idx="17" formatCode="0.000">
                  <c:v>30.940555799999998</c:v>
                </c:pt>
                <c:pt idx="18" formatCode="0.000">
                  <c:v>60.940555799999991</c:v>
                </c:pt>
                <c:pt idx="19">
                  <c:v>6.9979999999999993</c:v>
                </c:pt>
                <c:pt idx="20">
                  <c:v>4.0294400000000001</c:v>
                </c:pt>
                <c:pt idx="21">
                  <c:v>2.0184799999999998</c:v>
                </c:pt>
              </c:numCache>
            </c:numRef>
          </c:xVal>
          <c:yVal>
            <c:numRef>
              <c:f>'Direct_shear_ELT&amp;UTU'!$E$6:$E$27</c:f>
              <c:numCache>
                <c:formatCode>General</c:formatCode>
                <c:ptCount val="22"/>
                <c:pt idx="0">
                  <c:v>8.5226399999999991</c:v>
                </c:pt>
                <c:pt idx="1">
                  <c:v>9.671759999999999</c:v>
                </c:pt>
                <c:pt idx="2">
                  <c:v>15.8004</c:v>
                </c:pt>
                <c:pt idx="3">
                  <c:v>1.125</c:v>
                </c:pt>
                <c:pt idx="4">
                  <c:v>7.7565600000000003</c:v>
                </c:pt>
                <c:pt idx="5">
                  <c:v>10.0548</c:v>
                </c:pt>
                <c:pt idx="6">
                  <c:v>14.74704</c:v>
                </c:pt>
                <c:pt idx="7">
                  <c:v>17.332560000000001</c:v>
                </c:pt>
                <c:pt idx="8">
                  <c:v>32.44</c:v>
                </c:pt>
                <c:pt idx="9">
                  <c:v>43.42</c:v>
                </c:pt>
                <c:pt idx="10">
                  <c:v>86.604900000000001</c:v>
                </c:pt>
                <c:pt idx="11">
                  <c:v>1.08</c:v>
                </c:pt>
                <c:pt idx="12">
                  <c:v>1.77</c:v>
                </c:pt>
                <c:pt idx="13">
                  <c:v>3.1949999999999998</c:v>
                </c:pt>
                <c:pt idx="14">
                  <c:v>5.3739999999999997</c:v>
                </c:pt>
                <c:pt idx="15">
                  <c:v>4.2880000000000003</c:v>
                </c:pt>
                <c:pt idx="16">
                  <c:v>15.314</c:v>
                </c:pt>
                <c:pt idx="17">
                  <c:v>25.029</c:v>
                </c:pt>
                <c:pt idx="18">
                  <c:v>52.338999999999999</c:v>
                </c:pt>
                <c:pt idx="19" formatCode="0.00">
                  <c:v>10.38996</c:v>
                </c:pt>
                <c:pt idx="20" formatCode="0.00">
                  <c:v>5.0274000000000001</c:v>
                </c:pt>
                <c:pt idx="21" formatCode="0.00">
                  <c:v>3.7346399999999997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093-42B8-9B71-63DCD90DA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319480"/>
        <c:axId val="801316344"/>
      </c:scatterChart>
      <c:valAx>
        <c:axId val="801319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Effective</a:t>
                </a:r>
                <a:r>
                  <a:rPr lang="en-US" altLang="zh-CN" baseline="0"/>
                  <a:t> normal stress (kPa)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316344"/>
        <c:crosses val="autoZero"/>
        <c:crossBetween val="midCat"/>
      </c:valAx>
      <c:valAx>
        <c:axId val="801316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Shear stress (kPa)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319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ELT-1 z=0.42m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422-42CF-BC2C-84F5A3F2DEF2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422-42CF-BC2C-84F5A3F2DEF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9422-42CF-BC2C-84F5A3F2DEF2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422-42CF-BC2C-84F5A3F2DEF2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9422-42CF-BC2C-84F5A3F2DEF2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9422-42CF-BC2C-84F5A3F2DEF2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9422-42CF-BC2C-84F5A3F2DEF2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9422-42CF-BC2C-84F5A3F2DEF2}"/>
              </c:ext>
            </c:extLst>
          </c:dPt>
          <c:xVal>
            <c:numRef>
              <c:f>'Direct_shear_ELT&amp;UTU'!$D$111:$D$122</c:f>
              <c:numCache>
                <c:formatCode>0.00</c:formatCode>
                <c:ptCount val="12"/>
                <c:pt idx="0">
                  <c:v>0.2</c:v>
                </c:pt>
                <c:pt idx="1">
                  <c:v>0.85</c:v>
                </c:pt>
                <c:pt idx="2">
                  <c:v>4.1730799999999997</c:v>
                </c:pt>
                <c:pt idx="3">
                  <c:v>19.850000000000001</c:v>
                </c:pt>
                <c:pt idx="4">
                  <c:v>39.85</c:v>
                </c:pt>
                <c:pt idx="5">
                  <c:v>49.85</c:v>
                </c:pt>
                <c:pt idx="6">
                  <c:v>59.85</c:v>
                </c:pt>
                <c:pt idx="7">
                  <c:v>59.85</c:v>
                </c:pt>
                <c:pt idx="8">
                  <c:v>79.849999999999994</c:v>
                </c:pt>
                <c:pt idx="9">
                  <c:v>119.85</c:v>
                </c:pt>
                <c:pt idx="10">
                  <c:v>6.9979999999999993</c:v>
                </c:pt>
                <c:pt idx="11">
                  <c:v>12.983000000000001</c:v>
                </c:pt>
              </c:numCache>
            </c:numRef>
          </c:xVal>
          <c:yVal>
            <c:numRef>
              <c:f>'Direct_shear_ELT&amp;UTU'!$E$111:$E$122</c:f>
              <c:numCache>
                <c:formatCode>0.00</c:formatCode>
                <c:ptCount val="12"/>
                <c:pt idx="0">
                  <c:v>2.3149999999999999</c:v>
                </c:pt>
                <c:pt idx="1">
                  <c:v>2.0870000000000002</c:v>
                </c:pt>
                <c:pt idx="2">
                  <c:v>6.17652</c:v>
                </c:pt>
                <c:pt idx="3">
                  <c:v>15.93</c:v>
                </c:pt>
                <c:pt idx="4">
                  <c:v>32.299999999999997</c:v>
                </c:pt>
                <c:pt idx="5">
                  <c:v>39.356000000000002</c:v>
                </c:pt>
                <c:pt idx="6">
                  <c:v>38.18</c:v>
                </c:pt>
                <c:pt idx="7">
                  <c:v>34.159999999999997</c:v>
                </c:pt>
                <c:pt idx="8">
                  <c:v>60.917656848510553</c:v>
                </c:pt>
                <c:pt idx="9">
                  <c:v>86.778000000000006</c:v>
                </c:pt>
                <c:pt idx="10">
                  <c:v>9.5760000000000005</c:v>
                </c:pt>
                <c:pt idx="11">
                  <c:v>14.65128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22-42CF-BC2C-84F5A3F2DEF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'Direct_shear_ELT&amp;UTU'!$D$115:$D$120</c:f>
              <c:numCache>
                <c:formatCode>0.00</c:formatCode>
                <c:ptCount val="6"/>
                <c:pt idx="0">
                  <c:v>39.85</c:v>
                </c:pt>
                <c:pt idx="1">
                  <c:v>49.85</c:v>
                </c:pt>
                <c:pt idx="2">
                  <c:v>59.85</c:v>
                </c:pt>
                <c:pt idx="3">
                  <c:v>59.85</c:v>
                </c:pt>
                <c:pt idx="4">
                  <c:v>79.849999999999994</c:v>
                </c:pt>
                <c:pt idx="5">
                  <c:v>119.85</c:v>
                </c:pt>
              </c:numCache>
            </c:numRef>
          </c:xVal>
          <c:yVal>
            <c:numRef>
              <c:f>'Direct_shear_ELT&amp;UTU'!$E$115:$E$120</c:f>
              <c:numCache>
                <c:formatCode>0.00</c:formatCode>
                <c:ptCount val="6"/>
                <c:pt idx="0">
                  <c:v>32.299999999999997</c:v>
                </c:pt>
                <c:pt idx="1">
                  <c:v>39.356000000000002</c:v>
                </c:pt>
                <c:pt idx="2">
                  <c:v>38.18</c:v>
                </c:pt>
                <c:pt idx="3">
                  <c:v>34.159999999999997</c:v>
                </c:pt>
                <c:pt idx="4">
                  <c:v>60.917656848510553</c:v>
                </c:pt>
                <c:pt idx="5">
                  <c:v>86.778000000000006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22-42CF-BC2C-84F5A3F2D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311248"/>
        <c:axId val="801314384"/>
      </c:scatterChart>
      <c:valAx>
        <c:axId val="801311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Effective</a:t>
                </a:r>
                <a:r>
                  <a:rPr lang="en-US" baseline="0"/>
                  <a:t> normal stress (kPa)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314384"/>
        <c:crosses val="autoZero"/>
        <c:crossBetween val="midCat"/>
      </c:valAx>
      <c:valAx>
        <c:axId val="80131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311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ELT-1 z=0.15m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'Direct_shear_ELT&amp;UTU'!$D$123:$D$126</c:f>
              <c:numCache>
                <c:formatCode>0.00</c:formatCode>
                <c:ptCount val="4"/>
                <c:pt idx="0">
                  <c:v>4.9870399999999995</c:v>
                </c:pt>
                <c:pt idx="1">
                  <c:v>6.9979999999999993</c:v>
                </c:pt>
                <c:pt idx="2">
                  <c:v>17.004920000000002</c:v>
                </c:pt>
                <c:pt idx="3">
                  <c:v>29.741</c:v>
                </c:pt>
              </c:numCache>
            </c:numRef>
          </c:xVal>
          <c:yVal>
            <c:numRef>
              <c:f>'Direct_shear_ELT&amp;UTU'!$E$123:$E$126</c:f>
              <c:numCache>
                <c:formatCode>0.00</c:formatCode>
                <c:ptCount val="4"/>
                <c:pt idx="0">
                  <c:v>7.5650399999999998</c:v>
                </c:pt>
                <c:pt idx="1">
                  <c:v>9.7675199999999993</c:v>
                </c:pt>
                <c:pt idx="2">
                  <c:v>18.673200000000001</c:v>
                </c:pt>
                <c:pt idx="3">
                  <c:v>33.085079999999998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18-41FA-A126-F64B397EC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312032"/>
        <c:axId val="801314776"/>
      </c:scatterChart>
      <c:valAx>
        <c:axId val="801312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Effective</a:t>
                </a:r>
                <a:r>
                  <a:rPr lang="en-US" baseline="0"/>
                  <a:t> normal stress (kPa)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314776"/>
        <c:crosses val="autoZero"/>
        <c:crossBetween val="midCat"/>
      </c:valAx>
      <c:valAx>
        <c:axId val="801314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312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ELT-1 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0FE-427F-A150-0796C0F6177E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D0FE-427F-A150-0796C0F6177E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0FE-427F-A150-0796C0F6177E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D0FE-427F-A150-0796C0F6177E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D0FE-427F-A150-0796C0F6177E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D0FE-427F-A150-0796C0F6177E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D0FE-427F-A150-0796C0F6177E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D0FE-427F-A150-0796C0F6177E}"/>
              </c:ext>
            </c:extLst>
          </c:dPt>
          <c:xVal>
            <c:numRef>
              <c:f>'Direct_shear_ELT&amp;UTU'!$D$111:$D$122</c:f>
              <c:numCache>
                <c:formatCode>0.00</c:formatCode>
                <c:ptCount val="12"/>
                <c:pt idx="0">
                  <c:v>0.2</c:v>
                </c:pt>
                <c:pt idx="1">
                  <c:v>0.85</c:v>
                </c:pt>
                <c:pt idx="2">
                  <c:v>4.1730799999999997</c:v>
                </c:pt>
                <c:pt idx="3">
                  <c:v>19.850000000000001</c:v>
                </c:pt>
                <c:pt idx="4">
                  <c:v>39.85</c:v>
                </c:pt>
                <c:pt idx="5">
                  <c:v>49.85</c:v>
                </c:pt>
                <c:pt idx="6">
                  <c:v>59.85</c:v>
                </c:pt>
                <c:pt idx="7">
                  <c:v>59.85</c:v>
                </c:pt>
                <c:pt idx="8">
                  <c:v>79.849999999999994</c:v>
                </c:pt>
                <c:pt idx="9">
                  <c:v>119.85</c:v>
                </c:pt>
                <c:pt idx="10">
                  <c:v>6.9979999999999993</c:v>
                </c:pt>
                <c:pt idx="11">
                  <c:v>12.983000000000001</c:v>
                </c:pt>
              </c:numCache>
            </c:numRef>
          </c:xVal>
          <c:yVal>
            <c:numRef>
              <c:f>'Direct_shear_ELT&amp;UTU'!$E$111:$E$122</c:f>
              <c:numCache>
                <c:formatCode>0.00</c:formatCode>
                <c:ptCount val="12"/>
                <c:pt idx="0">
                  <c:v>2.3149999999999999</c:v>
                </c:pt>
                <c:pt idx="1">
                  <c:v>2.0870000000000002</c:v>
                </c:pt>
                <c:pt idx="2">
                  <c:v>6.17652</c:v>
                </c:pt>
                <c:pt idx="3">
                  <c:v>15.93</c:v>
                </c:pt>
                <c:pt idx="4">
                  <c:v>32.299999999999997</c:v>
                </c:pt>
                <c:pt idx="5">
                  <c:v>39.356000000000002</c:v>
                </c:pt>
                <c:pt idx="6">
                  <c:v>38.18</c:v>
                </c:pt>
                <c:pt idx="7">
                  <c:v>34.159999999999997</c:v>
                </c:pt>
                <c:pt idx="8">
                  <c:v>60.917656848510553</c:v>
                </c:pt>
                <c:pt idx="9">
                  <c:v>86.778000000000006</c:v>
                </c:pt>
                <c:pt idx="10">
                  <c:v>9.5760000000000005</c:v>
                </c:pt>
                <c:pt idx="11">
                  <c:v>14.65128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0FE-427F-A150-0796C0F6177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'Direct_shear_ELT&amp;UTU'!$D$108:$D$122</c:f>
              <c:numCache>
                <c:formatCode>0.00</c:formatCode>
                <c:ptCount val="15"/>
                <c:pt idx="0">
                  <c:v>3.0239599999999998</c:v>
                </c:pt>
                <c:pt idx="1">
                  <c:v>5.0749199999999997</c:v>
                </c:pt>
                <c:pt idx="2">
                  <c:v>8.0434799999999989</c:v>
                </c:pt>
                <c:pt idx="3">
                  <c:v>0.2</c:v>
                </c:pt>
                <c:pt idx="4">
                  <c:v>0.85</c:v>
                </c:pt>
                <c:pt idx="5">
                  <c:v>4.1730799999999997</c:v>
                </c:pt>
                <c:pt idx="6">
                  <c:v>19.850000000000001</c:v>
                </c:pt>
                <c:pt idx="7">
                  <c:v>39.85</c:v>
                </c:pt>
                <c:pt idx="8">
                  <c:v>49.85</c:v>
                </c:pt>
                <c:pt idx="9">
                  <c:v>59.85</c:v>
                </c:pt>
                <c:pt idx="10">
                  <c:v>59.85</c:v>
                </c:pt>
                <c:pt idx="11">
                  <c:v>79.849999999999994</c:v>
                </c:pt>
                <c:pt idx="12">
                  <c:v>119.85</c:v>
                </c:pt>
                <c:pt idx="13">
                  <c:v>6.9979999999999993</c:v>
                </c:pt>
                <c:pt idx="14">
                  <c:v>12.983000000000001</c:v>
                </c:pt>
              </c:numCache>
            </c:numRef>
          </c:xVal>
          <c:yVal>
            <c:numRef>
              <c:f>'Direct_shear_ELT&amp;UTU'!$E$108:$E$122</c:f>
              <c:numCache>
                <c:formatCode>0.00</c:formatCode>
                <c:ptCount val="15"/>
                <c:pt idx="0">
                  <c:v>7.2777599999999998</c:v>
                </c:pt>
                <c:pt idx="1">
                  <c:v>8.6183999999999994</c:v>
                </c:pt>
                <c:pt idx="2">
                  <c:v>10.773</c:v>
                </c:pt>
                <c:pt idx="3">
                  <c:v>2.3149999999999999</c:v>
                </c:pt>
                <c:pt idx="4">
                  <c:v>2.0870000000000002</c:v>
                </c:pt>
                <c:pt idx="5">
                  <c:v>6.17652</c:v>
                </c:pt>
                <c:pt idx="6">
                  <c:v>15.93</c:v>
                </c:pt>
                <c:pt idx="7">
                  <c:v>32.299999999999997</c:v>
                </c:pt>
                <c:pt idx="8">
                  <c:v>39.356000000000002</c:v>
                </c:pt>
                <c:pt idx="9">
                  <c:v>38.18</c:v>
                </c:pt>
                <c:pt idx="10">
                  <c:v>34.159999999999997</c:v>
                </c:pt>
                <c:pt idx="11">
                  <c:v>60.917656848510553</c:v>
                </c:pt>
                <c:pt idx="12">
                  <c:v>86.778000000000006</c:v>
                </c:pt>
                <c:pt idx="13">
                  <c:v>9.5760000000000005</c:v>
                </c:pt>
                <c:pt idx="14">
                  <c:v>14.65128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0FE-427F-A150-0796C0F61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311248"/>
        <c:axId val="801314384"/>
      </c:scatterChart>
      <c:valAx>
        <c:axId val="801311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Effective</a:t>
                </a:r>
                <a:r>
                  <a:rPr lang="en-US" baseline="0"/>
                  <a:t> normal stress (kPa)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314384"/>
        <c:crosses val="autoZero"/>
        <c:crossBetween val="midCat"/>
      </c:valAx>
      <c:valAx>
        <c:axId val="80131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311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03056768558952"/>
          <c:y val="6.2802080507624994E-2"/>
          <c:w val="0.64410480349344978"/>
          <c:h val="0.74879403682168255"/>
        </c:manualLayout>
      </c:layout>
      <c:scatterChart>
        <c:scatterStyle val="lineMarker"/>
        <c:varyColors val="0"/>
        <c:ser>
          <c:idx val="1"/>
          <c:order val="0"/>
          <c:tx>
            <c:v>Drying</c:v>
          </c:tx>
          <c:spPr>
            <a:ln w="25400">
              <a:solidFill>
                <a:srgbClr val="FF0000"/>
              </a:solidFill>
              <a:prstDash val="lgDashDotDot"/>
            </a:ln>
          </c:spPr>
          <c:marker>
            <c:symbol val="none"/>
          </c:marker>
          <c:xVal>
            <c:numRef>
              <c:f>SWR_UTU07!$C$14:$C$154</c:f>
              <c:numCache>
                <c:formatCode>General</c:formatCode>
                <c:ptCount val="141"/>
                <c:pt idx="0">
                  <c:v>0.45913218505835229</c:v>
                </c:pt>
                <c:pt idx="1">
                  <c:v>0.45741771646026141</c:v>
                </c:pt>
                <c:pt idx="2">
                  <c:v>0.45244699009929401</c:v>
                </c:pt>
                <c:pt idx="3">
                  <c:v>0.44941213593998175</c:v>
                </c:pt>
                <c:pt idx="4">
                  <c:v>0.44611089524333358</c:v>
                </c:pt>
                <c:pt idx="5">
                  <c:v>0.43892786104751225</c:v>
                </c:pt>
                <c:pt idx="6">
                  <c:v>0.43125275486549874</c:v>
                </c:pt>
                <c:pt idx="7">
                  <c:v>0.42731325183096314</c:v>
                </c:pt>
                <c:pt idx="8">
                  <c:v>0.4193539211285281</c:v>
                </c:pt>
                <c:pt idx="9">
                  <c:v>0.41140975442858663</c:v>
                </c:pt>
                <c:pt idx="10">
                  <c:v>0.40358802396288163</c:v>
                </c:pt>
                <c:pt idx="11">
                  <c:v>0.39596125043395913</c:v>
                </c:pt>
                <c:pt idx="12">
                  <c:v>0.38857625598171264</c:v>
                </c:pt>
                <c:pt idx="13">
                  <c:v>0.38146109961760288</c:v>
                </c:pt>
                <c:pt idx="14">
                  <c:v>0.37463033256047729</c:v>
                </c:pt>
                <c:pt idx="15">
                  <c:v>0.36808893488907835</c:v>
                </c:pt>
                <c:pt idx="16">
                  <c:v>0.35881446610642731</c:v>
                </c:pt>
                <c:pt idx="17">
                  <c:v>0.33219267242427908</c:v>
                </c:pt>
                <c:pt idx="18">
                  <c:v>0.31103854233934186</c:v>
                </c:pt>
                <c:pt idx="19">
                  <c:v>0.29397650839637607</c:v>
                </c:pt>
                <c:pt idx="20">
                  <c:v>0.27996285791395215</c:v>
                </c:pt>
                <c:pt idx="21">
                  <c:v>0.26825146068723138</c:v>
                </c:pt>
                <c:pt idx="22">
                  <c:v>0.25831113256809957</c:v>
                </c:pt>
                <c:pt idx="23">
                  <c:v>0.24975890200787898</c:v>
                </c:pt>
                <c:pt idx="24">
                  <c:v>0.24231372769819015</c:v>
                </c:pt>
                <c:pt idx="25">
                  <c:v>0.22995436062057723</c:v>
                </c:pt>
                <c:pt idx="26">
                  <c:v>0.22007497935405812</c:v>
                </c:pt>
                <c:pt idx="27">
                  <c:v>0.21196583199444374</c:v>
                </c:pt>
                <c:pt idx="28">
                  <c:v>0.20215929674358613</c:v>
                </c:pt>
                <c:pt idx="29">
                  <c:v>0.19435558041256462</c:v>
                </c:pt>
                <c:pt idx="30">
                  <c:v>0.18796782688441993</c:v>
                </c:pt>
                <c:pt idx="31">
                  <c:v>0.18262225259969167</c:v>
                </c:pt>
                <c:pt idx="32">
                  <c:v>0.17806868473070028</c:v>
                </c:pt>
                <c:pt idx="33">
                  <c:v>0.17413286715441198</c:v>
                </c:pt>
                <c:pt idx="34">
                  <c:v>0.17068938037574377</c:v>
                </c:pt>
                <c:pt idx="35">
                  <c:v>0.1696341995215476</c:v>
                </c:pt>
                <c:pt idx="36">
                  <c:v>0.1686204145385416</c:v>
                </c:pt>
                <c:pt idx="37">
                  <c:v>0.16028423676993159</c:v>
                </c:pt>
                <c:pt idx="38">
                  <c:v>0.15421551344297121</c:v>
                </c:pt>
                <c:pt idx="39">
                  <c:v>0.14955643968473359</c:v>
                </c:pt>
                <c:pt idx="40">
                  <c:v>0.144247294632732</c:v>
                </c:pt>
                <c:pt idx="41">
                  <c:v>0.14279449286275536</c:v>
                </c:pt>
                <c:pt idx="42">
                  <c:v>0.14146382415691464</c:v>
                </c:pt>
                <c:pt idx="43">
                  <c:v>0.14023940174154312</c:v>
                </c:pt>
                <c:pt idx="44">
                  <c:v>0.13910806562142777</c:v>
                </c:pt>
                <c:pt idx="45">
                  <c:v>0.13805881166739409</c:v>
                </c:pt>
                <c:pt idx="46">
                  <c:v>0.13708235988666992</c:v>
                </c:pt>
                <c:pt idx="47">
                  <c:v>0.136170823557203</c:v>
                </c:pt>
                <c:pt idx="48">
                  <c:v>0.13531745256729083</c:v>
                </c:pt>
                <c:pt idx="49">
                  <c:v>0.13451643210219366</c:v>
                </c:pt>
                <c:pt idx="50">
                  <c:v>0.13376272313308607</c:v>
                </c:pt>
                <c:pt idx="51">
                  <c:v>0.1330519348438938</c:v>
                </c:pt>
                <c:pt idx="52">
                  <c:v>0.1323802217194</c:v>
                </c:pt>
                <c:pt idx="53">
                  <c:v>0.1317441998633116</c:v>
                </c:pt>
                <c:pt idx="54">
                  <c:v>0.13114087844788055</c:v>
                </c:pt>
                <c:pt idx="55">
                  <c:v>0.13056760317102725</c:v>
                </c:pt>
                <c:pt idx="56">
                  <c:v>0.13002200931710367</c:v>
                </c:pt>
                <c:pt idx="57">
                  <c:v>0.12950198255528941</c:v>
                </c:pt>
                <c:pt idx="58">
                  <c:v>0.12900562601518961</c:v>
                </c:pt>
                <c:pt idx="59">
                  <c:v>0.12853123248780093</c:v>
                </c:pt>
                <c:pt idx="60">
                  <c:v>0.12807726083681964</c:v>
                </c:pt>
                <c:pt idx="61">
                  <c:v>0.12764231588842986</c:v>
                </c:pt>
                <c:pt idx="62">
                  <c:v>0.12722513121045215</c:v>
                </c:pt>
                <c:pt idx="63">
                  <c:v>0.12682455430375583</c:v>
                </c:pt>
                <c:pt idx="64">
                  <c:v>0.12643953381734746</c:v>
                </c:pt>
                <c:pt idx="65">
                  <c:v>0.12606910846891731</c:v>
                </c:pt>
                <c:pt idx="66">
                  <c:v>0.12571239740891027</c:v>
                </c:pt>
                <c:pt idx="67">
                  <c:v>0.12536859181146348</c:v>
                </c:pt>
                <c:pt idx="68">
                  <c:v>0.12503694751216901</c:v>
                </c:pt>
                <c:pt idx="69">
                  <c:v>0.12471677854238478</c:v>
                </c:pt>
                <c:pt idx="70">
                  <c:v>0.12440745143413345</c:v>
                </c:pt>
                <c:pt idx="71">
                  <c:v>0.12410838018958421</c:v>
                </c:pt>
                <c:pt idx="72">
                  <c:v>0.12381902182556277</c:v>
                </c:pt>
                <c:pt idx="73">
                  <c:v>0.12353887241715623</c:v>
                </c:pt>
                <c:pt idx="74">
                  <c:v>0.12326746357579943</c:v>
                </c:pt>
                <c:pt idx="75">
                  <c:v>0.12300435930667865</c:v>
                </c:pt>
                <c:pt idx="76">
                  <c:v>0.12274915319820194</c:v>
                </c:pt>
                <c:pt idx="77">
                  <c:v>0.12250146590293866</c:v>
                </c:pt>
                <c:pt idx="78">
                  <c:v>0.12226094287504335</c:v>
                </c:pt>
                <c:pt idx="79">
                  <c:v>0.12202725233392819</c:v>
                </c:pt>
                <c:pt idx="80">
                  <c:v>0.12180008342798174</c:v>
                </c:pt>
                <c:pt idx="81">
                  <c:v>0.12157914457556626</c:v>
                </c:pt>
                <c:pt idx="82">
                  <c:v>0.12136416196345934</c:v>
                </c:pt>
                <c:pt idx="83">
                  <c:v>0.12115487818541902</c:v>
                </c:pt>
                <c:pt idx="84">
                  <c:v>0.12095105100570994</c:v>
                </c:pt>
                <c:pt idx="85">
                  <c:v>0.12075245223428736</c:v>
                </c:pt>
                <c:pt idx="86">
                  <c:v>0.12055886670194091</c:v>
                </c:pt>
                <c:pt idx="87">
                  <c:v>0.1203700913250895</c:v>
                </c:pt>
                <c:pt idx="88">
                  <c:v>0.12018593425112437</c:v>
                </c:pt>
                <c:pt idx="89">
                  <c:v>0.12000621407624579</c:v>
                </c:pt>
                <c:pt idx="90">
                  <c:v>0.11983075912865207</c:v>
                </c:pt>
                <c:pt idx="91">
                  <c:v>0.11965940681073901</c:v>
                </c:pt>
                <c:pt idx="92">
                  <c:v>0.1194920029946652</c:v>
                </c:pt>
                <c:pt idx="93">
                  <c:v>0.11932840146625218</c:v>
                </c:pt>
                <c:pt idx="94">
                  <c:v>0.1191684634127274</c:v>
                </c:pt>
                <c:pt idx="95">
                  <c:v>0.11901205695029103</c:v>
                </c:pt>
                <c:pt idx="96">
                  <c:v>0.11885905668790707</c:v>
                </c:pt>
                <c:pt idx="97">
                  <c:v>0.11870934332408856</c:v>
                </c:pt>
                <c:pt idx="98">
                  <c:v>0.11856280327377375</c:v>
                </c:pt>
                <c:pt idx="99">
                  <c:v>0.11841932832268118</c:v>
                </c:pt>
                <c:pt idx="100">
                  <c:v>0.11827881530678812</c:v>
                </c:pt>
                <c:pt idx="101">
                  <c:v>0.11814116581480799</c:v>
                </c:pt>
                <c:pt idx="102">
                  <c:v>0.11800628591174514</c:v>
                </c:pt>
                <c:pt idx="103">
                  <c:v>0.11787408588178898</c:v>
                </c:pt>
                <c:pt idx="104">
                  <c:v>0.11774447998897226</c:v>
                </c:pt>
                <c:pt idx="105">
                  <c:v>0.11761738625416382</c:v>
                </c:pt>
                <c:pt idx="106">
                  <c:v>0.11749272624709758</c:v>
                </c:pt>
                <c:pt idx="107">
                  <c:v>0.11737042489225692</c:v>
                </c:pt>
                <c:pt idx="108">
                  <c:v>0.1172504102875387</c:v>
                </c:pt>
                <c:pt idx="109">
                  <c:v>0.11713261353471686</c:v>
                </c:pt>
                <c:pt idx="110">
                  <c:v>0.11701696858081058</c:v>
                </c:pt>
                <c:pt idx="111">
                  <c:v>0.11690341206953969</c:v>
                </c:pt>
                <c:pt idx="112">
                  <c:v>0.11679188320211945</c:v>
                </c:pt>
                <c:pt idx="113">
                  <c:v>0.11668232360671035</c:v>
                </c:pt>
                <c:pt idx="114">
                  <c:v>0.1165746772158953</c:v>
                </c:pt>
                <c:pt idx="115">
                  <c:v>0.11646889015160859</c:v>
                </c:pt>
                <c:pt idx="116">
                  <c:v>0.11636491061698824</c:v>
                </c:pt>
                <c:pt idx="117">
                  <c:v>0.11626268879466567</c:v>
                </c:pt>
                <c:pt idx="118">
                  <c:v>0.11616217675104597</c:v>
                </c:pt>
                <c:pt idx="119">
                  <c:v>0.11606332834616678</c:v>
                </c:pt>
                <c:pt idx="120">
                  <c:v>0.11596609914875665</c:v>
                </c:pt>
                <c:pt idx="121">
                  <c:v>0.11587044635614292</c:v>
                </c:pt>
                <c:pt idx="122">
                  <c:v>0.11044882192278686</c:v>
                </c:pt>
                <c:pt idx="123">
                  <c:v>0.10696099217226912</c:v>
                </c:pt>
                <c:pt idx="124">
                  <c:v>0.10548887599896244</c:v>
                </c:pt>
                <c:pt idx="125">
                  <c:v>0.10463735166755132</c:v>
                </c:pt>
                <c:pt idx="126">
                  <c:v>0.10406893854354159</c:v>
                </c:pt>
                <c:pt idx="127">
                  <c:v>0.10365663100259843</c:v>
                </c:pt>
                <c:pt idx="128">
                  <c:v>0.10334079985891932</c:v>
                </c:pt>
                <c:pt idx="129">
                  <c:v>0.103089351145387</c:v>
                </c:pt>
                <c:pt idx="130">
                  <c:v>0.1028833141683783</c:v>
                </c:pt>
                <c:pt idx="131">
                  <c:v>0.10271067923510452</c:v>
                </c:pt>
                <c:pt idx="132">
                  <c:v>0.10180582118361398</c:v>
                </c:pt>
                <c:pt idx="133">
                  <c:v>0.10142391908493935</c:v>
                </c:pt>
                <c:pt idx="134">
                  <c:v>0.10120301551885297</c:v>
                </c:pt>
                <c:pt idx="135">
                  <c:v>0.10105555768419286</c:v>
                </c:pt>
                <c:pt idx="136">
                  <c:v>0.1009485970442465</c:v>
                </c:pt>
                <c:pt idx="137">
                  <c:v>0.10086666438923125</c:v>
                </c:pt>
                <c:pt idx="138">
                  <c:v>0.1008014338350387</c:v>
                </c:pt>
                <c:pt idx="139">
                  <c:v>0.10074798398139738</c:v>
                </c:pt>
                <c:pt idx="140">
                  <c:v>0.10070319926661896</c:v>
                </c:pt>
              </c:numCache>
            </c:numRef>
          </c:xVal>
          <c:yVal>
            <c:numRef>
              <c:f>SWR_UTU07!$B$14:$B$154</c:f>
              <c:numCache>
                <c:formatCode>General</c:formatCode>
                <c:ptCount val="141"/>
                <c:pt idx="0">
                  <c:v>9.8966999999999999E-2</c:v>
                </c:pt>
                <c:pt idx="1">
                  <c:v>0.197934</c:v>
                </c:pt>
                <c:pt idx="2">
                  <c:v>0.395868</c:v>
                </c:pt>
                <c:pt idx="3">
                  <c:v>0.49483500000000002</c:v>
                </c:pt>
                <c:pt idx="4">
                  <c:v>0.59380199999999994</c:v>
                </c:pt>
                <c:pt idx="5">
                  <c:v>0.791736</c:v>
                </c:pt>
                <c:pt idx="6">
                  <c:v>0.98967000000000005</c:v>
                </c:pt>
                <c:pt idx="7">
                  <c:v>1.0886370000000001</c:v>
                </c:pt>
                <c:pt idx="8">
                  <c:v>1.2865709999999999</c:v>
                </c:pt>
                <c:pt idx="9">
                  <c:v>1.484505</c:v>
                </c:pt>
                <c:pt idx="10">
                  <c:v>1.682439</c:v>
                </c:pt>
                <c:pt idx="11">
                  <c:v>1.8803730000000001</c:v>
                </c:pt>
                <c:pt idx="12">
                  <c:v>2.0783070000000001</c:v>
                </c:pt>
                <c:pt idx="13">
                  <c:v>2.2762410000000002</c:v>
                </c:pt>
                <c:pt idx="14">
                  <c:v>2.4741749999999998</c:v>
                </c:pt>
                <c:pt idx="15">
                  <c:v>2.6721089999999998</c:v>
                </c:pt>
                <c:pt idx="16">
                  <c:v>2.9690099999999999</c:v>
                </c:pt>
                <c:pt idx="17">
                  <c:v>3.9586800000000002</c:v>
                </c:pt>
                <c:pt idx="18">
                  <c:v>4.9483499999999996</c:v>
                </c:pt>
                <c:pt idx="19">
                  <c:v>5.9380199999999999</c:v>
                </c:pt>
                <c:pt idx="20">
                  <c:v>6.9276900000000001</c:v>
                </c:pt>
                <c:pt idx="21">
                  <c:v>7.9173600000000004</c:v>
                </c:pt>
                <c:pt idx="22">
                  <c:v>8.9070300000000007</c:v>
                </c:pt>
                <c:pt idx="23">
                  <c:v>9.8966999999999992</c:v>
                </c:pt>
                <c:pt idx="24">
                  <c:v>10.886369999999999</c:v>
                </c:pt>
                <c:pt idx="25">
                  <c:v>12.86571</c:v>
                </c:pt>
                <c:pt idx="26">
                  <c:v>14.845050000000001</c:v>
                </c:pt>
                <c:pt idx="27">
                  <c:v>16.824390000000001</c:v>
                </c:pt>
                <c:pt idx="28">
                  <c:v>19.793399999999998</c:v>
                </c:pt>
                <c:pt idx="29">
                  <c:v>22.762409999999999</c:v>
                </c:pt>
                <c:pt idx="30">
                  <c:v>25.73142</c:v>
                </c:pt>
                <c:pt idx="31">
                  <c:v>28.700430000000001</c:v>
                </c:pt>
                <c:pt idx="32">
                  <c:v>31.669440000000002</c:v>
                </c:pt>
                <c:pt idx="33">
                  <c:v>34.638449999999999</c:v>
                </c:pt>
                <c:pt idx="34">
                  <c:v>37.607460000000003</c:v>
                </c:pt>
                <c:pt idx="35">
                  <c:v>38.59713</c:v>
                </c:pt>
                <c:pt idx="36">
                  <c:v>39.586799999999997</c:v>
                </c:pt>
                <c:pt idx="37">
                  <c:v>49.483499999999999</c:v>
                </c:pt>
                <c:pt idx="38">
                  <c:v>59.380200000000002</c:v>
                </c:pt>
                <c:pt idx="39">
                  <c:v>69.276899999999998</c:v>
                </c:pt>
                <c:pt idx="40">
                  <c:v>84.121949999999998</c:v>
                </c:pt>
                <c:pt idx="41">
                  <c:v>89.070300000000003</c:v>
                </c:pt>
                <c:pt idx="42">
                  <c:v>94.018649999999994</c:v>
                </c:pt>
                <c:pt idx="43">
                  <c:v>98.966999999999999</c:v>
                </c:pt>
                <c:pt idx="44">
                  <c:v>103.91535</c:v>
                </c:pt>
                <c:pt idx="45">
                  <c:v>108.86369999999999</c:v>
                </c:pt>
                <c:pt idx="46">
                  <c:v>113.81205</c:v>
                </c:pt>
                <c:pt idx="47">
                  <c:v>118.7604</c:v>
                </c:pt>
                <c:pt idx="48">
                  <c:v>123.70874999999999</c:v>
                </c:pt>
                <c:pt idx="49">
                  <c:v>128.65709999999999</c:v>
                </c:pt>
                <c:pt idx="50">
                  <c:v>133.60544999999999</c:v>
                </c:pt>
                <c:pt idx="51">
                  <c:v>138.5538</c:v>
                </c:pt>
                <c:pt idx="52">
                  <c:v>143.50215</c:v>
                </c:pt>
                <c:pt idx="53">
                  <c:v>148.45050000000001</c:v>
                </c:pt>
                <c:pt idx="54">
                  <c:v>153.39885000000001</c:v>
                </c:pt>
                <c:pt idx="55">
                  <c:v>158.34719999999999</c:v>
                </c:pt>
                <c:pt idx="56">
                  <c:v>163.29554999999999</c:v>
                </c:pt>
                <c:pt idx="57">
                  <c:v>168.2439</c:v>
                </c:pt>
                <c:pt idx="58">
                  <c:v>173.19225</c:v>
                </c:pt>
                <c:pt idx="59">
                  <c:v>178.14060000000001</c:v>
                </c:pt>
                <c:pt idx="60">
                  <c:v>183.08895000000001</c:v>
                </c:pt>
                <c:pt idx="61">
                  <c:v>188.03729999999999</c:v>
                </c:pt>
                <c:pt idx="62">
                  <c:v>192.98564999999999</c:v>
                </c:pt>
                <c:pt idx="63">
                  <c:v>197.934</c:v>
                </c:pt>
                <c:pt idx="64">
                  <c:v>202.88235</c:v>
                </c:pt>
                <c:pt idx="65">
                  <c:v>207.83070000000001</c:v>
                </c:pt>
                <c:pt idx="66">
                  <c:v>212.77905000000001</c:v>
                </c:pt>
                <c:pt idx="67">
                  <c:v>217.72739999999999</c:v>
                </c:pt>
                <c:pt idx="68">
                  <c:v>222.67574999999999</c:v>
                </c:pt>
                <c:pt idx="69">
                  <c:v>227.6241</c:v>
                </c:pt>
                <c:pt idx="70">
                  <c:v>232.57245</c:v>
                </c:pt>
                <c:pt idx="71">
                  <c:v>237.52080000000001</c:v>
                </c:pt>
                <c:pt idx="72">
                  <c:v>242.46914999999998</c:v>
                </c:pt>
                <c:pt idx="73">
                  <c:v>247.41749999999999</c:v>
                </c:pt>
                <c:pt idx="74">
                  <c:v>252.36584999999999</c:v>
                </c:pt>
                <c:pt idx="75">
                  <c:v>257.31419999999997</c:v>
                </c:pt>
                <c:pt idx="76">
                  <c:v>262.26254999999998</c:v>
                </c:pt>
                <c:pt idx="77">
                  <c:v>267.21089999999998</c:v>
                </c:pt>
                <c:pt idx="78">
                  <c:v>272.15924999999999</c:v>
                </c:pt>
                <c:pt idx="79">
                  <c:v>277.10759999999999</c:v>
                </c:pt>
                <c:pt idx="80">
                  <c:v>282.05595</c:v>
                </c:pt>
                <c:pt idx="81">
                  <c:v>287.0043</c:v>
                </c:pt>
                <c:pt idx="82">
                  <c:v>291.95265000000001</c:v>
                </c:pt>
                <c:pt idx="83">
                  <c:v>296.90100000000001</c:v>
                </c:pt>
                <c:pt idx="84">
                  <c:v>301.84935000000002</c:v>
                </c:pt>
                <c:pt idx="85">
                  <c:v>306.79770000000002</c:v>
                </c:pt>
                <c:pt idx="86">
                  <c:v>311.74605000000003</c:v>
                </c:pt>
                <c:pt idx="87">
                  <c:v>316.69439999999997</c:v>
                </c:pt>
                <c:pt idx="88">
                  <c:v>321.64274999999998</c:v>
                </c:pt>
                <c:pt idx="89">
                  <c:v>326.59109999999998</c:v>
                </c:pt>
                <c:pt idx="90">
                  <c:v>331.53944999999999</c:v>
                </c:pt>
                <c:pt idx="91">
                  <c:v>336.48779999999999</c:v>
                </c:pt>
                <c:pt idx="92">
                  <c:v>341.43615</c:v>
                </c:pt>
                <c:pt idx="93">
                  <c:v>346.3845</c:v>
                </c:pt>
                <c:pt idx="94">
                  <c:v>351.33285000000001</c:v>
                </c:pt>
                <c:pt idx="95">
                  <c:v>356.28120000000001</c:v>
                </c:pt>
                <c:pt idx="96">
                  <c:v>361.22955000000002</c:v>
                </c:pt>
                <c:pt idx="97">
                  <c:v>366.17790000000002</c:v>
                </c:pt>
                <c:pt idx="98">
                  <c:v>371.12624999999997</c:v>
                </c:pt>
                <c:pt idx="99">
                  <c:v>376.07459999999998</c:v>
                </c:pt>
                <c:pt idx="100">
                  <c:v>381.02294999999998</c:v>
                </c:pt>
                <c:pt idx="101">
                  <c:v>385.97129999999999</c:v>
                </c:pt>
                <c:pt idx="102">
                  <c:v>390.91964999999999</c:v>
                </c:pt>
                <c:pt idx="103">
                  <c:v>395.86799999999999</c:v>
                </c:pt>
                <c:pt idx="104">
                  <c:v>400.81635</c:v>
                </c:pt>
                <c:pt idx="105">
                  <c:v>405.7647</c:v>
                </c:pt>
                <c:pt idx="106">
                  <c:v>410.71305000000001</c:v>
                </c:pt>
                <c:pt idx="107">
                  <c:v>415.66140000000001</c:v>
                </c:pt>
                <c:pt idx="108">
                  <c:v>420.60975000000002</c:v>
                </c:pt>
                <c:pt idx="109">
                  <c:v>425.55810000000002</c:v>
                </c:pt>
                <c:pt idx="110">
                  <c:v>430.50644999999997</c:v>
                </c:pt>
                <c:pt idx="111">
                  <c:v>435.45479999999998</c:v>
                </c:pt>
                <c:pt idx="112">
                  <c:v>440.40314999999998</c:v>
                </c:pt>
                <c:pt idx="113">
                  <c:v>445.35149999999999</c:v>
                </c:pt>
                <c:pt idx="114">
                  <c:v>450.29984999999999</c:v>
                </c:pt>
                <c:pt idx="115">
                  <c:v>455.2482</c:v>
                </c:pt>
                <c:pt idx="116">
                  <c:v>460.19655</c:v>
                </c:pt>
                <c:pt idx="117">
                  <c:v>465.14490000000001</c:v>
                </c:pt>
                <c:pt idx="118">
                  <c:v>470.09325000000001</c:v>
                </c:pt>
                <c:pt idx="119">
                  <c:v>475.04160000000002</c:v>
                </c:pt>
                <c:pt idx="120">
                  <c:v>479.98995000000002</c:v>
                </c:pt>
                <c:pt idx="121">
                  <c:v>484.93829999999997</c:v>
                </c:pt>
                <c:pt idx="122">
                  <c:v>989.67</c:v>
                </c:pt>
                <c:pt idx="123">
                  <c:v>1979.34</c:v>
                </c:pt>
                <c:pt idx="124">
                  <c:v>2969.0099999999998</c:v>
                </c:pt>
                <c:pt idx="125">
                  <c:v>3958.68</c:v>
                </c:pt>
                <c:pt idx="126">
                  <c:v>4948.3500000000004</c:v>
                </c:pt>
                <c:pt idx="127">
                  <c:v>5938.0199999999995</c:v>
                </c:pt>
                <c:pt idx="128">
                  <c:v>6927.69</c:v>
                </c:pt>
                <c:pt idx="129">
                  <c:v>7917.36</c:v>
                </c:pt>
                <c:pt idx="130">
                  <c:v>8907.0300000000007</c:v>
                </c:pt>
                <c:pt idx="131">
                  <c:v>9896.7000000000007</c:v>
                </c:pt>
                <c:pt idx="132">
                  <c:v>19793.400000000001</c:v>
                </c:pt>
                <c:pt idx="133">
                  <c:v>29690.1</c:v>
                </c:pt>
                <c:pt idx="134">
                  <c:v>39586.800000000003</c:v>
                </c:pt>
                <c:pt idx="135">
                  <c:v>49483.5</c:v>
                </c:pt>
                <c:pt idx="136">
                  <c:v>59380.2</c:v>
                </c:pt>
                <c:pt idx="137">
                  <c:v>69276.899999999994</c:v>
                </c:pt>
                <c:pt idx="138">
                  <c:v>79173.600000000006</c:v>
                </c:pt>
                <c:pt idx="139">
                  <c:v>89070.3</c:v>
                </c:pt>
                <c:pt idx="140">
                  <c:v>98967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CE-40AB-824B-32F8A19A5DEF}"/>
            </c:ext>
          </c:extLst>
        </c:ser>
        <c:ser>
          <c:idx val="2"/>
          <c:order val="1"/>
          <c:tx>
            <c:v>Wetting</c:v>
          </c:tx>
          <c:spPr>
            <a:ln w="25400">
              <a:solidFill>
                <a:srgbClr val="0000FF"/>
              </a:solidFill>
              <a:prstDash val="lgDash"/>
            </a:ln>
          </c:spPr>
          <c:marker>
            <c:symbol val="none"/>
          </c:marker>
          <c:xVal>
            <c:numRef>
              <c:f>SWR_UTU07!$K$14:$K$147</c:f>
              <c:numCache>
                <c:formatCode>0.00E+00</c:formatCode>
                <c:ptCount val="134"/>
                <c:pt idx="0">
                  <c:v>0.36730489866933957</c:v>
                </c:pt>
                <c:pt idx="1">
                  <c:v>0.36598381448185324</c:v>
                </c:pt>
                <c:pt idx="2" formatCode="General">
                  <c:v>0.36225398864968461</c:v>
                </c:pt>
                <c:pt idx="3">
                  <c:v>0.36001261661329265</c:v>
                </c:pt>
                <c:pt idx="4" formatCode="General">
                  <c:v>0.35759352758813967</c:v>
                </c:pt>
                <c:pt idx="5" formatCode="General">
                  <c:v>0.35237778703545986</c:v>
                </c:pt>
                <c:pt idx="6" formatCode="General">
                  <c:v>0.34685477153822564</c:v>
                </c:pt>
                <c:pt idx="7" formatCode="General">
                  <c:v>0.34403431239530402</c:v>
                </c:pt>
                <c:pt idx="8" formatCode="General">
                  <c:v>0.33835798169147602</c:v>
                </c:pt>
                <c:pt idx="9" formatCode="General">
                  <c:v>0.3327145972336325</c:v>
                </c:pt>
                <c:pt idx="10" formatCode="General">
                  <c:v>0.32717333592769304</c:v>
                </c:pt>
                <c:pt idx="11" formatCode="General">
                  <c:v>0.3217800259870639</c:v>
                </c:pt>
                <c:pt idx="12" formatCode="General">
                  <c:v>0.31656353814105953</c:v>
                </c:pt>
                <c:pt idx="13" formatCode="General">
                  <c:v>0.31154054508502682</c:v>
                </c:pt>
                <c:pt idx="14" formatCode="General">
                  <c:v>0.30671904994110949</c:v>
                </c:pt>
                <c:pt idx="15" formatCode="General">
                  <c:v>0.30210098472820457</c:v>
                </c:pt>
                <c:pt idx="16" formatCode="General">
                  <c:v>0.29554962784677008</c:v>
                </c:pt>
                <c:pt idx="17" formatCode="General">
                  <c:v>0.27669467529657449</c:v>
                </c:pt>
                <c:pt idx="18" formatCode="General">
                  <c:v>0.26163043242974937</c:v>
                </c:pt>
                <c:pt idx="19" formatCode="General">
                  <c:v>0.24940946221211557</c:v>
                </c:pt>
                <c:pt idx="20" formatCode="General">
                  <c:v>0.23931612782058723</c:v>
                </c:pt>
                <c:pt idx="21" formatCode="General">
                  <c:v>0.23083776157563726</c:v>
                </c:pt>
                <c:pt idx="22" formatCode="General">
                  <c:v>0.22360791931681401</c:v>
                </c:pt>
                <c:pt idx="23" formatCode="General">
                  <c:v>0.2173612079952334</c:v>
                </c:pt>
                <c:pt idx="24" formatCode="General">
                  <c:v>0.19546753437515019</c:v>
                </c:pt>
                <c:pt idx="25" formatCode="General">
                  <c:v>0.18207158676221202</c:v>
                </c:pt>
                <c:pt idx="26" formatCode="General">
                  <c:v>0.17286273760199669</c:v>
                </c:pt>
                <c:pt idx="27" formatCode="General">
                  <c:v>0.16605792536609343</c:v>
                </c:pt>
                <c:pt idx="28" formatCode="General">
                  <c:v>0.16077685098553351</c:v>
                </c:pt>
                <c:pt idx="29" formatCode="General">
                  <c:v>0.15653056632297341</c:v>
                </c:pt>
                <c:pt idx="30" formatCode="General">
                  <c:v>0.15006624863157716</c:v>
                </c:pt>
                <c:pt idx="31" formatCode="General">
                  <c:v>0.14532431911073584</c:v>
                </c:pt>
                <c:pt idx="32" formatCode="General">
                  <c:v>0.14166098807767105</c:v>
                </c:pt>
                <c:pt idx="33" formatCode="General">
                  <c:v>0.13872450631515473</c:v>
                </c:pt>
                <c:pt idx="34" formatCode="General">
                  <c:v>0.13630465566682243</c:v>
                </c:pt>
                <c:pt idx="35" formatCode="General">
                  <c:v>0.13524455401911334</c:v>
                </c:pt>
                <c:pt idx="36" formatCode="General">
                  <c:v>0.13426720980341164</c:v>
                </c:pt>
                <c:pt idx="37" formatCode="General">
                  <c:v>0.13336251151501849</c:v>
                </c:pt>
                <c:pt idx="38" formatCode="General">
                  <c:v>0.13252198798500084</c:v>
                </c:pt>
                <c:pt idx="39" formatCode="General">
                  <c:v>0.1317384823809814</c:v>
                </c:pt>
                <c:pt idx="40" formatCode="General">
                  <c:v>0.13100590189756023</c:v>
                </c:pt>
                <c:pt idx="41" formatCode="General">
                  <c:v>0.13031902323643441</c:v>
                </c:pt>
                <c:pt idx="42" formatCode="General">
                  <c:v>0.12967333977250803</c:v>
                </c:pt>
                <c:pt idx="43" formatCode="General">
                  <c:v>0.12906494025816845</c:v>
                </c:pt>
                <c:pt idx="44" formatCode="General">
                  <c:v>0.12849041166258551</c:v>
                </c:pt>
                <c:pt idx="45" formatCode="General">
                  <c:v>0.12794676067616928</c:v>
                </c:pt>
                <c:pt idx="46" formatCode="General">
                  <c:v>0.12743134979111387</c:v>
                </c:pt>
                <c:pt idx="47" formatCode="General">
                  <c:v>0.12694184486787657</c:v>
                </c:pt>
                <c:pt idx="48" formatCode="General">
                  <c:v>0.12647617182873186</c:v>
                </c:pt>
                <c:pt idx="49" formatCode="General">
                  <c:v>0.12603248066084322</c:v>
                </c:pt>
                <c:pt idx="50" formatCode="General">
                  <c:v>0.12560911531610663</c:v>
                </c:pt>
                <c:pt idx="51" formatCode="General">
                  <c:v>0.12520458840067186</c:v>
                </c:pt>
                <c:pt idx="52" formatCode="General">
                  <c:v>0.12481755977991205</c:v>
                </c:pt>
                <c:pt idx="53" formatCode="General">
                  <c:v>0.12444681840352187</c:v>
                </c:pt>
                <c:pt idx="54" formatCode="General">
                  <c:v>0.12409126679397124</c:v>
                </c:pt>
                <c:pt idx="55" formatCode="General">
                  <c:v>0.12374990774963535</c:v>
                </c:pt>
                <c:pt idx="56" formatCode="General">
                  <c:v>0.12342183289884878</c:v>
                </c:pt>
                <c:pt idx="57" formatCode="General">
                  <c:v>0.12310621280830278</c:v>
                </c:pt>
                <c:pt idx="58" formatCode="General">
                  <c:v>0.12280228840266601</c:v>
                </c:pt>
                <c:pt idx="59" formatCode="General">
                  <c:v>0.12250936349511296</c:v>
                </c:pt>
                <c:pt idx="60" formatCode="General">
                  <c:v>0.12222679826291026</c:v>
                </c:pt>
                <c:pt idx="61" formatCode="General">
                  <c:v>0.12195400353011075</c:v>
                </c:pt>
                <c:pt idx="62" formatCode="General">
                  <c:v>0.1216904357421076</c:v>
                </c:pt>
                <c:pt idx="63" formatCode="General">
                  <c:v>0.12143559253536196</c:v>
                </c:pt>
                <c:pt idx="64" formatCode="General">
                  <c:v>0.12118900882086545</c:v>
                </c:pt>
                <c:pt idx="65" formatCode="General">
                  <c:v>0.12095025331247854</c:v>
                </c:pt>
                <c:pt idx="66" formatCode="General">
                  <c:v>0.1207189254417107</c:v>
                </c:pt>
                <c:pt idx="67" formatCode="General">
                  <c:v>0.12049465260917963</c:v>
                </c:pt>
                <c:pt idx="68" formatCode="General">
                  <c:v>0.12027708773023034</c:v>
                </c:pt>
                <c:pt idx="69" formatCode="General">
                  <c:v>0.12006590703826699</c:v>
                </c:pt>
                <c:pt idx="70" formatCode="General">
                  <c:v>0.1198608081144576</c:v>
                </c:pt>
                <c:pt idx="71" formatCode="General">
                  <c:v>0.11966150811678553</c:v>
                </c:pt>
                <c:pt idx="72" formatCode="General">
                  <c:v>0.11946774218507254</c:v>
                </c:pt>
                <c:pt idx="73" formatCode="General">
                  <c:v>0.11927926200170302</c:v>
                </c:pt>
                <c:pt idx="74" formatCode="General">
                  <c:v>0.11909583449042274</c:v>
                </c:pt>
                <c:pt idx="75" formatCode="General">
                  <c:v>0.11891724063784673</c:v>
                </c:pt>
                <c:pt idx="76" formatCode="General">
                  <c:v>0.11874327442424884</c:v>
                </c:pt>
                <c:pt idx="77" formatCode="General">
                  <c:v>0.118573741851871</c:v>
                </c:pt>
                <c:pt idx="78" formatCode="General">
                  <c:v>0.11840846006042552</c:v>
                </c:pt>
                <c:pt idx="79" formatCode="General">
                  <c:v>0.1182472565207046</c:v>
                </c:pt>
                <c:pt idx="80" formatCode="General">
                  <c:v>0.11808996829828508</c:v>
                </c:pt>
                <c:pt idx="81" formatCode="General">
                  <c:v>0.11793644138024867</c:v>
                </c:pt>
                <c:pt idx="82" formatCode="General">
                  <c:v>0.11778653005865047</c:v>
                </c:pt>
                <c:pt idx="83" formatCode="General">
                  <c:v>0.11764009636517549</c:v>
                </c:pt>
                <c:pt idx="84" formatCode="General">
                  <c:v>0.11749700955204175</c:v>
                </c:pt>
                <c:pt idx="85" formatCode="General">
                  <c:v>0.11735714561475076</c:v>
                </c:pt>
                <c:pt idx="86" formatCode="General">
                  <c:v>0.11722038685276084</c:v>
                </c:pt>
                <c:pt idx="87" formatCode="General">
                  <c:v>0.11708662146457779</c:v>
                </c:pt>
                <c:pt idx="88" formatCode="General">
                  <c:v>0.11695574317412503</c:v>
                </c:pt>
                <c:pt idx="89" formatCode="General">
                  <c:v>0.11682765088558103</c:v>
                </c:pt>
                <c:pt idx="90" formatCode="General">
                  <c:v>0.11670224836415903</c:v>
                </c:pt>
                <c:pt idx="91" formatCode="General">
                  <c:v>0.11657944394055875</c:v>
                </c:pt>
                <c:pt idx="92" formatCode="General">
                  <c:v>0.11645915023704602</c:v>
                </c:pt>
                <c:pt idx="93" formatCode="General">
                  <c:v>0.11634128391331676</c:v>
                </c:pt>
                <c:pt idx="94" formatCode="General">
                  <c:v>0.11622576543048058</c:v>
                </c:pt>
                <c:pt idx="95" formatCode="General">
                  <c:v>0.11611251883165902</c:v>
                </c:pt>
                <c:pt idx="96" formatCode="General">
                  <c:v>0.11600147153783509</c:v>
                </c:pt>
                <c:pt idx="97" formatCode="General">
                  <c:v>0.11589255415771893</c:v>
                </c:pt>
                <c:pt idx="98" formatCode="General">
                  <c:v>0.11578570031050732</c:v>
                </c:pt>
                <c:pt idx="99" formatCode="General">
                  <c:v>0.11568084646051816</c:v>
                </c:pt>
                <c:pt idx="100" formatCode="General">
                  <c:v>0.11557793176277176</c:v>
                </c:pt>
                <c:pt idx="101" formatCode="General">
                  <c:v>0.11547689791867422</c:v>
                </c:pt>
                <c:pt idx="102" formatCode="General">
                  <c:v>0.11537768904103173</c:v>
                </c:pt>
                <c:pt idx="103" formatCode="General">
                  <c:v>0.11528025152769233</c:v>
                </c:pt>
                <c:pt idx="104" formatCode="General">
                  <c:v>0.11518453394317167</c:v>
                </c:pt>
                <c:pt idx="105" formatCode="General">
                  <c:v>0.11509048690767397</c:v>
                </c:pt>
                <c:pt idx="106" formatCode="General">
                  <c:v>0.11499806299296936</c:v>
                </c:pt>
                <c:pt idx="107" formatCode="General">
                  <c:v>0.11490721662463309</c:v>
                </c:pt>
                <c:pt idx="108" formatCode="General">
                  <c:v>0.11481790399019259</c:v>
                </c:pt>
                <c:pt idx="109" formatCode="General">
                  <c:v>0.11473008295276625</c:v>
                </c:pt>
                <c:pt idx="110" formatCode="General">
                  <c:v>0.1146437129698097</c:v>
                </c:pt>
                <c:pt idx="111" formatCode="General">
                  <c:v>0.11455875501661777</c:v>
                </c:pt>
                <c:pt idx="112" formatCode="General">
                  <c:v>0.11447517151425632</c:v>
                </c:pt>
                <c:pt idx="113" formatCode="General">
                  <c:v>0.11439292626162482</c:v>
                </c:pt>
                <c:pt idx="114" formatCode="General">
                  <c:v>0.11431198437137306</c:v>
                </c:pt>
                <c:pt idx="115" formatCode="General">
                  <c:v>0.10966795116904331</c:v>
                </c:pt>
                <c:pt idx="116" formatCode="General">
                  <c:v>0.10660353777155185</c:v>
                </c:pt>
                <c:pt idx="117" formatCode="General">
                  <c:v>0.10528358359405005</c:v>
                </c:pt>
                <c:pt idx="118" formatCode="General">
                  <c:v>0.10451038013012372</c:v>
                </c:pt>
                <c:pt idx="119" formatCode="General">
                  <c:v>0.10398945057999484</c:v>
                </c:pt>
                <c:pt idx="120" formatCode="General">
                  <c:v>0.10360880713832391</c:v>
                </c:pt>
                <c:pt idx="121" formatCode="General">
                  <c:v>0.10331545481797147</c:v>
                </c:pt>
                <c:pt idx="122" formatCode="General">
                  <c:v>0.10308068762649858</c:v>
                </c:pt>
                <c:pt idx="123" formatCode="General">
                  <c:v>0.10288744595960565</c:v>
                </c:pt>
                <c:pt idx="124" formatCode="General">
                  <c:v>0.1027248795605081</c:v>
                </c:pt>
                <c:pt idx="125" formatCode="General">
                  <c:v>0.10186114863997753</c:v>
                </c:pt>
                <c:pt idx="126" formatCode="General">
                  <c:v>0.10148912421638917</c:v>
                </c:pt>
                <c:pt idx="127" formatCode="General">
                  <c:v>0.10127120222856875</c:v>
                </c:pt>
                <c:pt idx="128" formatCode="General">
                  <c:v>0.10112438269042429</c:v>
                </c:pt>
                <c:pt idx="129" formatCode="General">
                  <c:v>0.10101710191824986</c:v>
                </c:pt>
                <c:pt idx="130" formatCode="General">
                  <c:v>0.10093442348270865</c:v>
                </c:pt>
                <c:pt idx="131" formatCode="General">
                  <c:v>0.10086825676662986</c:v>
                </c:pt>
                <c:pt idx="132" formatCode="General">
                  <c:v>0.10081379364061432</c:v>
                </c:pt>
                <c:pt idx="133" formatCode="General">
                  <c:v>0.10076797604540859</c:v>
                </c:pt>
              </c:numCache>
            </c:numRef>
          </c:xVal>
          <c:yVal>
            <c:numRef>
              <c:f>SWR_UTU07!$J$14:$J$147</c:f>
              <c:numCache>
                <c:formatCode>General</c:formatCode>
                <c:ptCount val="134"/>
                <c:pt idx="0">
                  <c:v>9.8966999999999999E-2</c:v>
                </c:pt>
                <c:pt idx="1">
                  <c:v>0.197934</c:v>
                </c:pt>
                <c:pt idx="2">
                  <c:v>0.395868</c:v>
                </c:pt>
                <c:pt idx="3">
                  <c:v>0.49483500000000002</c:v>
                </c:pt>
                <c:pt idx="4">
                  <c:v>0.59380199999999994</c:v>
                </c:pt>
                <c:pt idx="5">
                  <c:v>0.791736</c:v>
                </c:pt>
                <c:pt idx="6">
                  <c:v>0.98967000000000005</c:v>
                </c:pt>
                <c:pt idx="7">
                  <c:v>1.0886370000000001</c:v>
                </c:pt>
                <c:pt idx="8">
                  <c:v>1.2865709999999999</c:v>
                </c:pt>
                <c:pt idx="9">
                  <c:v>1.484505</c:v>
                </c:pt>
                <c:pt idx="10">
                  <c:v>1.682439</c:v>
                </c:pt>
                <c:pt idx="11">
                  <c:v>1.8803730000000001</c:v>
                </c:pt>
                <c:pt idx="12">
                  <c:v>2.0783070000000001</c:v>
                </c:pt>
                <c:pt idx="13">
                  <c:v>2.2762410000000002</c:v>
                </c:pt>
                <c:pt idx="14">
                  <c:v>2.4741749999999998</c:v>
                </c:pt>
                <c:pt idx="15">
                  <c:v>2.6721089999999998</c:v>
                </c:pt>
                <c:pt idx="16">
                  <c:v>2.9690099999999999</c:v>
                </c:pt>
                <c:pt idx="17">
                  <c:v>3.9586800000000002</c:v>
                </c:pt>
                <c:pt idx="18">
                  <c:v>4.9483499999999996</c:v>
                </c:pt>
                <c:pt idx="19">
                  <c:v>5.9380199999999999</c:v>
                </c:pt>
                <c:pt idx="20">
                  <c:v>6.9276900000000001</c:v>
                </c:pt>
                <c:pt idx="21">
                  <c:v>7.9173600000000004</c:v>
                </c:pt>
                <c:pt idx="22">
                  <c:v>8.9070300000000007</c:v>
                </c:pt>
                <c:pt idx="23">
                  <c:v>9.8966999999999992</c:v>
                </c:pt>
                <c:pt idx="24">
                  <c:v>14.845050000000001</c:v>
                </c:pt>
                <c:pt idx="25">
                  <c:v>19.793399999999998</c:v>
                </c:pt>
                <c:pt idx="26">
                  <c:v>24.74175</c:v>
                </c:pt>
                <c:pt idx="27">
                  <c:v>29.690100000000001</c:v>
                </c:pt>
                <c:pt idx="28">
                  <c:v>34.638449999999999</c:v>
                </c:pt>
                <c:pt idx="29">
                  <c:v>39.586799999999997</c:v>
                </c:pt>
                <c:pt idx="30">
                  <c:v>49.483499999999999</c:v>
                </c:pt>
                <c:pt idx="31">
                  <c:v>59.380200000000002</c:v>
                </c:pt>
                <c:pt idx="32">
                  <c:v>69.276899999999998</c:v>
                </c:pt>
                <c:pt idx="33">
                  <c:v>79.173599999999993</c:v>
                </c:pt>
                <c:pt idx="34">
                  <c:v>89.070300000000003</c:v>
                </c:pt>
                <c:pt idx="35">
                  <c:v>94.018649999999994</c:v>
                </c:pt>
                <c:pt idx="36">
                  <c:v>98.966999999999999</c:v>
                </c:pt>
                <c:pt idx="37">
                  <c:v>103.91535</c:v>
                </c:pt>
                <c:pt idx="38">
                  <c:v>108.86369999999999</c:v>
                </c:pt>
                <c:pt idx="39">
                  <c:v>113.81205</c:v>
                </c:pt>
                <c:pt idx="40">
                  <c:v>118.7604</c:v>
                </c:pt>
                <c:pt idx="41">
                  <c:v>123.70874999999999</c:v>
                </c:pt>
                <c:pt idx="42">
                  <c:v>128.65709999999999</c:v>
                </c:pt>
                <c:pt idx="43">
                  <c:v>133.60544999999999</c:v>
                </c:pt>
                <c:pt idx="44">
                  <c:v>138.5538</c:v>
                </c:pt>
                <c:pt idx="45">
                  <c:v>143.50215</c:v>
                </c:pt>
                <c:pt idx="46">
                  <c:v>148.45050000000001</c:v>
                </c:pt>
                <c:pt idx="47">
                  <c:v>153.39885000000001</c:v>
                </c:pt>
                <c:pt idx="48">
                  <c:v>158.34719999999999</c:v>
                </c:pt>
                <c:pt idx="49">
                  <c:v>163.29554999999999</c:v>
                </c:pt>
                <c:pt idx="50">
                  <c:v>168.2439</c:v>
                </c:pt>
                <c:pt idx="51">
                  <c:v>173.19225</c:v>
                </c:pt>
                <c:pt idx="52">
                  <c:v>178.14060000000001</c:v>
                </c:pt>
                <c:pt idx="53">
                  <c:v>183.08895000000001</c:v>
                </c:pt>
                <c:pt idx="54">
                  <c:v>188.03729999999999</c:v>
                </c:pt>
                <c:pt idx="55">
                  <c:v>192.98564999999999</c:v>
                </c:pt>
                <c:pt idx="56">
                  <c:v>197.934</c:v>
                </c:pt>
                <c:pt idx="57">
                  <c:v>202.88235</c:v>
                </c:pt>
                <c:pt idx="58">
                  <c:v>207.83070000000001</c:v>
                </c:pt>
                <c:pt idx="59">
                  <c:v>212.77905000000001</c:v>
                </c:pt>
                <c:pt idx="60">
                  <c:v>217.72739999999999</c:v>
                </c:pt>
                <c:pt idx="61">
                  <c:v>222.67574999999999</c:v>
                </c:pt>
                <c:pt idx="62">
                  <c:v>227.6241</c:v>
                </c:pt>
                <c:pt idx="63">
                  <c:v>232.57245</c:v>
                </c:pt>
                <c:pt idx="64">
                  <c:v>237.52080000000001</c:v>
                </c:pt>
                <c:pt idx="65">
                  <c:v>242.46914999999998</c:v>
                </c:pt>
                <c:pt idx="66">
                  <c:v>247.41749999999999</c:v>
                </c:pt>
                <c:pt idx="67">
                  <c:v>252.36584999999999</c:v>
                </c:pt>
                <c:pt idx="68">
                  <c:v>257.31419999999997</c:v>
                </c:pt>
                <c:pt idx="69">
                  <c:v>262.26254999999998</c:v>
                </c:pt>
                <c:pt idx="70">
                  <c:v>267.21089999999998</c:v>
                </c:pt>
                <c:pt idx="71">
                  <c:v>272.15924999999999</c:v>
                </c:pt>
                <c:pt idx="72">
                  <c:v>277.10759999999999</c:v>
                </c:pt>
                <c:pt idx="73">
                  <c:v>282.05595</c:v>
                </c:pt>
                <c:pt idx="74">
                  <c:v>287.0043</c:v>
                </c:pt>
                <c:pt idx="75">
                  <c:v>291.95265000000001</c:v>
                </c:pt>
                <c:pt idx="76">
                  <c:v>296.90100000000001</c:v>
                </c:pt>
                <c:pt idx="77">
                  <c:v>301.84935000000002</c:v>
                </c:pt>
                <c:pt idx="78">
                  <c:v>306.79770000000002</c:v>
                </c:pt>
                <c:pt idx="79">
                  <c:v>311.74605000000003</c:v>
                </c:pt>
                <c:pt idx="80">
                  <c:v>316.69439999999997</c:v>
                </c:pt>
                <c:pt idx="81">
                  <c:v>321.64274999999998</c:v>
                </c:pt>
                <c:pt idx="82">
                  <c:v>326.59109999999998</c:v>
                </c:pt>
                <c:pt idx="83">
                  <c:v>331.53944999999999</c:v>
                </c:pt>
                <c:pt idx="84">
                  <c:v>336.48779999999999</c:v>
                </c:pt>
                <c:pt idx="85">
                  <c:v>341.43615</c:v>
                </c:pt>
                <c:pt idx="86">
                  <c:v>346.3845</c:v>
                </c:pt>
                <c:pt idx="87">
                  <c:v>351.33285000000001</c:v>
                </c:pt>
                <c:pt idx="88">
                  <c:v>356.28120000000001</c:v>
                </c:pt>
                <c:pt idx="89">
                  <c:v>361.22955000000002</c:v>
                </c:pt>
                <c:pt idx="90">
                  <c:v>366.17790000000002</c:v>
                </c:pt>
                <c:pt idx="91">
                  <c:v>371.12624999999997</c:v>
                </c:pt>
                <c:pt idx="92">
                  <c:v>376.07459999999998</c:v>
                </c:pt>
                <c:pt idx="93">
                  <c:v>381.02294999999998</c:v>
                </c:pt>
                <c:pt idx="94">
                  <c:v>385.97129999999999</c:v>
                </c:pt>
                <c:pt idx="95">
                  <c:v>390.91964999999999</c:v>
                </c:pt>
                <c:pt idx="96">
                  <c:v>395.86799999999999</c:v>
                </c:pt>
                <c:pt idx="97">
                  <c:v>400.81635</c:v>
                </c:pt>
                <c:pt idx="98">
                  <c:v>405.7647</c:v>
                </c:pt>
                <c:pt idx="99">
                  <c:v>410.71305000000001</c:v>
                </c:pt>
                <c:pt idx="100">
                  <c:v>415.66140000000001</c:v>
                </c:pt>
                <c:pt idx="101">
                  <c:v>420.60975000000002</c:v>
                </c:pt>
                <c:pt idx="102">
                  <c:v>425.55810000000002</c:v>
                </c:pt>
                <c:pt idx="103">
                  <c:v>430.50644999999997</c:v>
                </c:pt>
                <c:pt idx="104">
                  <c:v>435.45479999999998</c:v>
                </c:pt>
                <c:pt idx="105">
                  <c:v>440.40314999999998</c:v>
                </c:pt>
                <c:pt idx="106">
                  <c:v>445.35149999999999</c:v>
                </c:pt>
                <c:pt idx="107">
                  <c:v>450.29984999999999</c:v>
                </c:pt>
                <c:pt idx="108">
                  <c:v>455.2482</c:v>
                </c:pt>
                <c:pt idx="109">
                  <c:v>460.19655</c:v>
                </c:pt>
                <c:pt idx="110">
                  <c:v>465.14490000000001</c:v>
                </c:pt>
                <c:pt idx="111">
                  <c:v>470.09325000000001</c:v>
                </c:pt>
                <c:pt idx="112">
                  <c:v>475.04160000000002</c:v>
                </c:pt>
                <c:pt idx="113">
                  <c:v>479.98995000000002</c:v>
                </c:pt>
                <c:pt idx="114">
                  <c:v>484.93829999999997</c:v>
                </c:pt>
                <c:pt idx="115">
                  <c:v>989.67</c:v>
                </c:pt>
                <c:pt idx="116">
                  <c:v>1979.34</c:v>
                </c:pt>
                <c:pt idx="117">
                  <c:v>2969.0099999999998</c:v>
                </c:pt>
                <c:pt idx="118">
                  <c:v>3958.68</c:v>
                </c:pt>
                <c:pt idx="119">
                  <c:v>4948.3500000000004</c:v>
                </c:pt>
                <c:pt idx="120">
                  <c:v>5938.0199999999995</c:v>
                </c:pt>
                <c:pt idx="121">
                  <c:v>6927.69</c:v>
                </c:pt>
                <c:pt idx="122">
                  <c:v>7917.36</c:v>
                </c:pt>
                <c:pt idx="123">
                  <c:v>8907.0300000000007</c:v>
                </c:pt>
                <c:pt idx="124">
                  <c:v>9896.7000000000007</c:v>
                </c:pt>
                <c:pt idx="125">
                  <c:v>19793.400000000001</c:v>
                </c:pt>
                <c:pt idx="126">
                  <c:v>29690.1</c:v>
                </c:pt>
                <c:pt idx="127">
                  <c:v>39586.800000000003</c:v>
                </c:pt>
                <c:pt idx="128">
                  <c:v>49483.5</c:v>
                </c:pt>
                <c:pt idx="129">
                  <c:v>59380.2</c:v>
                </c:pt>
                <c:pt idx="130">
                  <c:v>69276.899999999994</c:v>
                </c:pt>
                <c:pt idx="131">
                  <c:v>79173.600000000006</c:v>
                </c:pt>
                <c:pt idx="132">
                  <c:v>89070.3</c:v>
                </c:pt>
                <c:pt idx="133">
                  <c:v>98967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CE-40AB-824B-32F8A19A5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412712"/>
        <c:axId val="1"/>
      </c:scatterChart>
      <c:scatterChart>
        <c:scatterStyle val="lineMarker"/>
        <c:varyColors val="0"/>
        <c:ser>
          <c:idx val="3"/>
          <c:order val="2"/>
          <c:tx>
            <c:v>k drying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SWR_UTU07!$C$14:$C$154</c:f>
              <c:numCache>
                <c:formatCode>General</c:formatCode>
                <c:ptCount val="141"/>
                <c:pt idx="0">
                  <c:v>0.45913218505835229</c:v>
                </c:pt>
                <c:pt idx="1">
                  <c:v>0.45741771646026141</c:v>
                </c:pt>
                <c:pt idx="2">
                  <c:v>0.45244699009929401</c:v>
                </c:pt>
                <c:pt idx="3">
                  <c:v>0.44941213593998175</c:v>
                </c:pt>
                <c:pt idx="4">
                  <c:v>0.44611089524333358</c:v>
                </c:pt>
                <c:pt idx="5">
                  <c:v>0.43892786104751225</c:v>
                </c:pt>
                <c:pt idx="6">
                  <c:v>0.43125275486549874</c:v>
                </c:pt>
                <c:pt idx="7">
                  <c:v>0.42731325183096314</c:v>
                </c:pt>
                <c:pt idx="8">
                  <c:v>0.4193539211285281</c:v>
                </c:pt>
                <c:pt idx="9">
                  <c:v>0.41140975442858663</c:v>
                </c:pt>
                <c:pt idx="10">
                  <c:v>0.40358802396288163</c:v>
                </c:pt>
                <c:pt idx="11">
                  <c:v>0.39596125043395913</c:v>
                </c:pt>
                <c:pt idx="12">
                  <c:v>0.38857625598171264</c:v>
                </c:pt>
                <c:pt idx="13">
                  <c:v>0.38146109961760288</c:v>
                </c:pt>
                <c:pt idx="14">
                  <c:v>0.37463033256047729</c:v>
                </c:pt>
                <c:pt idx="15">
                  <c:v>0.36808893488907835</c:v>
                </c:pt>
                <c:pt idx="16">
                  <c:v>0.35881446610642731</c:v>
                </c:pt>
                <c:pt idx="17">
                  <c:v>0.33219267242427908</c:v>
                </c:pt>
                <c:pt idx="18">
                  <c:v>0.31103854233934186</c:v>
                </c:pt>
                <c:pt idx="19">
                  <c:v>0.29397650839637607</c:v>
                </c:pt>
                <c:pt idx="20">
                  <c:v>0.27996285791395215</c:v>
                </c:pt>
                <c:pt idx="21">
                  <c:v>0.26825146068723138</c:v>
                </c:pt>
                <c:pt idx="22">
                  <c:v>0.25831113256809957</c:v>
                </c:pt>
                <c:pt idx="23">
                  <c:v>0.24975890200787898</c:v>
                </c:pt>
                <c:pt idx="24">
                  <c:v>0.24231372769819015</c:v>
                </c:pt>
                <c:pt idx="25">
                  <c:v>0.22995436062057723</c:v>
                </c:pt>
                <c:pt idx="26">
                  <c:v>0.22007497935405812</c:v>
                </c:pt>
                <c:pt idx="27">
                  <c:v>0.21196583199444374</c:v>
                </c:pt>
                <c:pt idx="28">
                  <c:v>0.20215929674358613</c:v>
                </c:pt>
                <c:pt idx="29">
                  <c:v>0.19435558041256462</c:v>
                </c:pt>
                <c:pt idx="30">
                  <c:v>0.18796782688441993</c:v>
                </c:pt>
                <c:pt idx="31">
                  <c:v>0.18262225259969167</c:v>
                </c:pt>
                <c:pt idx="32">
                  <c:v>0.17806868473070028</c:v>
                </c:pt>
                <c:pt idx="33">
                  <c:v>0.17413286715441198</c:v>
                </c:pt>
                <c:pt idx="34">
                  <c:v>0.17068938037574377</c:v>
                </c:pt>
                <c:pt idx="35">
                  <c:v>0.1696341995215476</c:v>
                </c:pt>
                <c:pt idx="36">
                  <c:v>0.1686204145385416</c:v>
                </c:pt>
                <c:pt idx="37">
                  <c:v>0.16028423676993159</c:v>
                </c:pt>
                <c:pt idx="38">
                  <c:v>0.15421551344297121</c:v>
                </c:pt>
                <c:pt idx="39">
                  <c:v>0.14955643968473359</c:v>
                </c:pt>
                <c:pt idx="40">
                  <c:v>0.144247294632732</c:v>
                </c:pt>
                <c:pt idx="41">
                  <c:v>0.14279449286275536</c:v>
                </c:pt>
                <c:pt idx="42">
                  <c:v>0.14146382415691464</c:v>
                </c:pt>
                <c:pt idx="43">
                  <c:v>0.14023940174154312</c:v>
                </c:pt>
                <c:pt idx="44">
                  <c:v>0.13910806562142777</c:v>
                </c:pt>
                <c:pt idx="45">
                  <c:v>0.13805881166739409</c:v>
                </c:pt>
                <c:pt idx="46">
                  <c:v>0.13708235988666992</c:v>
                </c:pt>
                <c:pt idx="47">
                  <c:v>0.136170823557203</c:v>
                </c:pt>
                <c:pt idx="48">
                  <c:v>0.13531745256729083</c:v>
                </c:pt>
                <c:pt idx="49">
                  <c:v>0.13451643210219366</c:v>
                </c:pt>
                <c:pt idx="50">
                  <c:v>0.13376272313308607</c:v>
                </c:pt>
                <c:pt idx="51">
                  <c:v>0.1330519348438938</c:v>
                </c:pt>
                <c:pt idx="52">
                  <c:v>0.1323802217194</c:v>
                </c:pt>
                <c:pt idx="53">
                  <c:v>0.1317441998633116</c:v>
                </c:pt>
                <c:pt idx="54">
                  <c:v>0.13114087844788055</c:v>
                </c:pt>
                <c:pt idx="55">
                  <c:v>0.13056760317102725</c:v>
                </c:pt>
                <c:pt idx="56">
                  <c:v>0.13002200931710367</c:v>
                </c:pt>
                <c:pt idx="57">
                  <c:v>0.12950198255528941</c:v>
                </c:pt>
                <c:pt idx="58">
                  <c:v>0.12900562601518961</c:v>
                </c:pt>
                <c:pt idx="59">
                  <c:v>0.12853123248780093</c:v>
                </c:pt>
                <c:pt idx="60">
                  <c:v>0.12807726083681964</c:v>
                </c:pt>
                <c:pt idx="61">
                  <c:v>0.12764231588842986</c:v>
                </c:pt>
                <c:pt idx="62">
                  <c:v>0.12722513121045215</c:v>
                </c:pt>
                <c:pt idx="63">
                  <c:v>0.12682455430375583</c:v>
                </c:pt>
                <c:pt idx="64">
                  <c:v>0.12643953381734746</c:v>
                </c:pt>
                <c:pt idx="65">
                  <c:v>0.12606910846891731</c:v>
                </c:pt>
                <c:pt idx="66">
                  <c:v>0.12571239740891027</c:v>
                </c:pt>
                <c:pt idx="67">
                  <c:v>0.12536859181146348</c:v>
                </c:pt>
                <c:pt idx="68">
                  <c:v>0.12503694751216901</c:v>
                </c:pt>
                <c:pt idx="69">
                  <c:v>0.12471677854238478</c:v>
                </c:pt>
                <c:pt idx="70">
                  <c:v>0.12440745143413345</c:v>
                </c:pt>
                <c:pt idx="71">
                  <c:v>0.12410838018958421</c:v>
                </c:pt>
                <c:pt idx="72">
                  <c:v>0.12381902182556277</c:v>
                </c:pt>
                <c:pt idx="73">
                  <c:v>0.12353887241715623</c:v>
                </c:pt>
                <c:pt idx="74">
                  <c:v>0.12326746357579943</c:v>
                </c:pt>
                <c:pt idx="75">
                  <c:v>0.12300435930667865</c:v>
                </c:pt>
                <c:pt idx="76">
                  <c:v>0.12274915319820194</c:v>
                </c:pt>
                <c:pt idx="77">
                  <c:v>0.12250146590293866</c:v>
                </c:pt>
                <c:pt idx="78">
                  <c:v>0.12226094287504335</c:v>
                </c:pt>
                <c:pt idx="79">
                  <c:v>0.12202725233392819</c:v>
                </c:pt>
                <c:pt idx="80">
                  <c:v>0.12180008342798174</c:v>
                </c:pt>
                <c:pt idx="81">
                  <c:v>0.12157914457556626</c:v>
                </c:pt>
                <c:pt idx="82">
                  <c:v>0.12136416196345934</c:v>
                </c:pt>
                <c:pt idx="83">
                  <c:v>0.12115487818541902</c:v>
                </c:pt>
                <c:pt idx="84">
                  <c:v>0.12095105100570994</c:v>
                </c:pt>
                <c:pt idx="85">
                  <c:v>0.12075245223428736</c:v>
                </c:pt>
                <c:pt idx="86">
                  <c:v>0.12055886670194091</c:v>
                </c:pt>
                <c:pt idx="87">
                  <c:v>0.1203700913250895</c:v>
                </c:pt>
                <c:pt idx="88">
                  <c:v>0.12018593425112437</c:v>
                </c:pt>
                <c:pt idx="89">
                  <c:v>0.12000621407624579</c:v>
                </c:pt>
                <c:pt idx="90">
                  <c:v>0.11983075912865207</c:v>
                </c:pt>
                <c:pt idx="91">
                  <c:v>0.11965940681073901</c:v>
                </c:pt>
                <c:pt idx="92">
                  <c:v>0.1194920029946652</c:v>
                </c:pt>
                <c:pt idx="93">
                  <c:v>0.11932840146625218</c:v>
                </c:pt>
                <c:pt idx="94">
                  <c:v>0.1191684634127274</c:v>
                </c:pt>
                <c:pt idx="95">
                  <c:v>0.11901205695029103</c:v>
                </c:pt>
                <c:pt idx="96">
                  <c:v>0.11885905668790707</c:v>
                </c:pt>
                <c:pt idx="97">
                  <c:v>0.11870934332408856</c:v>
                </c:pt>
                <c:pt idx="98">
                  <c:v>0.11856280327377375</c:v>
                </c:pt>
                <c:pt idx="99">
                  <c:v>0.11841932832268118</c:v>
                </c:pt>
                <c:pt idx="100">
                  <c:v>0.11827881530678812</c:v>
                </c:pt>
                <c:pt idx="101">
                  <c:v>0.11814116581480799</c:v>
                </c:pt>
                <c:pt idx="102">
                  <c:v>0.11800628591174514</c:v>
                </c:pt>
                <c:pt idx="103">
                  <c:v>0.11787408588178898</c:v>
                </c:pt>
                <c:pt idx="104">
                  <c:v>0.11774447998897226</c:v>
                </c:pt>
                <c:pt idx="105">
                  <c:v>0.11761738625416382</c:v>
                </c:pt>
                <c:pt idx="106">
                  <c:v>0.11749272624709758</c:v>
                </c:pt>
                <c:pt idx="107">
                  <c:v>0.11737042489225692</c:v>
                </c:pt>
                <c:pt idx="108">
                  <c:v>0.1172504102875387</c:v>
                </c:pt>
                <c:pt idx="109">
                  <c:v>0.11713261353471686</c:v>
                </c:pt>
                <c:pt idx="110">
                  <c:v>0.11701696858081058</c:v>
                </c:pt>
                <c:pt idx="111">
                  <c:v>0.11690341206953969</c:v>
                </c:pt>
                <c:pt idx="112">
                  <c:v>0.11679188320211945</c:v>
                </c:pt>
                <c:pt idx="113">
                  <c:v>0.11668232360671035</c:v>
                </c:pt>
                <c:pt idx="114">
                  <c:v>0.1165746772158953</c:v>
                </c:pt>
                <c:pt idx="115">
                  <c:v>0.11646889015160859</c:v>
                </c:pt>
                <c:pt idx="116">
                  <c:v>0.11636491061698824</c:v>
                </c:pt>
                <c:pt idx="117">
                  <c:v>0.11626268879466567</c:v>
                </c:pt>
                <c:pt idx="118">
                  <c:v>0.11616217675104597</c:v>
                </c:pt>
                <c:pt idx="119">
                  <c:v>0.11606332834616678</c:v>
                </c:pt>
                <c:pt idx="120">
                  <c:v>0.11596609914875665</c:v>
                </c:pt>
                <c:pt idx="121">
                  <c:v>0.11587044635614292</c:v>
                </c:pt>
                <c:pt idx="122">
                  <c:v>0.11044882192278686</c:v>
                </c:pt>
                <c:pt idx="123">
                  <c:v>0.10696099217226912</c:v>
                </c:pt>
                <c:pt idx="124">
                  <c:v>0.10548887599896244</c:v>
                </c:pt>
                <c:pt idx="125">
                  <c:v>0.10463735166755132</c:v>
                </c:pt>
                <c:pt idx="126">
                  <c:v>0.10406893854354159</c:v>
                </c:pt>
                <c:pt idx="127">
                  <c:v>0.10365663100259843</c:v>
                </c:pt>
                <c:pt idx="128">
                  <c:v>0.10334079985891932</c:v>
                </c:pt>
                <c:pt idx="129">
                  <c:v>0.103089351145387</c:v>
                </c:pt>
                <c:pt idx="130">
                  <c:v>0.1028833141683783</c:v>
                </c:pt>
                <c:pt idx="131">
                  <c:v>0.10271067923510452</c:v>
                </c:pt>
                <c:pt idx="132">
                  <c:v>0.10180582118361398</c:v>
                </c:pt>
                <c:pt idx="133">
                  <c:v>0.10142391908493935</c:v>
                </c:pt>
                <c:pt idx="134">
                  <c:v>0.10120301551885297</c:v>
                </c:pt>
                <c:pt idx="135">
                  <c:v>0.10105555768419286</c:v>
                </c:pt>
                <c:pt idx="136">
                  <c:v>0.1009485970442465</c:v>
                </c:pt>
                <c:pt idx="137">
                  <c:v>0.10086666438923125</c:v>
                </c:pt>
                <c:pt idx="138">
                  <c:v>0.1008014338350387</c:v>
                </c:pt>
                <c:pt idx="139">
                  <c:v>0.10074798398139738</c:v>
                </c:pt>
                <c:pt idx="140">
                  <c:v>0.10070319926661896</c:v>
                </c:pt>
              </c:numCache>
            </c:numRef>
          </c:xVal>
          <c:yVal>
            <c:numRef>
              <c:f>SWR_UTU07!$E$14:$E$154</c:f>
              <c:numCache>
                <c:formatCode>General</c:formatCode>
                <c:ptCount val="141"/>
                <c:pt idx="0">
                  <c:v>7.1205092165151548E-5</c:v>
                </c:pt>
                <c:pt idx="1">
                  <c:v>5.8687569459157776E-5</c:v>
                </c:pt>
                <c:pt idx="2">
                  <c:v>4.2552611478540086E-5</c:v>
                </c:pt>
                <c:pt idx="3">
                  <c:v>3.67891147629953E-5</c:v>
                </c:pt>
                <c:pt idx="4">
                  <c:v>3.2004779738171112E-5</c:v>
                </c:pt>
                <c:pt idx="5">
                  <c:v>2.456230450818827E-5</c:v>
                </c:pt>
                <c:pt idx="6">
                  <c:v>1.9127667663350718E-5</c:v>
                </c:pt>
                <c:pt idx="7">
                  <c:v>1.6957834844468791E-5</c:v>
                </c:pt>
                <c:pt idx="8">
                  <c:v>1.3439858411769062E-5</c:v>
                </c:pt>
                <c:pt idx="9">
                  <c:v>1.0761265914002143E-5</c:v>
                </c:pt>
                <c:pt idx="10">
                  <c:v>8.6985871785323372E-6</c:v>
                </c:pt>
                <c:pt idx="11">
                  <c:v>7.0939652263898351E-6</c:v>
                </c:pt>
                <c:pt idx="12">
                  <c:v>5.8338629483551406E-6</c:v>
                </c:pt>
                <c:pt idx="13">
                  <c:v>4.8355002108764379E-6</c:v>
                </c:pt>
                <c:pt idx="14">
                  <c:v>4.0378392984981627E-6</c:v>
                </c:pt>
                <c:pt idx="15">
                  <c:v>3.3954262292023518E-6</c:v>
                </c:pt>
                <c:pt idx="16">
                  <c:v>2.6504999978550715E-6</c:v>
                </c:pt>
                <c:pt idx="17">
                  <c:v>1.2723320939133164E-6</c:v>
                </c:pt>
                <c:pt idx="18">
                  <c:v>6.8400518558152094E-7</c:v>
                </c:pt>
                <c:pt idx="19">
                  <c:v>4.0065892100175849E-7</c:v>
                </c:pt>
                <c:pt idx="20">
                  <c:v>2.5079770865561366E-7</c:v>
                </c:pt>
                <c:pt idx="21">
                  <c:v>1.6545565437517724E-7</c:v>
                </c:pt>
                <c:pt idx="22">
                  <c:v>1.138809346379802E-7</c:v>
                </c:pt>
                <c:pt idx="23">
                  <c:v>8.1161401860407088E-8</c:v>
                </c:pt>
                <c:pt idx="24">
                  <c:v>5.9549153972774854E-8</c:v>
                </c:pt>
                <c:pt idx="25">
                  <c:v>3.4390901548611525E-8</c:v>
                </c:pt>
                <c:pt idx="26">
                  <c:v>2.1374689797300948E-8</c:v>
                </c:pt>
                <c:pt idx="27">
                  <c:v>1.4055022982131861E-8</c:v>
                </c:pt>
                <c:pt idx="28">
                  <c:v>8.1250047879042188E-9</c:v>
                </c:pt>
                <c:pt idx="29">
                  <c:v>5.0579115304303266E-9</c:v>
                </c:pt>
                <c:pt idx="30">
                  <c:v>3.3317463666379831E-9</c:v>
                </c:pt>
                <c:pt idx="31">
                  <c:v>2.2946822001220568E-9</c:v>
                </c:pt>
                <c:pt idx="32">
                  <c:v>1.638359275106573E-9</c:v>
                </c:pt>
                <c:pt idx="33">
                  <c:v>1.2050079451183873E-9</c:v>
                </c:pt>
                <c:pt idx="34">
                  <c:v>9.0862354972662333E-10</c:v>
                </c:pt>
                <c:pt idx="35">
                  <c:v>8.3105224522712334E-10</c:v>
                </c:pt>
                <c:pt idx="36">
                  <c:v>7.6180027135809476E-10</c:v>
                </c:pt>
                <c:pt idx="37">
                  <c:v>3.5344365033889088E-10</c:v>
                </c:pt>
                <c:pt idx="38">
                  <c:v>1.8849688919366956E-10</c:v>
                </c:pt>
                <c:pt idx="39">
                  <c:v>1.1071492465142608E-10</c:v>
                </c:pt>
                <c:pt idx="40">
                  <c:v>5.6607019644888272E-11</c:v>
                </c:pt>
                <c:pt idx="41">
                  <c:v>4.6457691708786819E-11</c:v>
                </c:pt>
                <c:pt idx="42">
                  <c:v>3.8536280488929918E-11</c:v>
                </c:pt>
                <c:pt idx="43">
                  <c:v>3.2272610734379921E-11</c:v>
                </c:pt>
                <c:pt idx="44">
                  <c:v>2.7261312602977188E-11</c:v>
                </c:pt>
                <c:pt idx="45">
                  <c:v>2.320919857875477E-11</c:v>
                </c:pt>
                <c:pt idx="46">
                  <c:v>1.9900903926524527E-11</c:v>
                </c:pt>
                <c:pt idx="47">
                  <c:v>1.7175985323434051E-11</c:v>
                </c:pt>
                <c:pt idx="48">
                  <c:v>1.4913368784513098E-11</c:v>
                </c:pt>
                <c:pt idx="49">
                  <c:v>1.3020607067606099E-11</c:v>
                </c:pt>
                <c:pt idx="50">
                  <c:v>1.1426342695853751E-11</c:v>
                </c:pt>
                <c:pt idx="51">
                  <c:v>1.0074943788969858E-11</c:v>
                </c:pt>
                <c:pt idx="52">
                  <c:v>8.9226355898244227E-12</c:v>
                </c:pt>
                <c:pt idx="53">
                  <c:v>7.9346763746348832E-12</c:v>
                </c:pt>
                <c:pt idx="54">
                  <c:v>7.0832723105556099E-12</c:v>
                </c:pt>
                <c:pt idx="55">
                  <c:v>6.3460216041214882E-12</c:v>
                </c:pt>
                <c:pt idx="56">
                  <c:v>5.7047421234497636E-12</c:v>
                </c:pt>
                <c:pt idx="57">
                  <c:v>5.1445798272083454E-12</c:v>
                </c:pt>
                <c:pt idx="58">
                  <c:v>4.6533248818416728E-12</c:v>
                </c:pt>
                <c:pt idx="59">
                  <c:v>4.2208828313893128E-12</c:v>
                </c:pt>
                <c:pt idx="60">
                  <c:v>3.8388625458856876E-12</c:v>
                </c:pt>
                <c:pt idx="61">
                  <c:v>3.5002528528293686E-12</c:v>
                </c:pt>
                <c:pt idx="62">
                  <c:v>3.1991670432964333E-12</c:v>
                </c:pt>
                <c:pt idx="63">
                  <c:v>2.9306397110092565E-12</c:v>
                </c:pt>
                <c:pt idx="64">
                  <c:v>2.6904642237667862E-12</c:v>
                </c:pt>
                <c:pt idx="65">
                  <c:v>2.4750619519061707E-12</c:v>
                </c:pt>
                <c:pt idx="66">
                  <c:v>2.2813764731780096E-12</c:v>
                </c:pt>
                <c:pt idx="67">
                  <c:v>2.1067875386975963E-12</c:v>
                </c:pt>
                <c:pt idx="68">
                  <c:v>1.9490407624644696E-12</c:v>
                </c:pt>
                <c:pt idx="69">
                  <c:v>1.8061898897073488E-12</c:v>
                </c:pt>
                <c:pt idx="70">
                  <c:v>1.6765491801784969E-12</c:v>
                </c:pt>
                <c:pt idx="71">
                  <c:v>1.5586539652916151E-12</c:v>
                </c:pt>
                <c:pt idx="72">
                  <c:v>1.4512278415849497E-12</c:v>
                </c:pt>
                <c:pt idx="73">
                  <c:v>1.3531552765163115E-12</c:v>
                </c:pt>
                <c:pt idx="74">
                  <c:v>1.2634586473858132E-12</c:v>
                </c:pt>
                <c:pt idx="75">
                  <c:v>1.1812789263824177E-12</c:v>
                </c:pt>
                <c:pt idx="76">
                  <c:v>1.1058593763378765E-12</c:v>
                </c:pt>
                <c:pt idx="77">
                  <c:v>1.0365317420151444E-12</c:v>
                </c:pt>
                <c:pt idx="78">
                  <c:v>9.7270451744824659E-13</c:v>
                </c:pt>
                <c:pt idx="79">
                  <c:v>9.1385294648626992E-13</c:v>
                </c:pt>
                <c:pt idx="80">
                  <c:v>8.5951047516833621E-13</c:v>
                </c:pt>
                <c:pt idx="81">
                  <c:v>8.0926142425527869E-13</c:v>
                </c:pt>
                <c:pt idx="82">
                  <c:v>7.6273469039580635E-13</c:v>
                </c:pt>
                <c:pt idx="83">
                  <c:v>7.1959831712392823E-13</c:v>
                </c:pt>
                <c:pt idx="84">
                  <c:v>6.7955480354224801E-13</c:v>
                </c:pt>
                <c:pt idx="85">
                  <c:v>6.4233704040080091E-13</c:v>
                </c:pt>
                <c:pt idx="86">
                  <c:v>6.0770478120653218E-13</c:v>
                </c:pt>
                <c:pt idx="87">
                  <c:v>5.754415708324785E-13</c:v>
                </c:pt>
                <c:pt idx="88">
                  <c:v>5.4535206629602601E-13</c:v>
                </c:pt>
                <c:pt idx="89">
                  <c:v>5.1725969457231303E-13</c:v>
                </c:pt>
                <c:pt idx="90">
                  <c:v>4.9100460071098603E-13</c:v>
                </c:pt>
                <c:pt idx="91">
                  <c:v>4.6644184662832936E-13</c:v>
                </c:pt>
                <c:pt idx="92">
                  <c:v>4.434398268082538E-13</c:v>
                </c:pt>
                <c:pt idx="93">
                  <c:v>4.2187887212242467E-13</c:v>
                </c:pt>
                <c:pt idx="94">
                  <c:v>4.0165001713664134E-13</c:v>
                </c:pt>
                <c:pt idx="95">
                  <c:v>3.8265390980174394E-13</c:v>
                </c:pt>
                <c:pt idx="96">
                  <c:v>3.6479984537152823E-13</c:v>
                </c:pt>
                <c:pt idx="97">
                  <c:v>3.480049089498494E-13</c:v>
                </c:pt>
                <c:pt idx="98">
                  <c:v>3.3219321317718557E-13</c:v>
                </c:pt>
                <c:pt idx="99">
                  <c:v>3.1729521941549733E-13</c:v>
                </c:pt>
                <c:pt idx="100">
                  <c:v>3.0324713232606681E-13</c:v>
                </c:pt>
                <c:pt idx="101">
                  <c:v>2.8999035908989377E-13</c:v>
                </c:pt>
                <c:pt idx="102">
                  <c:v>2.774710256465541E-13</c:v>
                </c:pt>
                <c:pt idx="103">
                  <c:v>2.6563954330782108E-13</c:v>
                </c:pt>
                <c:pt idx="104">
                  <c:v>2.5445021996011214E-13</c:v>
                </c:pt>
                <c:pt idx="105">
                  <c:v>2.4386091078078639E-13</c:v>
                </c:pt>
                <c:pt idx="106">
                  <c:v>2.3383270403986945E-13</c:v>
                </c:pt>
                <c:pt idx="107">
                  <c:v>2.2432963808194189E-13</c:v>
                </c:pt>
                <c:pt idx="108">
                  <c:v>2.1531844607822814E-13</c:v>
                </c:pt>
                <c:pt idx="109">
                  <c:v>2.0676832553541179E-13</c:v>
                </c:pt>
                <c:pt idx="110">
                  <c:v>1.9865072990143873E-13</c:v>
                </c:pt>
                <c:pt idx="111">
                  <c:v>1.9093917993211751E-13</c:v>
                </c:pt>
                <c:pt idx="112">
                  <c:v>1.8360909274388627E-13</c:v>
                </c:pt>
                <c:pt idx="113">
                  <c:v>1.7663762672152846E-13</c:v>
                </c:pt>
                <c:pt idx="114">
                  <c:v>1.7000354064886841E-13</c:v>
                </c:pt>
                <c:pt idx="115">
                  <c:v>1.6368706562711357E-13</c:v>
                </c:pt>
                <c:pt idx="116">
                  <c:v>1.5766978849174023E-13</c:v>
                </c:pt>
                <c:pt idx="117">
                  <c:v>1.5193454558637142E-13</c:v>
                </c:pt>
                <c:pt idx="118">
                  <c:v>1.4646532587746047E-13</c:v>
                </c:pt>
                <c:pt idx="119">
                  <c:v>1.4124718250017946E-13</c:v>
                </c:pt>
                <c:pt idx="120">
                  <c:v>1.3626615192076441E-13</c:v>
                </c:pt>
                <c:pt idx="121">
                  <c:v>1.3150917999498187E-13</c:v>
                </c:pt>
                <c:pt idx="122">
                  <c:v>1.1106658769150969E-14</c:v>
                </c:pt>
                <c:pt idx="123">
                  <c:v>1.005878677617869E-15</c:v>
                </c:pt>
                <c:pt idx="124">
                  <c:v>2.4682932717798667E-16</c:v>
                </c:pt>
                <c:pt idx="125">
                  <c:v>9.1093424587751341E-17</c:v>
                </c:pt>
                <c:pt idx="126">
                  <c:v>4.2043162552237413E-17</c:v>
                </c:pt>
                <c:pt idx="127">
                  <c:v>2.2352868932597329E-17</c:v>
                </c:pt>
                <c:pt idx="128" formatCode="0.000">
                  <c:v>1.3102773557382977E-17</c:v>
                </c:pt>
                <c:pt idx="129">
                  <c:v>8.2493844930275859E-18</c:v>
                </c:pt>
                <c:pt idx="130">
                  <c:v>5.48502169241762E-18</c:v>
                </c:pt>
                <c:pt idx="131">
                  <c:v>3.8074031483898465E-18</c:v>
                </c:pt>
                <c:pt idx="132">
                  <c:v>3.447948231850072E-19</c:v>
                </c:pt>
                <c:pt idx="133">
                  <c:v>8.4606692024873485E-20</c:v>
                </c:pt>
                <c:pt idx="134">
                  <c:v>3.1224253979174596E-20</c:v>
                </c:pt>
                <c:pt idx="135">
                  <c:v>1.441115921609977E-20</c:v>
                </c:pt>
                <c:pt idx="136">
                  <c:v>7.6618901409463098E-21</c:v>
                </c:pt>
                <c:pt idx="137">
                  <c:v>4.4912301415843308E-21</c:v>
                </c:pt>
                <c:pt idx="138">
                  <c:v>2.8276341849580219E-21</c:v>
                </c:pt>
                <c:pt idx="139">
                  <c:v>1.8800947747888027E-21</c:v>
                </c:pt>
                <c:pt idx="140">
                  <c:v>1.3050586980786424E-21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2CE-40AB-824B-32F8A19A5DEF}"/>
            </c:ext>
          </c:extLst>
        </c:ser>
        <c:ser>
          <c:idx val="4"/>
          <c:order val="3"/>
          <c:tx>
            <c:v>k wetting</c:v>
          </c:tx>
          <c:spPr>
            <a:ln w="25400">
              <a:solidFill>
                <a:srgbClr val="003300"/>
              </a:solidFill>
              <a:prstDash val="sysDash"/>
            </a:ln>
          </c:spPr>
          <c:marker>
            <c:symbol val="none"/>
          </c:marker>
          <c:xVal>
            <c:numRef>
              <c:f>SWR_UTU07!$K$14:$K$147</c:f>
              <c:numCache>
                <c:formatCode>0.00E+00</c:formatCode>
                <c:ptCount val="134"/>
                <c:pt idx="0">
                  <c:v>0.36730489866933957</c:v>
                </c:pt>
                <c:pt idx="1">
                  <c:v>0.36598381448185324</c:v>
                </c:pt>
                <c:pt idx="2" formatCode="General">
                  <c:v>0.36225398864968461</c:v>
                </c:pt>
                <c:pt idx="3">
                  <c:v>0.36001261661329265</c:v>
                </c:pt>
                <c:pt idx="4" formatCode="General">
                  <c:v>0.35759352758813967</c:v>
                </c:pt>
                <c:pt idx="5" formatCode="General">
                  <c:v>0.35237778703545986</c:v>
                </c:pt>
                <c:pt idx="6" formatCode="General">
                  <c:v>0.34685477153822564</c:v>
                </c:pt>
                <c:pt idx="7" formatCode="General">
                  <c:v>0.34403431239530402</c:v>
                </c:pt>
                <c:pt idx="8" formatCode="General">
                  <c:v>0.33835798169147602</c:v>
                </c:pt>
                <c:pt idx="9" formatCode="General">
                  <c:v>0.3327145972336325</c:v>
                </c:pt>
                <c:pt idx="10" formatCode="General">
                  <c:v>0.32717333592769304</c:v>
                </c:pt>
                <c:pt idx="11" formatCode="General">
                  <c:v>0.3217800259870639</c:v>
                </c:pt>
                <c:pt idx="12" formatCode="General">
                  <c:v>0.31656353814105953</c:v>
                </c:pt>
                <c:pt idx="13" formatCode="General">
                  <c:v>0.31154054508502682</c:v>
                </c:pt>
                <c:pt idx="14" formatCode="General">
                  <c:v>0.30671904994110949</c:v>
                </c:pt>
                <c:pt idx="15" formatCode="General">
                  <c:v>0.30210098472820457</c:v>
                </c:pt>
                <c:pt idx="16" formatCode="General">
                  <c:v>0.29554962784677008</c:v>
                </c:pt>
                <c:pt idx="17" formatCode="General">
                  <c:v>0.27669467529657449</c:v>
                </c:pt>
                <c:pt idx="18" formatCode="General">
                  <c:v>0.26163043242974937</c:v>
                </c:pt>
                <c:pt idx="19" formatCode="General">
                  <c:v>0.24940946221211557</c:v>
                </c:pt>
                <c:pt idx="20" formatCode="General">
                  <c:v>0.23931612782058723</c:v>
                </c:pt>
                <c:pt idx="21" formatCode="General">
                  <c:v>0.23083776157563726</c:v>
                </c:pt>
                <c:pt idx="22" formatCode="General">
                  <c:v>0.22360791931681401</c:v>
                </c:pt>
                <c:pt idx="23" formatCode="General">
                  <c:v>0.2173612079952334</c:v>
                </c:pt>
                <c:pt idx="24" formatCode="General">
                  <c:v>0.19546753437515019</c:v>
                </c:pt>
                <c:pt idx="25" formatCode="General">
                  <c:v>0.18207158676221202</c:v>
                </c:pt>
                <c:pt idx="26" formatCode="General">
                  <c:v>0.17286273760199669</c:v>
                </c:pt>
                <c:pt idx="27" formatCode="General">
                  <c:v>0.16605792536609343</c:v>
                </c:pt>
                <c:pt idx="28" formatCode="General">
                  <c:v>0.16077685098553351</c:v>
                </c:pt>
                <c:pt idx="29" formatCode="General">
                  <c:v>0.15653056632297341</c:v>
                </c:pt>
                <c:pt idx="30" formatCode="General">
                  <c:v>0.15006624863157716</c:v>
                </c:pt>
                <c:pt idx="31" formatCode="General">
                  <c:v>0.14532431911073584</c:v>
                </c:pt>
                <c:pt idx="32" formatCode="General">
                  <c:v>0.14166098807767105</c:v>
                </c:pt>
                <c:pt idx="33" formatCode="General">
                  <c:v>0.13872450631515473</c:v>
                </c:pt>
                <c:pt idx="34" formatCode="General">
                  <c:v>0.13630465566682243</c:v>
                </c:pt>
                <c:pt idx="35" formatCode="General">
                  <c:v>0.13524455401911334</c:v>
                </c:pt>
                <c:pt idx="36" formatCode="General">
                  <c:v>0.13426720980341164</c:v>
                </c:pt>
                <c:pt idx="37" formatCode="General">
                  <c:v>0.13336251151501849</c:v>
                </c:pt>
                <c:pt idx="38" formatCode="General">
                  <c:v>0.13252198798500084</c:v>
                </c:pt>
                <c:pt idx="39" formatCode="General">
                  <c:v>0.1317384823809814</c:v>
                </c:pt>
                <c:pt idx="40" formatCode="General">
                  <c:v>0.13100590189756023</c:v>
                </c:pt>
                <c:pt idx="41" formatCode="General">
                  <c:v>0.13031902323643441</c:v>
                </c:pt>
                <c:pt idx="42" formatCode="General">
                  <c:v>0.12967333977250803</c:v>
                </c:pt>
                <c:pt idx="43" formatCode="General">
                  <c:v>0.12906494025816845</c:v>
                </c:pt>
                <c:pt idx="44" formatCode="General">
                  <c:v>0.12849041166258551</c:v>
                </c:pt>
                <c:pt idx="45" formatCode="General">
                  <c:v>0.12794676067616928</c:v>
                </c:pt>
                <c:pt idx="46" formatCode="General">
                  <c:v>0.12743134979111387</c:v>
                </c:pt>
                <c:pt idx="47" formatCode="General">
                  <c:v>0.12694184486787657</c:v>
                </c:pt>
                <c:pt idx="48" formatCode="General">
                  <c:v>0.12647617182873186</c:v>
                </c:pt>
                <c:pt idx="49" formatCode="General">
                  <c:v>0.12603248066084322</c:v>
                </c:pt>
                <c:pt idx="50" formatCode="General">
                  <c:v>0.12560911531610663</c:v>
                </c:pt>
                <c:pt idx="51" formatCode="General">
                  <c:v>0.12520458840067186</c:v>
                </c:pt>
                <c:pt idx="52" formatCode="General">
                  <c:v>0.12481755977991205</c:v>
                </c:pt>
                <c:pt idx="53" formatCode="General">
                  <c:v>0.12444681840352187</c:v>
                </c:pt>
                <c:pt idx="54" formatCode="General">
                  <c:v>0.12409126679397124</c:v>
                </c:pt>
                <c:pt idx="55" formatCode="General">
                  <c:v>0.12374990774963535</c:v>
                </c:pt>
                <c:pt idx="56" formatCode="General">
                  <c:v>0.12342183289884878</c:v>
                </c:pt>
                <c:pt idx="57" formatCode="General">
                  <c:v>0.12310621280830278</c:v>
                </c:pt>
                <c:pt idx="58" formatCode="General">
                  <c:v>0.12280228840266601</c:v>
                </c:pt>
                <c:pt idx="59" formatCode="General">
                  <c:v>0.12250936349511296</c:v>
                </c:pt>
                <c:pt idx="60" formatCode="General">
                  <c:v>0.12222679826291026</c:v>
                </c:pt>
                <c:pt idx="61" formatCode="General">
                  <c:v>0.12195400353011075</c:v>
                </c:pt>
                <c:pt idx="62" formatCode="General">
                  <c:v>0.1216904357421076</c:v>
                </c:pt>
                <c:pt idx="63" formatCode="General">
                  <c:v>0.12143559253536196</c:v>
                </c:pt>
                <c:pt idx="64" formatCode="General">
                  <c:v>0.12118900882086545</c:v>
                </c:pt>
                <c:pt idx="65" formatCode="General">
                  <c:v>0.12095025331247854</c:v>
                </c:pt>
                <c:pt idx="66" formatCode="General">
                  <c:v>0.1207189254417107</c:v>
                </c:pt>
                <c:pt idx="67" formatCode="General">
                  <c:v>0.12049465260917963</c:v>
                </c:pt>
                <c:pt idx="68" formatCode="General">
                  <c:v>0.12027708773023034</c:v>
                </c:pt>
                <c:pt idx="69" formatCode="General">
                  <c:v>0.12006590703826699</c:v>
                </c:pt>
                <c:pt idx="70" formatCode="General">
                  <c:v>0.1198608081144576</c:v>
                </c:pt>
                <c:pt idx="71" formatCode="General">
                  <c:v>0.11966150811678553</c:v>
                </c:pt>
                <c:pt idx="72" formatCode="General">
                  <c:v>0.11946774218507254</c:v>
                </c:pt>
                <c:pt idx="73" formatCode="General">
                  <c:v>0.11927926200170302</c:v>
                </c:pt>
                <c:pt idx="74" formatCode="General">
                  <c:v>0.11909583449042274</c:v>
                </c:pt>
                <c:pt idx="75" formatCode="General">
                  <c:v>0.11891724063784673</c:v>
                </c:pt>
                <c:pt idx="76" formatCode="General">
                  <c:v>0.11874327442424884</c:v>
                </c:pt>
                <c:pt idx="77" formatCode="General">
                  <c:v>0.118573741851871</c:v>
                </c:pt>
                <c:pt idx="78" formatCode="General">
                  <c:v>0.11840846006042552</c:v>
                </c:pt>
                <c:pt idx="79" formatCode="General">
                  <c:v>0.1182472565207046</c:v>
                </c:pt>
                <c:pt idx="80" formatCode="General">
                  <c:v>0.11808996829828508</c:v>
                </c:pt>
                <c:pt idx="81" formatCode="General">
                  <c:v>0.11793644138024867</c:v>
                </c:pt>
                <c:pt idx="82" formatCode="General">
                  <c:v>0.11778653005865047</c:v>
                </c:pt>
                <c:pt idx="83" formatCode="General">
                  <c:v>0.11764009636517549</c:v>
                </c:pt>
                <c:pt idx="84" formatCode="General">
                  <c:v>0.11749700955204175</c:v>
                </c:pt>
                <c:pt idx="85" formatCode="General">
                  <c:v>0.11735714561475076</c:v>
                </c:pt>
                <c:pt idx="86" formatCode="General">
                  <c:v>0.11722038685276084</c:v>
                </c:pt>
                <c:pt idx="87" formatCode="General">
                  <c:v>0.11708662146457779</c:v>
                </c:pt>
                <c:pt idx="88" formatCode="General">
                  <c:v>0.11695574317412503</c:v>
                </c:pt>
                <c:pt idx="89" formatCode="General">
                  <c:v>0.11682765088558103</c:v>
                </c:pt>
                <c:pt idx="90" formatCode="General">
                  <c:v>0.11670224836415903</c:v>
                </c:pt>
                <c:pt idx="91" formatCode="General">
                  <c:v>0.11657944394055875</c:v>
                </c:pt>
                <c:pt idx="92" formatCode="General">
                  <c:v>0.11645915023704602</c:v>
                </c:pt>
                <c:pt idx="93" formatCode="General">
                  <c:v>0.11634128391331676</c:v>
                </c:pt>
                <c:pt idx="94" formatCode="General">
                  <c:v>0.11622576543048058</c:v>
                </c:pt>
                <c:pt idx="95" formatCode="General">
                  <c:v>0.11611251883165902</c:v>
                </c:pt>
                <c:pt idx="96" formatCode="General">
                  <c:v>0.11600147153783509</c:v>
                </c:pt>
                <c:pt idx="97" formatCode="General">
                  <c:v>0.11589255415771893</c:v>
                </c:pt>
                <c:pt idx="98" formatCode="General">
                  <c:v>0.11578570031050732</c:v>
                </c:pt>
                <c:pt idx="99" formatCode="General">
                  <c:v>0.11568084646051816</c:v>
                </c:pt>
                <c:pt idx="100" formatCode="General">
                  <c:v>0.11557793176277176</c:v>
                </c:pt>
                <c:pt idx="101" formatCode="General">
                  <c:v>0.11547689791867422</c:v>
                </c:pt>
                <c:pt idx="102" formatCode="General">
                  <c:v>0.11537768904103173</c:v>
                </c:pt>
                <c:pt idx="103" formatCode="General">
                  <c:v>0.11528025152769233</c:v>
                </c:pt>
                <c:pt idx="104" formatCode="General">
                  <c:v>0.11518453394317167</c:v>
                </c:pt>
                <c:pt idx="105" formatCode="General">
                  <c:v>0.11509048690767397</c:v>
                </c:pt>
                <c:pt idx="106" formatCode="General">
                  <c:v>0.11499806299296936</c:v>
                </c:pt>
                <c:pt idx="107" formatCode="General">
                  <c:v>0.11490721662463309</c:v>
                </c:pt>
                <c:pt idx="108" formatCode="General">
                  <c:v>0.11481790399019259</c:v>
                </c:pt>
                <c:pt idx="109" formatCode="General">
                  <c:v>0.11473008295276625</c:v>
                </c:pt>
                <c:pt idx="110" formatCode="General">
                  <c:v>0.1146437129698097</c:v>
                </c:pt>
                <c:pt idx="111" formatCode="General">
                  <c:v>0.11455875501661777</c:v>
                </c:pt>
                <c:pt idx="112" formatCode="General">
                  <c:v>0.11447517151425632</c:v>
                </c:pt>
                <c:pt idx="113" formatCode="General">
                  <c:v>0.11439292626162482</c:v>
                </c:pt>
                <c:pt idx="114" formatCode="General">
                  <c:v>0.11431198437137306</c:v>
                </c:pt>
                <c:pt idx="115" formatCode="General">
                  <c:v>0.10966795116904331</c:v>
                </c:pt>
                <c:pt idx="116" formatCode="General">
                  <c:v>0.10660353777155185</c:v>
                </c:pt>
                <c:pt idx="117" formatCode="General">
                  <c:v>0.10528358359405005</c:v>
                </c:pt>
                <c:pt idx="118" formatCode="General">
                  <c:v>0.10451038013012372</c:v>
                </c:pt>
                <c:pt idx="119" formatCode="General">
                  <c:v>0.10398945057999484</c:v>
                </c:pt>
                <c:pt idx="120" formatCode="General">
                  <c:v>0.10360880713832391</c:v>
                </c:pt>
                <c:pt idx="121" formatCode="General">
                  <c:v>0.10331545481797147</c:v>
                </c:pt>
                <c:pt idx="122" formatCode="General">
                  <c:v>0.10308068762649858</c:v>
                </c:pt>
                <c:pt idx="123" formatCode="General">
                  <c:v>0.10288744595960565</c:v>
                </c:pt>
                <c:pt idx="124" formatCode="General">
                  <c:v>0.1027248795605081</c:v>
                </c:pt>
                <c:pt idx="125" formatCode="General">
                  <c:v>0.10186114863997753</c:v>
                </c:pt>
                <c:pt idx="126" formatCode="General">
                  <c:v>0.10148912421638917</c:v>
                </c:pt>
                <c:pt idx="127" formatCode="General">
                  <c:v>0.10127120222856875</c:v>
                </c:pt>
                <c:pt idx="128" formatCode="General">
                  <c:v>0.10112438269042429</c:v>
                </c:pt>
                <c:pt idx="129" formatCode="General">
                  <c:v>0.10101710191824986</c:v>
                </c:pt>
                <c:pt idx="130" formatCode="General">
                  <c:v>0.10093442348270865</c:v>
                </c:pt>
                <c:pt idx="131" formatCode="General">
                  <c:v>0.10086825676662986</c:v>
                </c:pt>
                <c:pt idx="132" formatCode="General">
                  <c:v>0.10081379364061432</c:v>
                </c:pt>
                <c:pt idx="133" formatCode="General">
                  <c:v>0.10076797604540859</c:v>
                </c:pt>
              </c:numCache>
            </c:numRef>
          </c:xVal>
          <c:yVal>
            <c:numRef>
              <c:f>SWR_UTU07!$M$14:$M$147</c:f>
              <c:numCache>
                <c:formatCode>0.00E+00</c:formatCode>
                <c:ptCount val="134"/>
                <c:pt idx="0">
                  <c:v>3.2603430647346172E-5</c:v>
                </c:pt>
                <c:pt idx="1">
                  <c:v>2.654664701670434E-5</c:v>
                </c:pt>
                <c:pt idx="2">
                  <c:v>1.8994177827112988E-5</c:v>
                </c:pt>
                <c:pt idx="3">
                  <c:v>1.6355470008461216E-5</c:v>
                </c:pt>
                <c:pt idx="4">
                  <c:v>1.4186485410499669E-5</c:v>
                </c:pt>
                <c:pt idx="5">
                  <c:v>1.0848643795584661E-5</c:v>
                </c:pt>
                <c:pt idx="6">
                  <c:v>8.4369111575732128E-6</c:v>
                </c:pt>
                <c:pt idx="7">
                  <c:v>7.4794153421890288E-6</c:v>
                </c:pt>
                <c:pt idx="8">
                  <c:v>5.9326724306602208E-6</c:v>
                </c:pt>
                <c:pt idx="9">
                  <c:v>4.7587578182473761E-6</c:v>
                </c:pt>
                <c:pt idx="10">
                  <c:v>3.8561572264322529E-6</c:v>
                </c:pt>
                <c:pt idx="11">
                  <c:v>3.1541828827733294E-6</c:v>
                </c:pt>
                <c:pt idx="12">
                  <c:v>2.6025432503799307E-6</c:v>
                </c:pt>
                <c:pt idx="13">
                  <c:v>2.1648656274424059E-6</c:v>
                </c:pt>
                <c:pt idx="14">
                  <c:v>1.814486764369364E-6</c:v>
                </c:pt>
                <c:pt idx="15">
                  <c:v>1.5316311799885611E-6</c:v>
                </c:pt>
                <c:pt idx="16">
                  <c:v>1.2025447487909869E-6</c:v>
                </c:pt>
                <c:pt idx="17">
                  <c:v>5.8824623216007772E-7</c:v>
                </c:pt>
                <c:pt idx="18">
                  <c:v>3.2170890825157508E-7</c:v>
                </c:pt>
                <c:pt idx="19">
                  <c:v>1.9132891727017614E-7</c:v>
                </c:pt>
                <c:pt idx="20">
                  <c:v>1.2138703598481185E-7</c:v>
                </c:pt>
                <c:pt idx="21">
                  <c:v>8.1045605948535704E-8</c:v>
                </c:pt>
                <c:pt idx="22">
                  <c:v>5.6384559149941653E-8</c:v>
                </c:pt>
                <c:pt idx="23">
                  <c:v>4.0576126079830783E-8</c:v>
                </c:pt>
                <c:pt idx="24">
                  <c:v>1.1097032637745339E-8</c:v>
                </c:pt>
                <c:pt idx="25">
                  <c:v>4.3329309284622494E-9</c:v>
                </c:pt>
                <c:pt idx="26">
                  <c:v>2.0734661387673119E-9</c:v>
                </c:pt>
                <c:pt idx="27">
                  <c:v>1.1314989031393586E-9</c:v>
                </c:pt>
                <c:pt idx="28">
                  <c:v>6.767854068865471E-10</c:v>
                </c:pt>
                <c:pt idx="29">
                  <c:v>4.3314546201637071E-10</c:v>
                </c:pt>
                <c:pt idx="30">
                  <c:v>2.0511278259016852E-10</c:v>
                </c:pt>
                <c:pt idx="31">
                  <c:v>1.1122634569196275E-10</c:v>
                </c:pt>
                <c:pt idx="32">
                  <c:v>6.6253454091944441E-11</c:v>
                </c:pt>
                <c:pt idx="33">
                  <c:v>4.2280674949364259E-11</c:v>
                </c:pt>
                <c:pt idx="34">
                  <c:v>2.8443216480954693E-11</c:v>
                </c:pt>
                <c:pt idx="35">
                  <c:v>2.3709443839147938E-11</c:v>
                </c:pt>
                <c:pt idx="36">
                  <c:v>1.9948299348248818E-11</c:v>
                </c:pt>
                <c:pt idx="37">
                  <c:v>1.6925414615085137E-11</c:v>
                </c:pt>
                <c:pt idx="38">
                  <c:v>1.4470494656395346E-11</c:v>
                </c:pt>
                <c:pt idx="39">
                  <c:v>1.2457895832020003E-11</c:v>
                </c:pt>
                <c:pt idx="40">
                  <c:v>1.0793622595362959E-11</c:v>
                </c:pt>
                <c:pt idx="41">
                  <c:v>9.4064594553372839E-12</c:v>
                </c:pt>
                <c:pt idx="42">
                  <c:v>8.2418204505629444E-12</c:v>
                </c:pt>
                <c:pt idx="43">
                  <c:v>7.2574171669561415E-12</c:v>
                </c:pt>
                <c:pt idx="44">
                  <c:v>6.4201641164884019E-12</c:v>
                </c:pt>
                <c:pt idx="45">
                  <c:v>5.7039390093223346E-12</c:v>
                </c:pt>
                <c:pt idx="46">
                  <c:v>5.0879420705943381E-12</c:v>
                </c:pt>
                <c:pt idx="47">
                  <c:v>4.5554806463800018E-12</c:v>
                </c:pt>
                <c:pt idx="48">
                  <c:v>4.093059430313557E-12</c:v>
                </c:pt>
                <c:pt idx="49">
                  <c:v>3.6896928119016235E-12</c:v>
                </c:pt>
                <c:pt idx="50">
                  <c:v>3.3363803733977626E-12</c:v>
                </c:pt>
                <c:pt idx="51">
                  <c:v>3.0257034086078647E-12</c:v>
                </c:pt>
                <c:pt idx="52">
                  <c:v>2.7515120497571827E-12</c:v>
                </c:pt>
                <c:pt idx="53">
                  <c:v>2.5086808246200695E-12</c:v>
                </c:pt>
                <c:pt idx="54">
                  <c:v>2.2929163196180525E-12</c:v>
                </c:pt>
                <c:pt idx="55">
                  <c:v>2.1006048264254496E-12</c:v>
                </c:pt>
                <c:pt idx="56">
                  <c:v>1.9286908947342454E-12</c:v>
                </c:pt>
                <c:pt idx="57">
                  <c:v>1.7745799400856118E-12</c:v>
                </c:pt>
                <c:pt idx="58">
                  <c:v>1.6360596973481957E-12</c:v>
                </c:pt>
                <c:pt idx="59">
                  <c:v>1.5112365305374656E-12</c:v>
                </c:pt>
                <c:pt idx="60">
                  <c:v>1.398483523436221E-12</c:v>
                </c:pt>
                <c:pt idx="61">
                  <c:v>1.2963979647871855E-12</c:v>
                </c:pt>
                <c:pt idx="62">
                  <c:v>1.2037663653171992E-12</c:v>
                </c:pt>
                <c:pt idx="63">
                  <c:v>1.1195355440782634E-12</c:v>
                </c:pt>
                <c:pt idx="64">
                  <c:v>1.0427886294772337E-12</c:v>
                </c:pt>
                <c:pt idx="65">
                  <c:v>9.7272505854323022E-13</c:v>
                </c:pt>
                <c:pt idx="66">
                  <c:v>9.0864384344343139E-13</c:v>
                </c:pt>
                <c:pt idx="67">
                  <c:v>8.4992951927282845E-13</c:v>
                </c:pt>
                <c:pt idx="68">
                  <c:v>7.9604030128402723E-13</c:v>
                </c:pt>
                <c:pt idx="69">
                  <c:v>7.4649806987301269E-13</c:v>
                </c:pt>
                <c:pt idx="70">
                  <c:v>7.0087987331685443E-13</c:v>
                </c:pt>
                <c:pt idx="71">
                  <c:v>6.588106953759079E-13</c:v>
                </c:pt>
                <c:pt idx="72">
                  <c:v>6.1995728070425049E-13</c:v>
                </c:pt>
                <c:pt idx="73">
                  <c:v>5.8402284786072635E-13</c:v>
                </c:pt>
                <c:pt idx="74">
                  <c:v>5.5074254953265981E-13</c:v>
                </c:pt>
                <c:pt idx="75">
                  <c:v>5.1987956370551058E-13</c:v>
                </c:pt>
                <c:pt idx="76">
                  <c:v>4.9122171925543137E-13</c:v>
                </c:pt>
                <c:pt idx="77">
                  <c:v>4.6457857547088388E-13</c:v>
                </c:pt>
                <c:pt idx="78">
                  <c:v>4.3977888825303883E-13</c:v>
                </c:pt>
                <c:pt idx="79">
                  <c:v>4.1666840656550576E-13</c:v>
                </c:pt>
                <c:pt idx="80">
                  <c:v>3.9510795170637959E-13</c:v>
                </c:pt>
                <c:pt idx="81">
                  <c:v>3.7497173937103848E-13</c:v>
                </c:pt>
                <c:pt idx="82">
                  <c:v>3.5614591067789687E-13</c:v>
                </c:pt>
                <c:pt idx="83">
                  <c:v>3.3852724344085301E-13</c:v>
                </c:pt>
                <c:pt idx="84">
                  <c:v>3.2202201930578215E-13</c:v>
                </c:pt>
                <c:pt idx="85">
                  <c:v>3.065450259371877E-13</c:v>
                </c:pt>
                <c:pt idx="86">
                  <c:v>2.9201867649501207E-13</c:v>
                </c:pt>
                <c:pt idx="87">
                  <c:v>2.7837223118276449E-13</c:v>
                </c:pt>
                <c:pt idx="88">
                  <c:v>2.6554110779895207E-13</c:v>
                </c:pt>
                <c:pt idx="89">
                  <c:v>2.5346627006006087E-13</c:v>
                </c:pt>
                <c:pt idx="90">
                  <c:v>2.4209368400155702E-13</c:v>
                </c:pt>
                <c:pt idx="91">
                  <c:v>2.313738340906243E-13</c:v>
                </c:pt>
                <c:pt idx="92">
                  <c:v>2.2126129180150914E-13</c:v>
                </c:pt>
                <c:pt idx="93">
                  <c:v>2.1171433036704585E-13</c:v>
                </c:pt>
                <c:pt idx="94">
                  <c:v>2.0269458024942611E-13</c:v>
                </c:pt>
                <c:pt idx="95">
                  <c:v>1.9416672056491569E-13</c:v>
                </c:pt>
                <c:pt idx="96">
                  <c:v>1.860982023218919E-13</c:v>
                </c:pt>
                <c:pt idx="97">
                  <c:v>1.7845899983984165E-13</c:v>
                </c:pt>
                <c:pt idx="98">
                  <c:v>1.71221387179519E-13</c:v>
                </c:pt>
                <c:pt idx="99">
                  <c:v>1.6435973679890442E-13</c:v>
                </c:pt>
                <c:pt idx="100">
                  <c:v>1.5785033799209809E-13</c:v>
                </c:pt>
                <c:pt idx="101">
                  <c:v>1.5167123295875893E-13</c:v>
                </c:pt>
                <c:pt idx="102">
                  <c:v>1.4580206861254557E-13</c:v>
                </c:pt>
                <c:pt idx="103">
                  <c:v>1.4022396245236355E-13</c:v>
                </c:pt>
                <c:pt idx="104">
                  <c:v>1.3491938102387888E-13</c:v>
                </c:pt>
                <c:pt idx="105">
                  <c:v>1.2987202966000671E-13</c:v>
                </c:pt>
                <c:pt idx="106">
                  <c:v>1.2506675234073805E-13</c:v>
                </c:pt>
                <c:pt idx="107">
                  <c:v>1.2048944064867174E-13</c:v>
                </c:pt>
                <c:pt idx="108">
                  <c:v>1.1612695089990373E-13</c:v>
                </c:pt>
                <c:pt idx="109">
                  <c:v>1.1196702864055191E-13</c:v>
                </c:pt>
                <c:pt idx="110">
                  <c:v>1.0799823978357209E-13</c:v>
                </c:pt>
                <c:pt idx="111">
                  <c:v>1.0420990773737052E-13</c:v>
                </c:pt>
                <c:pt idx="112">
                  <c:v>1.0059205595032693E-13</c:v>
                </c:pt>
                <c:pt idx="113">
                  <c:v>9.7135355352829033E-14</c:v>
                </c:pt>
                <c:pt idx="114">
                  <c:v>9.3831076236125656E-14</c:v>
                </c:pt>
                <c:pt idx="115">
                  <c:v>8.4503361406327018E-15</c:v>
                </c:pt>
                <c:pt idx="116">
                  <c:v>8.1458308140383473E-16</c:v>
                </c:pt>
                <c:pt idx="117">
                  <c:v>2.0731775350688507E-16</c:v>
                </c:pt>
                <c:pt idx="118">
                  <c:v>7.8518501735463661E-17</c:v>
                </c:pt>
                <c:pt idx="119">
                  <c:v>3.6974529749540833E-17</c:v>
                </c:pt>
                <c:pt idx="120">
                  <c:v>1.9983295710012272E-17</c:v>
                </c:pt>
                <c:pt idx="121">
                  <c:v>1.1877429349491698E-17</c:v>
                </c:pt>
                <c:pt idx="122">
                  <c:v>7.5683317073383278E-18</c:v>
                </c:pt>
                <c:pt idx="123">
                  <c:v>5.0858175357641349E-18</c:v>
                </c:pt>
                <c:pt idx="124">
                  <c:v>3.5639329925343938E-18</c:v>
                </c:pt>
                <c:pt idx="125">
                  <c:v>3.435218417889192E-19</c:v>
                </c:pt>
                <c:pt idx="126">
                  <c:v>8.7427208752832892E-20</c:v>
                </c:pt>
                <c:pt idx="127">
                  <c:v>3.3111471591525594E-20</c:v>
                </c:pt>
                <c:pt idx="128">
                  <c:v>1.5592194478018835E-20</c:v>
                </c:pt>
                <c:pt idx="129">
                  <c:v>8.4269529581823341E-21</c:v>
                </c:pt>
                <c:pt idx="130">
                  <c:v>5.0087018114589495E-21</c:v>
                </c:pt>
                <c:pt idx="131">
                  <c:v>3.1915552667984386E-21</c:v>
                </c:pt>
                <c:pt idx="132">
                  <c:v>2.1446805714123909E-21</c:v>
                </c:pt>
                <c:pt idx="133">
                  <c:v>1.5029034943044927E-21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2CE-40AB-824B-32F8A19A5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480412712"/>
        <c:scaling>
          <c:orientation val="minMax"/>
          <c:max val="0.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Volumetric water content</a:t>
                </a:r>
              </a:p>
            </c:rich>
          </c:tx>
          <c:layout>
            <c:manualLayout>
              <c:xMode val="edge"/>
              <c:yMode val="edge"/>
              <c:x val="0.35504200621210558"/>
              <c:y val="0.884237513789037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.1"/>
        <c:crossBetween val="midCat"/>
        <c:minorUnit val="0.02"/>
      </c:valAx>
      <c:valAx>
        <c:axId val="1"/>
        <c:scaling>
          <c:logBase val="10"/>
          <c:orientation val="minMax"/>
          <c:max val="100000"/>
          <c:min val="0.1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Matric suction (kPa)</a:t>
                </a:r>
              </a:p>
            </c:rich>
          </c:tx>
          <c:layout>
            <c:manualLayout>
              <c:xMode val="edge"/>
              <c:yMode val="edge"/>
              <c:x val="3.2751091703056769E-2"/>
              <c:y val="0.35265776560538631"/>
            </c:manualLayout>
          </c:layout>
          <c:overlay val="0"/>
          <c:spPr>
            <a:noFill/>
            <a:ln w="25400">
              <a:noFill/>
            </a:ln>
          </c:spPr>
        </c:title>
        <c:numFmt formatCode="0E+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412712"/>
        <c:crosses val="autoZero"/>
        <c:crossBetween val="midCat"/>
        <c:minorUnit val="10"/>
      </c:valAx>
      <c:val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logBase val="10"/>
          <c:orientation val="minMax"/>
          <c:max val="0.01"/>
          <c:min val="9.9999999999999995E-8"/>
        </c:scaling>
        <c:delete val="0"/>
        <c:axPos val="r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Conductivity k (cm/s)</a:t>
                </a:r>
              </a:p>
            </c:rich>
          </c:tx>
          <c:layout>
            <c:manualLayout>
              <c:xMode val="edge"/>
              <c:yMode val="edge"/>
              <c:x val="0.92358078602620086"/>
              <c:y val="0.28502491536384039"/>
            </c:manualLayout>
          </c:layout>
          <c:overlay val="0"/>
          <c:spPr>
            <a:noFill/>
            <a:ln w="25400">
              <a:noFill/>
            </a:ln>
          </c:spPr>
        </c:title>
        <c:numFmt formatCode="0.0E+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10"/>
        <c:minorUnit val="1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1528384279475981"/>
          <c:y val="6.5217644895837298E-2"/>
          <c:w val="0.29694323144104806"/>
          <c:h val="0.1312404427707406"/>
        </c:manualLayout>
      </c:layout>
      <c:overlay val="0"/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03056768558952"/>
          <c:y val="6.2802080507624994E-2"/>
          <c:w val="0.64410480349344978"/>
          <c:h val="0.74879403682168255"/>
        </c:manualLayout>
      </c:layout>
      <c:scatterChart>
        <c:scatterStyle val="lineMarker"/>
        <c:varyColors val="0"/>
        <c:ser>
          <c:idx val="1"/>
          <c:order val="0"/>
          <c:tx>
            <c:v>Drying</c:v>
          </c:tx>
          <c:spPr>
            <a:ln w="25400">
              <a:solidFill>
                <a:srgbClr val="FF0000"/>
              </a:solidFill>
              <a:prstDash val="lgDashDotDot"/>
            </a:ln>
          </c:spPr>
          <c:marker>
            <c:symbol val="none"/>
          </c:marker>
          <c:xVal>
            <c:numRef>
              <c:f>SWR_UTU035!$C$14:$C$154</c:f>
              <c:numCache>
                <c:formatCode>General</c:formatCode>
                <c:ptCount val="141"/>
                <c:pt idx="0">
                  <c:v>0.40753448584340002</c:v>
                </c:pt>
                <c:pt idx="1">
                  <c:v>0.40335458642704047</c:v>
                </c:pt>
                <c:pt idx="2">
                  <c:v>0.39285355536899846</c:v>
                </c:pt>
                <c:pt idx="3">
                  <c:v>0.3871330694666012</c:v>
                </c:pt>
                <c:pt idx="4">
                  <c:v>0.38132804893200245</c:v>
                </c:pt>
                <c:pt idx="5">
                  <c:v>0.36984389816864216</c:v>
                </c:pt>
                <c:pt idx="6">
                  <c:v>0.35888076800307778</c:v>
                </c:pt>
                <c:pt idx="7">
                  <c:v>0.35366219291331535</c:v>
                </c:pt>
                <c:pt idx="8">
                  <c:v>0.34379847517461126</c:v>
                </c:pt>
                <c:pt idx="9">
                  <c:v>0.33470087317930503</c:v>
                </c:pt>
                <c:pt idx="10">
                  <c:v>0.32633366205957637</c:v>
                </c:pt>
                <c:pt idx="11">
                  <c:v>0.31864115907777457</c:v>
                </c:pt>
                <c:pt idx="12">
                  <c:v>0.31156167457018458</c:v>
                </c:pt>
                <c:pt idx="13">
                  <c:v>0.30503439544884087</c:v>
                </c:pt>
                <c:pt idx="14">
                  <c:v>0.29900254808926519</c:v>
                </c:pt>
                <c:pt idx="15">
                  <c:v>0.29341462369408611</c:v>
                </c:pt>
                <c:pt idx="16">
                  <c:v>0.28576590998225071</c:v>
                </c:pt>
                <c:pt idx="17">
                  <c:v>0.26519615857809542</c:v>
                </c:pt>
                <c:pt idx="18">
                  <c:v>0.24988972460647801</c:v>
                </c:pt>
                <c:pt idx="19">
                  <c:v>0.23798021662862665</c:v>
                </c:pt>
                <c:pt idx="20">
                  <c:v>0.22839244770255226</c:v>
                </c:pt>
                <c:pt idx="21">
                  <c:v>0.2204670322106683</c:v>
                </c:pt>
                <c:pt idx="22">
                  <c:v>0.21377712756994965</c:v>
                </c:pt>
                <c:pt idx="23">
                  <c:v>0.20803373502536521</c:v>
                </c:pt>
                <c:pt idx="24">
                  <c:v>0.20303376101836468</c:v>
                </c:pt>
                <c:pt idx="25">
                  <c:v>0.19471277062577386</c:v>
                </c:pt>
                <c:pt idx="26">
                  <c:v>0.18802316560541624</c:v>
                </c:pt>
                <c:pt idx="27">
                  <c:v>0.1824930857261306</c:v>
                </c:pt>
                <c:pt idx="28">
                  <c:v>0.17574223874483791</c:v>
                </c:pt>
                <c:pt idx="29">
                  <c:v>0.17030811443634786</c:v>
                </c:pt>
                <c:pt idx="30">
                  <c:v>0.16581060073634613</c:v>
                </c:pt>
                <c:pt idx="31">
                  <c:v>0.16200739153199406</c:v>
                </c:pt>
                <c:pt idx="32">
                  <c:v>0.15873578554719298</c:v>
                </c:pt>
                <c:pt idx="33">
                  <c:v>0.1558819429207764</c:v>
                </c:pt>
                <c:pt idx="34">
                  <c:v>0.15336350460958653</c:v>
                </c:pt>
                <c:pt idx="35">
                  <c:v>0.15258750299075324</c:v>
                </c:pt>
                <c:pt idx="36">
                  <c:v>0.15183997643463049</c:v>
                </c:pt>
                <c:pt idx="37">
                  <c:v>0.14561416138126165</c:v>
                </c:pt>
                <c:pt idx="38">
                  <c:v>0.14098205880715184</c:v>
                </c:pt>
                <c:pt idx="39">
                  <c:v>0.13735966518857962</c:v>
                </c:pt>
                <c:pt idx="40">
                  <c:v>0.13315146127177829</c:v>
                </c:pt>
                <c:pt idx="41">
                  <c:v>0.13198338393697565</c:v>
                </c:pt>
                <c:pt idx="42">
                  <c:v>0.13090677060850184</c:v>
                </c:pt>
                <c:pt idx="43">
                  <c:v>0.12991019916013472</c:v>
                </c:pt>
                <c:pt idx="44">
                  <c:v>0.12898415453242229</c:v>
                </c:pt>
                <c:pt idx="45">
                  <c:v>0.12812063745556396</c:v>
                </c:pt>
                <c:pt idx="46">
                  <c:v>0.12731286708789216</c:v>
                </c:pt>
                <c:pt idx="47">
                  <c:v>0.12655505203044115</c:v>
                </c:pt>
                <c:pt idx="48">
                  <c:v>0.12584221187268863</c:v>
                </c:pt>
                <c:pt idx="49">
                  <c:v>0.12517003659265555</c:v>
                </c:pt>
                <c:pt idx="50">
                  <c:v>0.1245347746689959</c:v>
                </c:pt>
                <c:pt idx="51">
                  <c:v>0.12393314322006552</c:v>
                </c:pt>
                <c:pt idx="52">
                  <c:v>0.12336225521944555</c:v>
                </c:pt>
                <c:pt idx="53">
                  <c:v>0.12281956007877118</c:v>
                </c:pt>
                <c:pt idx="54">
                  <c:v>0.12230279478862038</c:v>
                </c:pt>
                <c:pt idx="55">
                  <c:v>0.12180994346836471</c:v>
                </c:pt>
                <c:pt idx="56">
                  <c:v>0.12133920366550809</c:v>
                </c:pt>
                <c:pt idx="57">
                  <c:v>0.12088895811193365</c:v>
                </c:pt>
                <c:pt idx="58">
                  <c:v>0.120457750922043</c:v>
                </c:pt>
                <c:pt idx="59">
                  <c:v>0.12004426742964795</c:v>
                </c:pt>
                <c:pt idx="60">
                  <c:v>0.11964731702356839</c:v>
                </c:pt>
                <c:pt idx="61">
                  <c:v>0.11926581846842445</c:v>
                </c:pt>
                <c:pt idx="62">
                  <c:v>0.1188987872960168</c:v>
                </c:pt>
                <c:pt idx="63">
                  <c:v>0.11854532493053582</c:v>
                </c:pt>
                <c:pt idx="64">
                  <c:v>0.1182046092725228</c:v>
                </c:pt>
                <c:pt idx="65">
                  <c:v>0.11787588651568527</c:v>
                </c:pt>
                <c:pt idx="66">
                  <c:v>0.11755846401011</c:v>
                </c:pt>
                <c:pt idx="67">
                  <c:v>0.11725170401723155</c:v>
                </c:pt>
                <c:pt idx="68">
                  <c:v>0.11695501822770903</c:v>
                </c:pt>
                <c:pt idx="69">
                  <c:v>0.11666786293438774</c:v>
                </c:pt>
                <c:pt idx="70">
                  <c:v>0.11638973476973966</c:v>
                </c:pt>
                <c:pt idx="71">
                  <c:v>0.11612016693134233</c:v>
                </c:pt>
                <c:pt idx="72">
                  <c:v>0.11585872583066117</c:v>
                </c:pt>
                <c:pt idx="73">
                  <c:v>0.11560500811011463</c:v>
                </c:pt>
                <c:pt idx="74">
                  <c:v>0.11535863798149583</c:v>
                </c:pt>
                <c:pt idx="75">
                  <c:v>0.11511926484559348</c:v>
                </c:pt>
                <c:pt idx="76">
                  <c:v>0.1148865611585396</c:v>
                </c:pt>
                <c:pt idx="77">
                  <c:v>0.1146602205151986</c:v>
                </c:pt>
                <c:pt idx="78">
                  <c:v>0.11443995592396213</c:v>
                </c:pt>
                <c:pt idx="79">
                  <c:v>0.11422549825074535</c:v>
                </c:pt>
                <c:pt idx="80">
                  <c:v>0.1140165948129036</c:v>
                </c:pt>
                <c:pt idx="81">
                  <c:v>0.11381300810627976</c:v>
                </c:pt>
                <c:pt idx="82">
                  <c:v>0.11361451465072721</c:v>
                </c:pt>
                <c:pt idx="83">
                  <c:v>0.11342090394128473</c:v>
                </c:pt>
                <c:pt idx="84">
                  <c:v>0.11323197749375516</c:v>
                </c:pt>
                <c:pt idx="85">
                  <c:v>0.1130475479748007</c:v>
                </c:pt>
                <c:pt idx="86">
                  <c:v>0.11286743840784347</c:v>
                </c:pt>
                <c:pt idx="87">
                  <c:v>0.11269148144708066</c:v>
                </c:pt>
                <c:pt idx="88">
                  <c:v>0.11251951871281074</c:v>
                </c:pt>
                <c:pt idx="89">
                  <c:v>0.11235140018203926</c:v>
                </c:pt>
                <c:pt idx="90">
                  <c:v>0.112186983629008</c:v>
                </c:pt>
                <c:pt idx="91">
                  <c:v>0.11202613411088155</c:v>
                </c:pt>
                <c:pt idx="92">
                  <c:v>0.11186872349434282</c:v>
                </c:pt>
                <c:pt idx="93">
                  <c:v>0.11171463001930382</c:v>
                </c:pt>
                <c:pt idx="94">
                  <c:v>0.11156373789633903</c:v>
                </c:pt>
                <c:pt idx="95">
                  <c:v>0.11141593693480087</c:v>
                </c:pt>
                <c:pt idx="96">
                  <c:v>0.11127112219888964</c:v>
                </c:pt>
                <c:pt idx="97">
                  <c:v>0.11112919368922615</c:v>
                </c:pt>
                <c:pt idx="98">
                  <c:v>0.11099005604772019</c:v>
                </c:pt>
                <c:pt idx="99">
                  <c:v>0.11085361828374568</c:v>
                </c:pt>
                <c:pt idx="100">
                  <c:v>0.11071979351982694</c:v>
                </c:pt>
                <c:pt idx="101">
                  <c:v>0.11058849875521261</c:v>
                </c:pt>
                <c:pt idx="102">
                  <c:v>0.11045965464586815</c:v>
                </c:pt>
                <c:pt idx="103">
                  <c:v>0.1103331852995553</c:v>
                </c:pt>
                <c:pt idx="104">
                  <c:v>0.11020901808478963</c:v>
                </c:pt>
                <c:pt idx="105">
                  <c:v>0.11008708345257856</c:v>
                </c:pt>
                <c:pt idx="106">
                  <c:v>0.10996731476994041</c:v>
                </c:pt>
                <c:pt idx="107">
                  <c:v>0.10984964816429479</c:v>
                </c:pt>
                <c:pt idx="108">
                  <c:v>0.1097340223778943</c:v>
                </c:pt>
                <c:pt idx="109">
                  <c:v>0.10962037863154055</c:v>
                </c:pt>
                <c:pt idx="110">
                  <c:v>0.10950866049689165</c:v>
                </c:pt>
                <c:pt idx="111">
                  <c:v>0.10939881377672821</c:v>
                </c:pt>
                <c:pt idx="112">
                  <c:v>0.10929078639259765</c:v>
                </c:pt>
                <c:pt idx="113">
                  <c:v>0.10918452827930512</c:v>
                </c:pt>
                <c:pt idx="114">
                  <c:v>0.10907999128576273</c:v>
                </c:pt>
                <c:pt idx="115">
                  <c:v>0.10897712908174917</c:v>
                </c:pt>
                <c:pt idx="116">
                  <c:v>0.10887589707016727</c:v>
                </c:pt>
                <c:pt idx="117">
                  <c:v>0.10877625230442019</c:v>
                </c:pt>
                <c:pt idx="118">
                  <c:v>0.10867815341055687</c:v>
                </c:pt>
                <c:pt idx="119">
                  <c:v>0.10858156051386428</c:v>
                </c:pt>
                <c:pt idx="120">
                  <c:v>0.10848643516960954</c:v>
                </c:pt>
                <c:pt idx="121">
                  <c:v>0.10839274029765682</c:v>
                </c:pt>
                <c:pt idx="122">
                  <c:v>0.10286900291344968</c:v>
                </c:pt>
                <c:pt idx="123">
                  <c:v>9.9013039593584831E-2</c:v>
                </c:pt>
                <c:pt idx="124">
                  <c:v>9.7275690822989272E-2</c:v>
                </c:pt>
                <c:pt idx="125">
                  <c:v>9.6229088897343926E-2</c:v>
                </c:pt>
                <c:pt idx="126">
                  <c:v>9.5509327650545428E-2</c:v>
                </c:pt>
                <c:pt idx="127">
                  <c:v>9.4974768909164162E-2</c:v>
                </c:pt>
                <c:pt idx="128">
                  <c:v>9.4557202602732648E-2</c:v>
                </c:pt>
                <c:pt idx="129">
                  <c:v>9.4219153762431881E-2</c:v>
                </c:pt>
                <c:pt idx="130">
                  <c:v>9.3938083876238851E-2</c:v>
                </c:pt>
                <c:pt idx="131">
                  <c:v>9.3699508986534563E-2</c:v>
                </c:pt>
                <c:pt idx="132">
                  <c:v>9.2392880383722287E-2</c:v>
                </c:pt>
                <c:pt idx="133">
                  <c:v>9.1804178778069234E-2</c:v>
                </c:pt>
                <c:pt idx="134">
                  <c:v>9.1449539852100151E-2</c:v>
                </c:pt>
                <c:pt idx="135">
                  <c:v>9.1205651088738307E-2</c:v>
                </c:pt>
                <c:pt idx="136">
                  <c:v>9.1024517954117576E-2</c:v>
                </c:pt>
                <c:pt idx="137">
                  <c:v>9.0883027424580098E-2</c:v>
                </c:pt>
                <c:pt idx="138">
                  <c:v>9.0768481140185125E-2</c:v>
                </c:pt>
                <c:pt idx="139">
                  <c:v>9.0673241968293572E-2</c:v>
                </c:pt>
                <c:pt idx="140">
                  <c:v>9.0592402056970514E-2</c:v>
                </c:pt>
              </c:numCache>
            </c:numRef>
          </c:xVal>
          <c:yVal>
            <c:numRef>
              <c:f>SWR_UTU035!$B$14:$B$154</c:f>
              <c:numCache>
                <c:formatCode>General</c:formatCode>
                <c:ptCount val="141"/>
                <c:pt idx="0">
                  <c:v>9.8966999999999999E-2</c:v>
                </c:pt>
                <c:pt idx="1">
                  <c:v>0.197934</c:v>
                </c:pt>
                <c:pt idx="2">
                  <c:v>0.395868</c:v>
                </c:pt>
                <c:pt idx="3">
                  <c:v>0.49483500000000002</c:v>
                </c:pt>
                <c:pt idx="4">
                  <c:v>0.59380199999999994</c:v>
                </c:pt>
                <c:pt idx="5">
                  <c:v>0.791736</c:v>
                </c:pt>
                <c:pt idx="6">
                  <c:v>0.98967000000000005</c:v>
                </c:pt>
                <c:pt idx="7">
                  <c:v>1.0886370000000001</c:v>
                </c:pt>
                <c:pt idx="8">
                  <c:v>1.2865709999999999</c:v>
                </c:pt>
                <c:pt idx="9">
                  <c:v>1.484505</c:v>
                </c:pt>
                <c:pt idx="10">
                  <c:v>1.682439</c:v>
                </c:pt>
                <c:pt idx="11">
                  <c:v>1.8803730000000001</c:v>
                </c:pt>
                <c:pt idx="12">
                  <c:v>2.0783070000000001</c:v>
                </c:pt>
                <c:pt idx="13">
                  <c:v>2.2762410000000002</c:v>
                </c:pt>
                <c:pt idx="14">
                  <c:v>2.4741749999999998</c:v>
                </c:pt>
                <c:pt idx="15">
                  <c:v>2.6721089999999998</c:v>
                </c:pt>
                <c:pt idx="16">
                  <c:v>2.9690099999999999</c:v>
                </c:pt>
                <c:pt idx="17">
                  <c:v>3.9586800000000002</c:v>
                </c:pt>
                <c:pt idx="18">
                  <c:v>4.9483499999999996</c:v>
                </c:pt>
                <c:pt idx="19">
                  <c:v>5.9380199999999999</c:v>
                </c:pt>
                <c:pt idx="20">
                  <c:v>6.9276900000000001</c:v>
                </c:pt>
                <c:pt idx="21">
                  <c:v>7.9173600000000004</c:v>
                </c:pt>
                <c:pt idx="22">
                  <c:v>8.9070300000000007</c:v>
                </c:pt>
                <c:pt idx="23">
                  <c:v>9.8966999999999992</c:v>
                </c:pt>
                <c:pt idx="24">
                  <c:v>10.886369999999999</c:v>
                </c:pt>
                <c:pt idx="25">
                  <c:v>12.86571</c:v>
                </c:pt>
                <c:pt idx="26">
                  <c:v>14.845050000000001</c:v>
                </c:pt>
                <c:pt idx="27">
                  <c:v>16.824390000000001</c:v>
                </c:pt>
                <c:pt idx="28">
                  <c:v>19.793399999999998</c:v>
                </c:pt>
                <c:pt idx="29">
                  <c:v>22.762409999999999</c:v>
                </c:pt>
                <c:pt idx="30">
                  <c:v>25.73142</c:v>
                </c:pt>
                <c:pt idx="31">
                  <c:v>28.700430000000001</c:v>
                </c:pt>
                <c:pt idx="32">
                  <c:v>31.669440000000002</c:v>
                </c:pt>
                <c:pt idx="33">
                  <c:v>34.638449999999999</c:v>
                </c:pt>
                <c:pt idx="34">
                  <c:v>37.607460000000003</c:v>
                </c:pt>
                <c:pt idx="35">
                  <c:v>38.59713</c:v>
                </c:pt>
                <c:pt idx="36">
                  <c:v>39.586799999999997</c:v>
                </c:pt>
                <c:pt idx="37">
                  <c:v>49.483499999999999</c:v>
                </c:pt>
                <c:pt idx="38">
                  <c:v>59.380200000000002</c:v>
                </c:pt>
                <c:pt idx="39">
                  <c:v>69.276899999999998</c:v>
                </c:pt>
                <c:pt idx="40">
                  <c:v>84.121949999999998</c:v>
                </c:pt>
                <c:pt idx="41">
                  <c:v>89.070300000000003</c:v>
                </c:pt>
                <c:pt idx="42">
                  <c:v>94.018649999999994</c:v>
                </c:pt>
                <c:pt idx="43">
                  <c:v>98.966999999999999</c:v>
                </c:pt>
                <c:pt idx="44">
                  <c:v>103.91535</c:v>
                </c:pt>
                <c:pt idx="45">
                  <c:v>108.86369999999999</c:v>
                </c:pt>
                <c:pt idx="46">
                  <c:v>113.81205</c:v>
                </c:pt>
                <c:pt idx="47">
                  <c:v>118.7604</c:v>
                </c:pt>
                <c:pt idx="48">
                  <c:v>123.70874999999999</c:v>
                </c:pt>
                <c:pt idx="49">
                  <c:v>128.65709999999999</c:v>
                </c:pt>
                <c:pt idx="50">
                  <c:v>133.60544999999999</c:v>
                </c:pt>
                <c:pt idx="51">
                  <c:v>138.5538</c:v>
                </c:pt>
                <c:pt idx="52">
                  <c:v>143.50215</c:v>
                </c:pt>
                <c:pt idx="53">
                  <c:v>148.45050000000001</c:v>
                </c:pt>
                <c:pt idx="54">
                  <c:v>153.39885000000001</c:v>
                </c:pt>
                <c:pt idx="55">
                  <c:v>158.34719999999999</c:v>
                </c:pt>
                <c:pt idx="56">
                  <c:v>163.29554999999999</c:v>
                </c:pt>
                <c:pt idx="57">
                  <c:v>168.2439</c:v>
                </c:pt>
                <c:pt idx="58">
                  <c:v>173.19225</c:v>
                </c:pt>
                <c:pt idx="59">
                  <c:v>178.14060000000001</c:v>
                </c:pt>
                <c:pt idx="60">
                  <c:v>183.08895000000001</c:v>
                </c:pt>
                <c:pt idx="61">
                  <c:v>188.03729999999999</c:v>
                </c:pt>
                <c:pt idx="62">
                  <c:v>192.98564999999999</c:v>
                </c:pt>
                <c:pt idx="63">
                  <c:v>197.934</c:v>
                </c:pt>
                <c:pt idx="64">
                  <c:v>202.88235</c:v>
                </c:pt>
                <c:pt idx="65">
                  <c:v>207.83070000000001</c:v>
                </c:pt>
                <c:pt idx="66">
                  <c:v>212.77905000000001</c:v>
                </c:pt>
                <c:pt idx="67">
                  <c:v>217.72739999999999</c:v>
                </c:pt>
                <c:pt idx="68">
                  <c:v>222.67574999999999</c:v>
                </c:pt>
                <c:pt idx="69">
                  <c:v>227.6241</c:v>
                </c:pt>
                <c:pt idx="70">
                  <c:v>232.57245</c:v>
                </c:pt>
                <c:pt idx="71">
                  <c:v>237.52080000000001</c:v>
                </c:pt>
                <c:pt idx="72">
                  <c:v>242.46914999999998</c:v>
                </c:pt>
                <c:pt idx="73">
                  <c:v>247.41749999999999</c:v>
                </c:pt>
                <c:pt idx="74">
                  <c:v>252.36584999999999</c:v>
                </c:pt>
                <c:pt idx="75">
                  <c:v>257.31419999999997</c:v>
                </c:pt>
                <c:pt idx="76">
                  <c:v>262.26254999999998</c:v>
                </c:pt>
                <c:pt idx="77">
                  <c:v>267.21089999999998</c:v>
                </c:pt>
                <c:pt idx="78">
                  <c:v>272.15924999999999</c:v>
                </c:pt>
                <c:pt idx="79">
                  <c:v>277.10759999999999</c:v>
                </c:pt>
                <c:pt idx="80">
                  <c:v>282.05595</c:v>
                </c:pt>
                <c:pt idx="81">
                  <c:v>287.0043</c:v>
                </c:pt>
                <c:pt idx="82">
                  <c:v>291.95265000000001</c:v>
                </c:pt>
                <c:pt idx="83">
                  <c:v>296.90100000000001</c:v>
                </c:pt>
                <c:pt idx="84">
                  <c:v>301.84935000000002</c:v>
                </c:pt>
                <c:pt idx="85">
                  <c:v>306.79770000000002</c:v>
                </c:pt>
                <c:pt idx="86">
                  <c:v>311.74605000000003</c:v>
                </c:pt>
                <c:pt idx="87">
                  <c:v>316.69439999999997</c:v>
                </c:pt>
                <c:pt idx="88">
                  <c:v>321.64274999999998</c:v>
                </c:pt>
                <c:pt idx="89">
                  <c:v>326.59109999999998</c:v>
                </c:pt>
                <c:pt idx="90">
                  <c:v>331.53944999999999</c:v>
                </c:pt>
                <c:pt idx="91">
                  <c:v>336.48779999999999</c:v>
                </c:pt>
                <c:pt idx="92">
                  <c:v>341.43615</c:v>
                </c:pt>
                <c:pt idx="93">
                  <c:v>346.3845</c:v>
                </c:pt>
                <c:pt idx="94">
                  <c:v>351.33285000000001</c:v>
                </c:pt>
                <c:pt idx="95">
                  <c:v>356.28120000000001</c:v>
                </c:pt>
                <c:pt idx="96">
                  <c:v>361.22955000000002</c:v>
                </c:pt>
                <c:pt idx="97">
                  <c:v>366.17790000000002</c:v>
                </c:pt>
                <c:pt idx="98">
                  <c:v>371.12624999999997</c:v>
                </c:pt>
                <c:pt idx="99">
                  <c:v>376.07459999999998</c:v>
                </c:pt>
                <c:pt idx="100">
                  <c:v>381.02294999999998</c:v>
                </c:pt>
                <c:pt idx="101">
                  <c:v>385.97129999999999</c:v>
                </c:pt>
                <c:pt idx="102">
                  <c:v>390.91964999999999</c:v>
                </c:pt>
                <c:pt idx="103">
                  <c:v>395.86799999999999</c:v>
                </c:pt>
                <c:pt idx="104">
                  <c:v>400.81635</c:v>
                </c:pt>
                <c:pt idx="105">
                  <c:v>405.7647</c:v>
                </c:pt>
                <c:pt idx="106">
                  <c:v>410.71305000000001</c:v>
                </c:pt>
                <c:pt idx="107">
                  <c:v>415.66140000000001</c:v>
                </c:pt>
                <c:pt idx="108">
                  <c:v>420.60975000000002</c:v>
                </c:pt>
                <c:pt idx="109">
                  <c:v>425.55810000000002</c:v>
                </c:pt>
                <c:pt idx="110">
                  <c:v>430.50644999999997</c:v>
                </c:pt>
                <c:pt idx="111">
                  <c:v>435.45479999999998</c:v>
                </c:pt>
                <c:pt idx="112">
                  <c:v>440.40314999999998</c:v>
                </c:pt>
                <c:pt idx="113">
                  <c:v>445.35149999999999</c:v>
                </c:pt>
                <c:pt idx="114">
                  <c:v>450.29984999999999</c:v>
                </c:pt>
                <c:pt idx="115">
                  <c:v>455.2482</c:v>
                </c:pt>
                <c:pt idx="116">
                  <c:v>460.19655</c:v>
                </c:pt>
                <c:pt idx="117">
                  <c:v>465.14490000000001</c:v>
                </c:pt>
                <c:pt idx="118">
                  <c:v>470.09325000000001</c:v>
                </c:pt>
                <c:pt idx="119">
                  <c:v>475.04160000000002</c:v>
                </c:pt>
                <c:pt idx="120">
                  <c:v>479.98995000000002</c:v>
                </c:pt>
                <c:pt idx="121">
                  <c:v>484.93829999999997</c:v>
                </c:pt>
                <c:pt idx="122">
                  <c:v>989.67</c:v>
                </c:pt>
                <c:pt idx="123">
                  <c:v>1979.34</c:v>
                </c:pt>
                <c:pt idx="124">
                  <c:v>2969.0099999999998</c:v>
                </c:pt>
                <c:pt idx="125">
                  <c:v>3958.68</c:v>
                </c:pt>
                <c:pt idx="126">
                  <c:v>4948.3500000000004</c:v>
                </c:pt>
                <c:pt idx="127">
                  <c:v>5938.0199999999995</c:v>
                </c:pt>
                <c:pt idx="128">
                  <c:v>6927.69</c:v>
                </c:pt>
                <c:pt idx="129">
                  <c:v>7917.36</c:v>
                </c:pt>
                <c:pt idx="130">
                  <c:v>8907.0300000000007</c:v>
                </c:pt>
                <c:pt idx="131">
                  <c:v>9896.7000000000007</c:v>
                </c:pt>
                <c:pt idx="132">
                  <c:v>19793.400000000001</c:v>
                </c:pt>
                <c:pt idx="133">
                  <c:v>29690.1</c:v>
                </c:pt>
                <c:pt idx="134">
                  <c:v>39586.800000000003</c:v>
                </c:pt>
                <c:pt idx="135">
                  <c:v>49483.5</c:v>
                </c:pt>
                <c:pt idx="136">
                  <c:v>59380.2</c:v>
                </c:pt>
                <c:pt idx="137">
                  <c:v>69276.899999999994</c:v>
                </c:pt>
                <c:pt idx="138">
                  <c:v>79173.600000000006</c:v>
                </c:pt>
                <c:pt idx="139">
                  <c:v>89070.3</c:v>
                </c:pt>
                <c:pt idx="140">
                  <c:v>98967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D1-4F21-841D-A2381658F3CB}"/>
            </c:ext>
          </c:extLst>
        </c:ser>
        <c:ser>
          <c:idx val="2"/>
          <c:order val="1"/>
          <c:tx>
            <c:v>Wetting</c:v>
          </c:tx>
          <c:spPr>
            <a:ln w="25400">
              <a:solidFill>
                <a:srgbClr val="0000FF"/>
              </a:solidFill>
              <a:prstDash val="lgDash"/>
            </a:ln>
          </c:spPr>
          <c:marker>
            <c:symbol val="none"/>
          </c:marker>
          <c:xVal>
            <c:numRef>
              <c:f>SWR_UTU035!$K$14:$K$147</c:f>
              <c:numCache>
                <c:formatCode>0.00E+00</c:formatCode>
                <c:ptCount val="134"/>
                <c:pt idx="0">
                  <c:v>0.32803100342141123</c:v>
                </c:pt>
                <c:pt idx="1">
                  <c:v>0.32495398049629937</c:v>
                </c:pt>
                <c:pt idx="2" formatCode="General">
                  <c:v>0.31761135331900092</c:v>
                </c:pt>
                <c:pt idx="3">
                  <c:v>0.3137251740054447</c:v>
                </c:pt>
                <c:pt idx="4" formatCode="General">
                  <c:v>0.30982926251518539</c:v>
                </c:pt>
                <c:pt idx="5" formatCode="General">
                  <c:v>0.30221292092634022</c:v>
                </c:pt>
                <c:pt idx="6" formatCode="General">
                  <c:v>0.29500741455194635</c:v>
                </c:pt>
                <c:pt idx="7" formatCode="General">
                  <c:v>0.29158897718997523</c:v>
                </c:pt>
                <c:pt idx="8" formatCode="General">
                  <c:v>0.28513497580641112</c:v>
                </c:pt>
                <c:pt idx="9" formatCode="General">
                  <c:v>0.27917980742256598</c:v>
                </c:pt>
                <c:pt idx="10" formatCode="General">
                  <c:v>0.27369210520774845</c:v>
                </c:pt>
                <c:pt idx="11" formatCode="General">
                  <c:v>0.26863236006515423</c:v>
                </c:pt>
                <c:pt idx="12" formatCode="General">
                  <c:v>0.26395974948289608</c:v>
                </c:pt>
                <c:pt idx="13" formatCode="General">
                  <c:v>0.25963532858360211</c:v>
                </c:pt>
                <c:pt idx="14" formatCode="General">
                  <c:v>0.25562337070480828</c:v>
                </c:pt>
                <c:pt idx="15" formatCode="General">
                  <c:v>0.25189177625697773</c:v>
                </c:pt>
                <c:pt idx="16" formatCode="General">
                  <c:v>0.24675860053142429</c:v>
                </c:pt>
                <c:pt idx="17" formatCode="General">
                  <c:v>0.23278816074264189</c:v>
                </c:pt>
                <c:pt idx="18" formatCode="General">
                  <c:v>0.22221240481136567</c:v>
                </c:pt>
                <c:pt idx="19" formatCode="General">
                  <c:v>0.21386265036807747</c:v>
                </c:pt>
                <c:pt idx="20" formatCode="General">
                  <c:v>0.20705617679772464</c:v>
                </c:pt>
                <c:pt idx="21" formatCode="General">
                  <c:v>0.20136858970520999</c:v>
                </c:pt>
                <c:pt idx="22" formatCode="General">
                  <c:v>0.19652177803967236</c:v>
                </c:pt>
                <c:pt idx="23" formatCode="General">
                  <c:v>0.19232537014165543</c:v>
                </c:pt>
                <c:pt idx="24" formatCode="General">
                  <c:v>0.17742505518255439</c:v>
                </c:pt>
                <c:pt idx="25" formatCode="General">
                  <c:v>0.16803815314683496</c:v>
                </c:pt>
                <c:pt idx="26" formatCode="General">
                  <c:v>0.16140143248439309</c:v>
                </c:pt>
                <c:pt idx="27" formatCode="General">
                  <c:v>0.15637375907083062</c:v>
                </c:pt>
                <c:pt idx="28" formatCode="General">
                  <c:v>0.15238560221979</c:v>
                </c:pt>
                <c:pt idx="29" formatCode="General">
                  <c:v>0.14911618483300909</c:v>
                </c:pt>
                <c:pt idx="30" formatCode="General">
                  <c:v>0.14401558836190176</c:v>
                </c:pt>
                <c:pt idx="31" formatCode="General">
                  <c:v>0.14016491383779489</c:v>
                </c:pt>
                <c:pt idx="32" formatCode="General">
                  <c:v>0.13711713646695378</c:v>
                </c:pt>
                <c:pt idx="33" formatCode="General">
                  <c:v>0.13462241376468434</c:v>
                </c:pt>
                <c:pt idx="34" formatCode="General">
                  <c:v>0.13252842362648681</c:v>
                </c:pt>
                <c:pt idx="35" formatCode="General">
                  <c:v>0.13159936784910883</c:v>
                </c:pt>
                <c:pt idx="36" formatCode="General">
                  <c:v>0.13073616710630198</c:v>
                </c:pt>
                <c:pt idx="37" formatCode="General">
                  <c:v>0.12993120703886041</c:v>
                </c:pt>
                <c:pt idx="38" formatCode="General">
                  <c:v>0.12917806292571621</c:v>
                </c:pt>
                <c:pt idx="39" formatCode="General">
                  <c:v>0.12847126975895706</c:v>
                </c:pt>
                <c:pt idx="40" formatCode="General">
                  <c:v>0.12780614455515721</c:v>
                </c:pt>
                <c:pt idx="41" formatCode="General">
                  <c:v>0.1271786474071111</c:v>
                </c:pt>
                <c:pt idx="42" formatCode="General">
                  <c:v>0.12658527165494859</c:v>
                </c:pt>
                <c:pt idx="43" formatCode="General">
                  <c:v>0.12602295621486709</c:v>
                </c:pt>
                <c:pt idx="44" formatCode="General">
                  <c:v>0.12548901495872489</c:v>
                </c:pt>
                <c:pt idx="45" formatCode="General">
                  <c:v>0.12498107935121024</c:v>
                </c:pt>
                <c:pt idx="46" formatCode="General">
                  <c:v>0.1244970514941966</c:v>
                </c:pt>
                <c:pt idx="47" formatCode="General">
                  <c:v>0.12403506541340531</c:v>
                </c:pt>
                <c:pt idx="48" formatCode="General">
                  <c:v>0.12359345492676721</c:v>
                </c:pt>
                <c:pt idx="49" formatCode="General">
                  <c:v>0.12317072680888713</c:v>
                </c:pt>
                <c:pt idx="50" formatCode="General">
                  <c:v>0.1227655382477492</c:v>
                </c:pt>
                <c:pt idx="51" formatCode="General">
                  <c:v>0.12237667780346675</c:v>
                </c:pt>
                <c:pt idx="52" formatCode="General">
                  <c:v>0.12200304924237337</c:v>
                </c:pt>
                <c:pt idx="53" formatCode="General">
                  <c:v>0.12164365774588981</c:v>
                </c:pt>
                <c:pt idx="54" formatCode="General">
                  <c:v>0.12129759809168644</c:v>
                </c:pt>
                <c:pt idx="55" formatCode="General">
                  <c:v>0.12096404448149348</c:v>
                </c:pt>
                <c:pt idx="56" formatCode="General">
                  <c:v>0.12064224175051239</c:v>
                </c:pt>
                <c:pt idx="57" formatCode="General">
                  <c:v>0.12033149774149844</c:v>
                </c:pt>
                <c:pt idx="58" formatCode="General">
                  <c:v>0.12003117666502124</c:v>
                </c:pt>
                <c:pt idx="59" formatCode="General">
                  <c:v>0.11974069329829837</c:v>
                </c:pt>
                <c:pt idx="60" formatCode="General">
                  <c:v>0.11945950789995755</c:v>
                </c:pt>
                <c:pt idx="61" formatCode="General">
                  <c:v>0.11918712173835669</c:v>
                </c:pt>
                <c:pt idx="62" formatCode="General">
                  <c:v>0.11892307314764744</c:v>
                </c:pt>
                <c:pt idx="63" formatCode="General">
                  <c:v>0.11866693403934653</c:v>
                </c:pt>
                <c:pt idx="64" formatCode="General">
                  <c:v>0.1184183068083727</c:v>
                </c:pt>
                <c:pt idx="65" formatCode="General">
                  <c:v>0.11817682158177034</c:v>
                </c:pt>
                <c:pt idx="66" formatCode="General">
                  <c:v>0.11794213376604122</c:v>
                </c:pt>
                <c:pt idx="67" formatCode="General">
                  <c:v>0.11771392185543264</c:v>
                </c:pt>
                <c:pt idx="68" formatCode="General">
                  <c:v>0.1174918854689122</c:v>
                </c:pt>
                <c:pt idx="69" formatCode="General">
                  <c:v>0.11727574358808672</c:v>
                </c:pt>
                <c:pt idx="70" formatCode="General">
                  <c:v>0.11706523297214098</c:v>
                </c:pt>
                <c:pt idx="71" formatCode="General">
                  <c:v>0.11686010672910568</c:v>
                </c:pt>
                <c:pt idx="72" formatCode="General">
                  <c:v>0.11666013302550948</c:v>
                </c:pt>
                <c:pt idx="73" formatCode="General">
                  <c:v>0.11646509391881013</c:v>
                </c:pt>
                <c:pt idx="74" formatCode="General">
                  <c:v>0.11627478429899896</c:v>
                </c:pt>
                <c:pt idx="75" formatCode="General">
                  <c:v>0.11608901092748633</c:v>
                </c:pt>
                <c:pt idx="76" formatCode="General">
                  <c:v>0.11590759156284883</c:v>
                </c:pt>
                <c:pt idx="77" formatCode="General">
                  <c:v>0.11573035416428741</c:v>
                </c:pt>
                <c:pt idx="78" formatCode="General">
                  <c:v>0.11555713616474311</c:v>
                </c:pt>
                <c:pt idx="79" formatCode="General">
                  <c:v>0.11538778380656543</c:v>
                </c:pt>
                <c:pt idx="80" formatCode="General">
                  <c:v>0.11522215153345446</c:v>
                </c:pt>
                <c:pt idx="81" formatCode="General">
                  <c:v>0.11506010143311403</c:v>
                </c:pt>
                <c:pt idx="82" formatCode="General">
                  <c:v>0.11490150272568059</c:v>
                </c:pt>
                <c:pt idx="83" formatCode="General">
                  <c:v>0.1147462312935382</c:v>
                </c:pt>
                <c:pt idx="84" formatCode="General">
                  <c:v>0.11459416924861081</c:v>
                </c:pt>
                <c:pt idx="85" formatCode="General">
                  <c:v>0.11444520453364246</c:v>
                </c:pt>
                <c:pt idx="86" formatCode="General">
                  <c:v>0.11429923055434725</c:v>
                </c:pt>
                <c:pt idx="87" formatCode="General">
                  <c:v>0.11415614583963651</c:v>
                </c:pt>
                <c:pt idx="88" formatCode="General">
                  <c:v>0.1140158537274187</c:v>
                </c:pt>
                <c:pt idx="89" formatCode="General">
                  <c:v>0.11387826207372216</c:v>
                </c:pt>
                <c:pt idx="90" formatCode="General">
                  <c:v>0.11374328298311709</c:v>
                </c:pt>
                <c:pt idx="91" formatCode="General">
                  <c:v>0.11361083255861296</c:v>
                </c:pt>
                <c:pt idx="92" formatCode="General">
                  <c:v>0.11348083066938568</c:v>
                </c:pt>
                <c:pt idx="93" formatCode="General">
                  <c:v>0.1133532007348481</c:v>
                </c:pt>
                <c:pt idx="94" formatCode="General">
                  <c:v>0.11322786952371831</c:v>
                </c:pt>
                <c:pt idx="95" formatCode="General">
                  <c:v>0.11310476696686675</c:v>
                </c:pt>
                <c:pt idx="96" formatCode="General">
                  <c:v>0.11298382598283653</c:v>
                </c:pt>
                <c:pt idx="97" formatCode="General">
                  <c:v>0.11286498231503239</c:v>
                </c:pt>
                <c:pt idx="98" formatCode="General">
                  <c:v>0.11274817437966489</c:v>
                </c:pt>
                <c:pt idx="99" formatCode="General">
                  <c:v>0.1126333431236177</c:v>
                </c:pt>
                <c:pt idx="100" formatCode="General">
                  <c:v>0.11252043189148002</c:v>
                </c:pt>
                <c:pt idx="101" formatCode="General">
                  <c:v>0.11240938630105173</c:v>
                </c:pt>
                <c:pt idx="102" formatCode="General">
                  <c:v>0.11230015412668898</c:v>
                </c:pt>
                <c:pt idx="103" formatCode="General">
                  <c:v>0.11219268518991171</c:v>
                </c:pt>
                <c:pt idx="104" formatCode="General">
                  <c:v>0.11208693125674365</c:v>
                </c:pt>
                <c:pt idx="105" formatCode="General">
                  <c:v>0.11198284594129881</c:v>
                </c:pt>
                <c:pt idx="106" formatCode="General">
                  <c:v>0.11188038461516964</c:v>
                </c:pt>
                <c:pt idx="107" formatCode="General">
                  <c:v>0.11177950432220708</c:v>
                </c:pt>
                <c:pt idx="108" formatCode="General">
                  <c:v>0.11168016369831686</c:v>
                </c:pt>
                <c:pt idx="109" formatCode="General">
                  <c:v>0.11158232289592555</c:v>
                </c:pt>
                <c:pt idx="110" formatCode="General">
                  <c:v>0.11148594351279771</c:v>
                </c:pt>
                <c:pt idx="111" formatCode="General">
                  <c:v>0.11139098852491031</c:v>
                </c:pt>
                <c:pt idx="112" formatCode="General">
                  <c:v>0.11129742222311297</c:v>
                </c:pt>
                <c:pt idx="113" formatCode="General">
                  <c:v>0.11120521015332385</c:v>
                </c:pt>
                <c:pt idx="114" formatCode="General">
                  <c:v>0.11111431906002942</c:v>
                </c:pt>
                <c:pt idx="115" formatCode="General">
                  <c:v>0.10562533281777894</c:v>
                </c:pt>
                <c:pt idx="116" formatCode="General">
                  <c:v>0.10159983897715126</c:v>
                </c:pt>
                <c:pt idx="117" formatCode="General">
                  <c:v>9.9713472212934501E-2</c:v>
                </c:pt>
                <c:pt idx="118" formatCode="General">
                  <c:v>9.8548947703338732E-2</c:v>
                </c:pt>
                <c:pt idx="119" formatCode="General">
                  <c:v>9.7733572340547858E-2</c:v>
                </c:pt>
                <c:pt idx="120" formatCode="General">
                  <c:v>9.7119320345445653E-2</c:v>
                </c:pt>
                <c:pt idx="121" formatCode="General">
                  <c:v>9.6633806193377289E-2</c:v>
                </c:pt>
                <c:pt idx="122" formatCode="General">
                  <c:v>9.6236765013576614E-2</c:v>
                </c:pt>
                <c:pt idx="123" formatCode="General">
                  <c:v>9.590372606131653E-2</c:v>
                </c:pt>
                <c:pt idx="124" formatCode="General">
                  <c:v>9.5618820781306471E-2</c:v>
                </c:pt>
                <c:pt idx="125" formatCode="General">
                  <c:v>9.4016131210223883E-2</c:v>
                </c:pt>
                <c:pt idx="126" formatCode="General">
                  <c:v>9.3265131782555216E-2</c:v>
                </c:pt>
                <c:pt idx="127" formatCode="General">
                  <c:v>9.2801517465092506E-2</c:v>
                </c:pt>
                <c:pt idx="128" formatCode="General">
                  <c:v>9.2476906414941246E-2</c:v>
                </c:pt>
                <c:pt idx="129" formatCode="General">
                  <c:v>9.223236587354286E-2</c:v>
                </c:pt>
                <c:pt idx="130" formatCode="General">
                  <c:v>9.2039077700111951E-2</c:v>
                </c:pt>
                <c:pt idx="131" formatCode="General">
                  <c:v>9.1881011751863986E-2</c:v>
                </c:pt>
                <c:pt idx="132" formatCode="General">
                  <c:v>9.1748425848443199E-2</c:v>
                </c:pt>
                <c:pt idx="133" formatCode="General">
                  <c:v>9.1635002495310022E-2</c:v>
                </c:pt>
              </c:numCache>
            </c:numRef>
          </c:xVal>
          <c:yVal>
            <c:numRef>
              <c:f>SWR_UTU035!$J$14:$J$147</c:f>
              <c:numCache>
                <c:formatCode>General</c:formatCode>
                <c:ptCount val="134"/>
                <c:pt idx="0">
                  <c:v>9.8966999999999999E-2</c:v>
                </c:pt>
                <c:pt idx="1">
                  <c:v>0.197934</c:v>
                </c:pt>
                <c:pt idx="2">
                  <c:v>0.395868</c:v>
                </c:pt>
                <c:pt idx="3">
                  <c:v>0.49483500000000002</c:v>
                </c:pt>
                <c:pt idx="4">
                  <c:v>0.59380199999999994</c:v>
                </c:pt>
                <c:pt idx="5">
                  <c:v>0.791736</c:v>
                </c:pt>
                <c:pt idx="6">
                  <c:v>0.98967000000000005</c:v>
                </c:pt>
                <c:pt idx="7">
                  <c:v>1.0886370000000001</c:v>
                </c:pt>
                <c:pt idx="8">
                  <c:v>1.2865709999999999</c:v>
                </c:pt>
                <c:pt idx="9">
                  <c:v>1.484505</c:v>
                </c:pt>
                <c:pt idx="10">
                  <c:v>1.682439</c:v>
                </c:pt>
                <c:pt idx="11">
                  <c:v>1.8803730000000001</c:v>
                </c:pt>
                <c:pt idx="12">
                  <c:v>2.0783070000000001</c:v>
                </c:pt>
                <c:pt idx="13">
                  <c:v>2.2762410000000002</c:v>
                </c:pt>
                <c:pt idx="14">
                  <c:v>2.4741749999999998</c:v>
                </c:pt>
                <c:pt idx="15">
                  <c:v>2.6721089999999998</c:v>
                </c:pt>
                <c:pt idx="16">
                  <c:v>2.9690099999999999</c:v>
                </c:pt>
                <c:pt idx="17">
                  <c:v>3.9586800000000002</c:v>
                </c:pt>
                <c:pt idx="18">
                  <c:v>4.9483499999999996</c:v>
                </c:pt>
                <c:pt idx="19">
                  <c:v>5.9380199999999999</c:v>
                </c:pt>
                <c:pt idx="20">
                  <c:v>6.9276900000000001</c:v>
                </c:pt>
                <c:pt idx="21">
                  <c:v>7.9173600000000004</c:v>
                </c:pt>
                <c:pt idx="22">
                  <c:v>8.9070300000000007</c:v>
                </c:pt>
                <c:pt idx="23">
                  <c:v>9.8966999999999992</c:v>
                </c:pt>
                <c:pt idx="24">
                  <c:v>14.845050000000001</c:v>
                </c:pt>
                <c:pt idx="25">
                  <c:v>19.793399999999998</c:v>
                </c:pt>
                <c:pt idx="26">
                  <c:v>24.74175</c:v>
                </c:pt>
                <c:pt idx="27">
                  <c:v>29.690100000000001</c:v>
                </c:pt>
                <c:pt idx="28">
                  <c:v>34.638449999999999</c:v>
                </c:pt>
                <c:pt idx="29">
                  <c:v>39.586799999999997</c:v>
                </c:pt>
                <c:pt idx="30">
                  <c:v>49.483499999999999</c:v>
                </c:pt>
                <c:pt idx="31">
                  <c:v>59.380200000000002</c:v>
                </c:pt>
                <c:pt idx="32">
                  <c:v>69.276899999999998</c:v>
                </c:pt>
                <c:pt idx="33">
                  <c:v>79.173599999999993</c:v>
                </c:pt>
                <c:pt idx="34">
                  <c:v>89.070300000000003</c:v>
                </c:pt>
                <c:pt idx="35">
                  <c:v>94.018649999999994</c:v>
                </c:pt>
                <c:pt idx="36">
                  <c:v>98.966999999999999</c:v>
                </c:pt>
                <c:pt idx="37">
                  <c:v>103.91535</c:v>
                </c:pt>
                <c:pt idx="38">
                  <c:v>108.86369999999999</c:v>
                </c:pt>
                <c:pt idx="39">
                  <c:v>113.81205</c:v>
                </c:pt>
                <c:pt idx="40">
                  <c:v>118.7604</c:v>
                </c:pt>
                <c:pt idx="41">
                  <c:v>123.70874999999999</c:v>
                </c:pt>
                <c:pt idx="42">
                  <c:v>128.65709999999999</c:v>
                </c:pt>
                <c:pt idx="43">
                  <c:v>133.60544999999999</c:v>
                </c:pt>
                <c:pt idx="44">
                  <c:v>138.5538</c:v>
                </c:pt>
                <c:pt idx="45">
                  <c:v>143.50215</c:v>
                </c:pt>
                <c:pt idx="46">
                  <c:v>148.45050000000001</c:v>
                </c:pt>
                <c:pt idx="47">
                  <c:v>153.39885000000001</c:v>
                </c:pt>
                <c:pt idx="48">
                  <c:v>158.34719999999999</c:v>
                </c:pt>
                <c:pt idx="49">
                  <c:v>163.29554999999999</c:v>
                </c:pt>
                <c:pt idx="50">
                  <c:v>168.2439</c:v>
                </c:pt>
                <c:pt idx="51">
                  <c:v>173.19225</c:v>
                </c:pt>
                <c:pt idx="52">
                  <c:v>178.14060000000001</c:v>
                </c:pt>
                <c:pt idx="53">
                  <c:v>183.08895000000001</c:v>
                </c:pt>
                <c:pt idx="54">
                  <c:v>188.03729999999999</c:v>
                </c:pt>
                <c:pt idx="55">
                  <c:v>192.98564999999999</c:v>
                </c:pt>
                <c:pt idx="56">
                  <c:v>197.934</c:v>
                </c:pt>
                <c:pt idx="57">
                  <c:v>202.88235</c:v>
                </c:pt>
                <c:pt idx="58">
                  <c:v>207.83070000000001</c:v>
                </c:pt>
                <c:pt idx="59">
                  <c:v>212.77905000000001</c:v>
                </c:pt>
                <c:pt idx="60">
                  <c:v>217.72739999999999</c:v>
                </c:pt>
                <c:pt idx="61">
                  <c:v>222.67574999999999</c:v>
                </c:pt>
                <c:pt idx="62">
                  <c:v>227.6241</c:v>
                </c:pt>
                <c:pt idx="63">
                  <c:v>232.57245</c:v>
                </c:pt>
                <c:pt idx="64">
                  <c:v>237.52080000000001</c:v>
                </c:pt>
                <c:pt idx="65">
                  <c:v>242.46914999999998</c:v>
                </c:pt>
                <c:pt idx="66">
                  <c:v>247.41749999999999</c:v>
                </c:pt>
                <c:pt idx="67">
                  <c:v>252.36584999999999</c:v>
                </c:pt>
                <c:pt idx="68">
                  <c:v>257.31419999999997</c:v>
                </c:pt>
                <c:pt idx="69">
                  <c:v>262.26254999999998</c:v>
                </c:pt>
                <c:pt idx="70">
                  <c:v>267.21089999999998</c:v>
                </c:pt>
                <c:pt idx="71">
                  <c:v>272.15924999999999</c:v>
                </c:pt>
                <c:pt idx="72">
                  <c:v>277.10759999999999</c:v>
                </c:pt>
                <c:pt idx="73">
                  <c:v>282.05595</c:v>
                </c:pt>
                <c:pt idx="74">
                  <c:v>287.0043</c:v>
                </c:pt>
                <c:pt idx="75">
                  <c:v>291.95265000000001</c:v>
                </c:pt>
                <c:pt idx="76">
                  <c:v>296.90100000000001</c:v>
                </c:pt>
                <c:pt idx="77">
                  <c:v>301.84935000000002</c:v>
                </c:pt>
                <c:pt idx="78">
                  <c:v>306.79770000000002</c:v>
                </c:pt>
                <c:pt idx="79">
                  <c:v>311.74605000000003</c:v>
                </c:pt>
                <c:pt idx="80">
                  <c:v>316.69439999999997</c:v>
                </c:pt>
                <c:pt idx="81">
                  <c:v>321.64274999999998</c:v>
                </c:pt>
                <c:pt idx="82">
                  <c:v>326.59109999999998</c:v>
                </c:pt>
                <c:pt idx="83">
                  <c:v>331.53944999999999</c:v>
                </c:pt>
                <c:pt idx="84">
                  <c:v>336.48779999999999</c:v>
                </c:pt>
                <c:pt idx="85">
                  <c:v>341.43615</c:v>
                </c:pt>
                <c:pt idx="86">
                  <c:v>346.3845</c:v>
                </c:pt>
                <c:pt idx="87">
                  <c:v>351.33285000000001</c:v>
                </c:pt>
                <c:pt idx="88">
                  <c:v>356.28120000000001</c:v>
                </c:pt>
                <c:pt idx="89">
                  <c:v>361.22955000000002</c:v>
                </c:pt>
                <c:pt idx="90">
                  <c:v>366.17790000000002</c:v>
                </c:pt>
                <c:pt idx="91">
                  <c:v>371.12624999999997</c:v>
                </c:pt>
                <c:pt idx="92">
                  <c:v>376.07459999999998</c:v>
                </c:pt>
                <c:pt idx="93">
                  <c:v>381.02294999999998</c:v>
                </c:pt>
                <c:pt idx="94">
                  <c:v>385.97129999999999</c:v>
                </c:pt>
                <c:pt idx="95">
                  <c:v>390.91964999999999</c:v>
                </c:pt>
                <c:pt idx="96">
                  <c:v>395.86799999999999</c:v>
                </c:pt>
                <c:pt idx="97">
                  <c:v>400.81635</c:v>
                </c:pt>
                <c:pt idx="98">
                  <c:v>405.7647</c:v>
                </c:pt>
                <c:pt idx="99">
                  <c:v>410.71305000000001</c:v>
                </c:pt>
                <c:pt idx="100">
                  <c:v>415.66140000000001</c:v>
                </c:pt>
                <c:pt idx="101">
                  <c:v>420.60975000000002</c:v>
                </c:pt>
                <c:pt idx="102">
                  <c:v>425.55810000000002</c:v>
                </c:pt>
                <c:pt idx="103">
                  <c:v>430.50644999999997</c:v>
                </c:pt>
                <c:pt idx="104">
                  <c:v>435.45479999999998</c:v>
                </c:pt>
                <c:pt idx="105">
                  <c:v>440.40314999999998</c:v>
                </c:pt>
                <c:pt idx="106">
                  <c:v>445.35149999999999</c:v>
                </c:pt>
                <c:pt idx="107">
                  <c:v>450.29984999999999</c:v>
                </c:pt>
                <c:pt idx="108">
                  <c:v>455.2482</c:v>
                </c:pt>
                <c:pt idx="109">
                  <c:v>460.19655</c:v>
                </c:pt>
                <c:pt idx="110">
                  <c:v>465.14490000000001</c:v>
                </c:pt>
                <c:pt idx="111">
                  <c:v>470.09325000000001</c:v>
                </c:pt>
                <c:pt idx="112">
                  <c:v>475.04160000000002</c:v>
                </c:pt>
                <c:pt idx="113">
                  <c:v>479.98995000000002</c:v>
                </c:pt>
                <c:pt idx="114">
                  <c:v>484.93829999999997</c:v>
                </c:pt>
                <c:pt idx="115">
                  <c:v>989.67</c:v>
                </c:pt>
                <c:pt idx="116">
                  <c:v>1979.34</c:v>
                </c:pt>
                <c:pt idx="117">
                  <c:v>2969.0099999999998</c:v>
                </c:pt>
                <c:pt idx="118">
                  <c:v>3958.68</c:v>
                </c:pt>
                <c:pt idx="119">
                  <c:v>4948.3500000000004</c:v>
                </c:pt>
                <c:pt idx="120">
                  <c:v>5938.0199999999995</c:v>
                </c:pt>
                <c:pt idx="121">
                  <c:v>6927.69</c:v>
                </c:pt>
                <c:pt idx="122">
                  <c:v>7917.36</c:v>
                </c:pt>
                <c:pt idx="123">
                  <c:v>8907.0300000000007</c:v>
                </c:pt>
                <c:pt idx="124">
                  <c:v>9896.7000000000007</c:v>
                </c:pt>
                <c:pt idx="125">
                  <c:v>19793.400000000001</c:v>
                </c:pt>
                <c:pt idx="126">
                  <c:v>29690.1</c:v>
                </c:pt>
                <c:pt idx="127">
                  <c:v>39586.800000000003</c:v>
                </c:pt>
                <c:pt idx="128">
                  <c:v>49483.5</c:v>
                </c:pt>
                <c:pt idx="129">
                  <c:v>59380.2</c:v>
                </c:pt>
                <c:pt idx="130">
                  <c:v>69276.899999999994</c:v>
                </c:pt>
                <c:pt idx="131">
                  <c:v>79173.600000000006</c:v>
                </c:pt>
                <c:pt idx="132">
                  <c:v>89070.3</c:v>
                </c:pt>
                <c:pt idx="133">
                  <c:v>98967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D1-4F21-841D-A2381658F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412712"/>
        <c:axId val="1"/>
      </c:scatterChart>
      <c:scatterChart>
        <c:scatterStyle val="lineMarker"/>
        <c:varyColors val="0"/>
        <c:ser>
          <c:idx val="3"/>
          <c:order val="2"/>
          <c:tx>
            <c:v>k drying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SWR_UTU035!$C$14:$C$154</c:f>
              <c:numCache>
                <c:formatCode>General</c:formatCode>
                <c:ptCount val="141"/>
                <c:pt idx="0">
                  <c:v>0.40753448584340002</c:v>
                </c:pt>
                <c:pt idx="1">
                  <c:v>0.40335458642704047</c:v>
                </c:pt>
                <c:pt idx="2">
                  <c:v>0.39285355536899846</c:v>
                </c:pt>
                <c:pt idx="3">
                  <c:v>0.3871330694666012</c:v>
                </c:pt>
                <c:pt idx="4">
                  <c:v>0.38132804893200245</c:v>
                </c:pt>
                <c:pt idx="5">
                  <c:v>0.36984389816864216</c:v>
                </c:pt>
                <c:pt idx="6">
                  <c:v>0.35888076800307778</c:v>
                </c:pt>
                <c:pt idx="7">
                  <c:v>0.35366219291331535</c:v>
                </c:pt>
                <c:pt idx="8">
                  <c:v>0.34379847517461126</c:v>
                </c:pt>
                <c:pt idx="9">
                  <c:v>0.33470087317930503</c:v>
                </c:pt>
                <c:pt idx="10">
                  <c:v>0.32633366205957637</c:v>
                </c:pt>
                <c:pt idx="11">
                  <c:v>0.31864115907777457</c:v>
                </c:pt>
                <c:pt idx="12">
                  <c:v>0.31156167457018458</c:v>
                </c:pt>
                <c:pt idx="13">
                  <c:v>0.30503439544884087</c:v>
                </c:pt>
                <c:pt idx="14">
                  <c:v>0.29900254808926519</c:v>
                </c:pt>
                <c:pt idx="15">
                  <c:v>0.29341462369408611</c:v>
                </c:pt>
                <c:pt idx="16">
                  <c:v>0.28576590998225071</c:v>
                </c:pt>
                <c:pt idx="17">
                  <c:v>0.26519615857809542</c:v>
                </c:pt>
                <c:pt idx="18">
                  <c:v>0.24988972460647801</c:v>
                </c:pt>
                <c:pt idx="19">
                  <c:v>0.23798021662862665</c:v>
                </c:pt>
                <c:pt idx="20">
                  <c:v>0.22839244770255226</c:v>
                </c:pt>
                <c:pt idx="21">
                  <c:v>0.2204670322106683</c:v>
                </c:pt>
                <c:pt idx="22">
                  <c:v>0.21377712756994965</c:v>
                </c:pt>
                <c:pt idx="23">
                  <c:v>0.20803373502536521</c:v>
                </c:pt>
                <c:pt idx="24">
                  <c:v>0.20303376101836468</c:v>
                </c:pt>
                <c:pt idx="25">
                  <c:v>0.19471277062577386</c:v>
                </c:pt>
                <c:pt idx="26">
                  <c:v>0.18802316560541624</c:v>
                </c:pt>
                <c:pt idx="27">
                  <c:v>0.1824930857261306</c:v>
                </c:pt>
                <c:pt idx="28">
                  <c:v>0.17574223874483791</c:v>
                </c:pt>
                <c:pt idx="29">
                  <c:v>0.17030811443634786</c:v>
                </c:pt>
                <c:pt idx="30">
                  <c:v>0.16581060073634613</c:v>
                </c:pt>
                <c:pt idx="31">
                  <c:v>0.16200739153199406</c:v>
                </c:pt>
                <c:pt idx="32">
                  <c:v>0.15873578554719298</c:v>
                </c:pt>
                <c:pt idx="33">
                  <c:v>0.1558819429207764</c:v>
                </c:pt>
                <c:pt idx="34">
                  <c:v>0.15336350460958653</c:v>
                </c:pt>
                <c:pt idx="35">
                  <c:v>0.15258750299075324</c:v>
                </c:pt>
                <c:pt idx="36">
                  <c:v>0.15183997643463049</c:v>
                </c:pt>
                <c:pt idx="37">
                  <c:v>0.14561416138126165</c:v>
                </c:pt>
                <c:pt idx="38">
                  <c:v>0.14098205880715184</c:v>
                </c:pt>
                <c:pt idx="39">
                  <c:v>0.13735966518857962</c:v>
                </c:pt>
                <c:pt idx="40">
                  <c:v>0.13315146127177829</c:v>
                </c:pt>
                <c:pt idx="41">
                  <c:v>0.13198338393697565</c:v>
                </c:pt>
                <c:pt idx="42">
                  <c:v>0.13090677060850184</c:v>
                </c:pt>
                <c:pt idx="43">
                  <c:v>0.12991019916013472</c:v>
                </c:pt>
                <c:pt idx="44">
                  <c:v>0.12898415453242229</c:v>
                </c:pt>
                <c:pt idx="45">
                  <c:v>0.12812063745556396</c:v>
                </c:pt>
                <c:pt idx="46">
                  <c:v>0.12731286708789216</c:v>
                </c:pt>
                <c:pt idx="47">
                  <c:v>0.12655505203044115</c:v>
                </c:pt>
                <c:pt idx="48">
                  <c:v>0.12584221187268863</c:v>
                </c:pt>
                <c:pt idx="49">
                  <c:v>0.12517003659265555</c:v>
                </c:pt>
                <c:pt idx="50">
                  <c:v>0.1245347746689959</c:v>
                </c:pt>
                <c:pt idx="51">
                  <c:v>0.12393314322006552</c:v>
                </c:pt>
                <c:pt idx="52">
                  <c:v>0.12336225521944555</c:v>
                </c:pt>
                <c:pt idx="53">
                  <c:v>0.12281956007877118</c:v>
                </c:pt>
                <c:pt idx="54">
                  <c:v>0.12230279478862038</c:v>
                </c:pt>
                <c:pt idx="55">
                  <c:v>0.12180994346836471</c:v>
                </c:pt>
                <c:pt idx="56">
                  <c:v>0.12133920366550809</c:v>
                </c:pt>
                <c:pt idx="57">
                  <c:v>0.12088895811193365</c:v>
                </c:pt>
                <c:pt idx="58">
                  <c:v>0.120457750922043</c:v>
                </c:pt>
                <c:pt idx="59">
                  <c:v>0.12004426742964795</c:v>
                </c:pt>
                <c:pt idx="60">
                  <c:v>0.11964731702356839</c:v>
                </c:pt>
                <c:pt idx="61">
                  <c:v>0.11926581846842445</c:v>
                </c:pt>
                <c:pt idx="62">
                  <c:v>0.1188987872960168</c:v>
                </c:pt>
                <c:pt idx="63">
                  <c:v>0.11854532493053582</c:v>
                </c:pt>
                <c:pt idx="64">
                  <c:v>0.1182046092725228</c:v>
                </c:pt>
                <c:pt idx="65">
                  <c:v>0.11787588651568527</c:v>
                </c:pt>
                <c:pt idx="66">
                  <c:v>0.11755846401011</c:v>
                </c:pt>
                <c:pt idx="67">
                  <c:v>0.11725170401723155</c:v>
                </c:pt>
                <c:pt idx="68">
                  <c:v>0.11695501822770903</c:v>
                </c:pt>
                <c:pt idx="69">
                  <c:v>0.11666786293438774</c:v>
                </c:pt>
                <c:pt idx="70">
                  <c:v>0.11638973476973966</c:v>
                </c:pt>
                <c:pt idx="71">
                  <c:v>0.11612016693134233</c:v>
                </c:pt>
                <c:pt idx="72">
                  <c:v>0.11585872583066117</c:v>
                </c:pt>
                <c:pt idx="73">
                  <c:v>0.11560500811011463</c:v>
                </c:pt>
                <c:pt idx="74">
                  <c:v>0.11535863798149583</c:v>
                </c:pt>
                <c:pt idx="75">
                  <c:v>0.11511926484559348</c:v>
                </c:pt>
                <c:pt idx="76">
                  <c:v>0.1148865611585396</c:v>
                </c:pt>
                <c:pt idx="77">
                  <c:v>0.1146602205151986</c:v>
                </c:pt>
                <c:pt idx="78">
                  <c:v>0.11443995592396213</c:v>
                </c:pt>
                <c:pt idx="79">
                  <c:v>0.11422549825074535</c:v>
                </c:pt>
                <c:pt idx="80">
                  <c:v>0.1140165948129036</c:v>
                </c:pt>
                <c:pt idx="81">
                  <c:v>0.11381300810627976</c:v>
                </c:pt>
                <c:pt idx="82">
                  <c:v>0.11361451465072721</c:v>
                </c:pt>
                <c:pt idx="83">
                  <c:v>0.11342090394128473</c:v>
                </c:pt>
                <c:pt idx="84">
                  <c:v>0.11323197749375516</c:v>
                </c:pt>
                <c:pt idx="85">
                  <c:v>0.1130475479748007</c:v>
                </c:pt>
                <c:pt idx="86">
                  <c:v>0.11286743840784347</c:v>
                </c:pt>
                <c:pt idx="87">
                  <c:v>0.11269148144708066</c:v>
                </c:pt>
                <c:pt idx="88">
                  <c:v>0.11251951871281074</c:v>
                </c:pt>
                <c:pt idx="89">
                  <c:v>0.11235140018203926</c:v>
                </c:pt>
                <c:pt idx="90">
                  <c:v>0.112186983629008</c:v>
                </c:pt>
                <c:pt idx="91">
                  <c:v>0.11202613411088155</c:v>
                </c:pt>
                <c:pt idx="92">
                  <c:v>0.11186872349434282</c:v>
                </c:pt>
                <c:pt idx="93">
                  <c:v>0.11171463001930382</c:v>
                </c:pt>
                <c:pt idx="94">
                  <c:v>0.11156373789633903</c:v>
                </c:pt>
                <c:pt idx="95">
                  <c:v>0.11141593693480087</c:v>
                </c:pt>
                <c:pt idx="96">
                  <c:v>0.11127112219888964</c:v>
                </c:pt>
                <c:pt idx="97">
                  <c:v>0.11112919368922615</c:v>
                </c:pt>
                <c:pt idx="98">
                  <c:v>0.11099005604772019</c:v>
                </c:pt>
                <c:pt idx="99">
                  <c:v>0.11085361828374568</c:v>
                </c:pt>
                <c:pt idx="100">
                  <c:v>0.11071979351982694</c:v>
                </c:pt>
                <c:pt idx="101">
                  <c:v>0.11058849875521261</c:v>
                </c:pt>
                <c:pt idx="102">
                  <c:v>0.11045965464586815</c:v>
                </c:pt>
                <c:pt idx="103">
                  <c:v>0.1103331852995553</c:v>
                </c:pt>
                <c:pt idx="104">
                  <c:v>0.11020901808478963</c:v>
                </c:pt>
                <c:pt idx="105">
                  <c:v>0.11008708345257856</c:v>
                </c:pt>
                <c:pt idx="106">
                  <c:v>0.10996731476994041</c:v>
                </c:pt>
                <c:pt idx="107">
                  <c:v>0.10984964816429479</c:v>
                </c:pt>
                <c:pt idx="108">
                  <c:v>0.1097340223778943</c:v>
                </c:pt>
                <c:pt idx="109">
                  <c:v>0.10962037863154055</c:v>
                </c:pt>
                <c:pt idx="110">
                  <c:v>0.10950866049689165</c:v>
                </c:pt>
                <c:pt idx="111">
                  <c:v>0.10939881377672821</c:v>
                </c:pt>
                <c:pt idx="112">
                  <c:v>0.10929078639259765</c:v>
                </c:pt>
                <c:pt idx="113">
                  <c:v>0.10918452827930512</c:v>
                </c:pt>
                <c:pt idx="114">
                  <c:v>0.10907999128576273</c:v>
                </c:pt>
                <c:pt idx="115">
                  <c:v>0.10897712908174917</c:v>
                </c:pt>
                <c:pt idx="116">
                  <c:v>0.10887589707016727</c:v>
                </c:pt>
                <c:pt idx="117">
                  <c:v>0.10877625230442019</c:v>
                </c:pt>
                <c:pt idx="118">
                  <c:v>0.10867815341055687</c:v>
                </c:pt>
                <c:pt idx="119">
                  <c:v>0.10858156051386428</c:v>
                </c:pt>
                <c:pt idx="120">
                  <c:v>0.10848643516960954</c:v>
                </c:pt>
                <c:pt idx="121">
                  <c:v>0.10839274029765682</c:v>
                </c:pt>
                <c:pt idx="122">
                  <c:v>0.10286900291344968</c:v>
                </c:pt>
                <c:pt idx="123">
                  <c:v>9.9013039593584831E-2</c:v>
                </c:pt>
                <c:pt idx="124">
                  <c:v>9.7275690822989272E-2</c:v>
                </c:pt>
                <c:pt idx="125">
                  <c:v>9.6229088897343926E-2</c:v>
                </c:pt>
                <c:pt idx="126">
                  <c:v>9.5509327650545428E-2</c:v>
                </c:pt>
                <c:pt idx="127">
                  <c:v>9.4974768909164162E-2</c:v>
                </c:pt>
                <c:pt idx="128">
                  <c:v>9.4557202602732648E-2</c:v>
                </c:pt>
                <c:pt idx="129">
                  <c:v>9.4219153762431881E-2</c:v>
                </c:pt>
                <c:pt idx="130">
                  <c:v>9.3938083876238851E-2</c:v>
                </c:pt>
                <c:pt idx="131">
                  <c:v>9.3699508986534563E-2</c:v>
                </c:pt>
                <c:pt idx="132">
                  <c:v>9.2392880383722287E-2</c:v>
                </c:pt>
                <c:pt idx="133">
                  <c:v>9.1804178778069234E-2</c:v>
                </c:pt>
                <c:pt idx="134">
                  <c:v>9.1449539852100151E-2</c:v>
                </c:pt>
                <c:pt idx="135">
                  <c:v>9.1205651088738307E-2</c:v>
                </c:pt>
                <c:pt idx="136">
                  <c:v>9.1024517954117576E-2</c:v>
                </c:pt>
                <c:pt idx="137">
                  <c:v>9.0883027424580098E-2</c:v>
                </c:pt>
                <c:pt idx="138">
                  <c:v>9.0768481140185125E-2</c:v>
                </c:pt>
                <c:pt idx="139">
                  <c:v>9.0673241968293572E-2</c:v>
                </c:pt>
                <c:pt idx="140">
                  <c:v>9.0592402056970514E-2</c:v>
                </c:pt>
              </c:numCache>
            </c:numRef>
          </c:xVal>
          <c:yVal>
            <c:numRef>
              <c:f>SWR_UTU035!$E$14:$E$154</c:f>
              <c:numCache>
                <c:formatCode>General</c:formatCode>
                <c:ptCount val="141"/>
                <c:pt idx="0">
                  <c:v>1.9806560891816472E-3</c:v>
                </c:pt>
                <c:pt idx="1">
                  <c:v>1.3905501306828371E-3</c:v>
                </c:pt>
                <c:pt idx="2">
                  <c:v>7.9122263019041044E-4</c:v>
                </c:pt>
                <c:pt idx="3">
                  <c:v>6.1882113333205761E-4</c:v>
                </c:pt>
                <c:pt idx="4">
                  <c:v>4.9192882042442727E-4</c:v>
                </c:pt>
                <c:pt idx="5">
                  <c:v>3.2316516515616857E-4</c:v>
                </c:pt>
                <c:pt idx="6">
                  <c:v>2.2137266918074847E-4</c:v>
                </c:pt>
                <c:pt idx="7">
                  <c:v>1.856535988094078E-4</c:v>
                </c:pt>
                <c:pt idx="8">
                  <c:v>1.3358555697038626E-4</c:v>
                </c:pt>
                <c:pt idx="9">
                  <c:v>9.8715305813539821E-5</c:v>
                </c:pt>
                <c:pt idx="10">
                  <c:v>7.4642342610164002E-5</c:v>
                </c:pt>
                <c:pt idx="11">
                  <c:v>5.757967444846987E-5</c:v>
                </c:pt>
                <c:pt idx="12">
                  <c:v>4.5203137715269324E-5</c:v>
                </c:pt>
                <c:pt idx="13">
                  <c:v>3.6040506416671273E-5</c:v>
                </c:pt>
                <c:pt idx="14">
                  <c:v>2.9132875980755992E-5</c:v>
                </c:pt>
                <c:pt idx="15">
                  <c:v>2.3840004451600654E-5</c:v>
                </c:pt>
                <c:pt idx="16">
                  <c:v>1.8009830146339762E-5</c:v>
                </c:pt>
                <c:pt idx="17">
                  <c:v>8.1225278896625022E-6</c:v>
                </c:pt>
                <c:pt idx="18">
                  <c:v>4.2711691557827964E-6</c:v>
                </c:pt>
                <c:pt idx="19">
                  <c:v>2.4945786206122081E-6</c:v>
                </c:pt>
                <c:pt idx="20">
                  <c:v>1.5720401280596521E-6</c:v>
                </c:pt>
                <c:pt idx="21">
                  <c:v>1.0492657234037541E-6</c:v>
                </c:pt>
                <c:pt idx="22">
                  <c:v>7.3249742525728822E-7</c:v>
                </c:pt>
                <c:pt idx="23">
                  <c:v>5.301126130783564E-7</c:v>
                </c:pt>
                <c:pt idx="24">
                  <c:v>3.9513729314668033E-7</c:v>
                </c:pt>
                <c:pt idx="25">
                  <c:v>2.3547217389377815E-7</c:v>
                </c:pt>
                <c:pt idx="26">
                  <c:v>1.5080660430250022E-7</c:v>
                </c:pt>
                <c:pt idx="27">
                  <c:v>1.0199414486746778E-7</c:v>
                </c:pt>
                <c:pt idx="28">
                  <c:v>6.1287889433186301E-8</c:v>
                </c:pt>
                <c:pt idx="29">
                  <c:v>3.9505519418555791E-8</c:v>
                </c:pt>
                <c:pt idx="30">
                  <c:v>2.6856660954554745E-8</c:v>
                </c:pt>
                <c:pt idx="31">
                  <c:v>1.9035689253468838E-8</c:v>
                </c:pt>
                <c:pt idx="32">
                  <c:v>1.3953252488858804E-8</c:v>
                </c:pt>
                <c:pt idx="33">
                  <c:v>1.0514306575543855E-8</c:v>
                </c:pt>
                <c:pt idx="34">
                  <c:v>8.1082307035408654E-9</c:v>
                </c:pt>
                <c:pt idx="35">
                  <c:v>7.4690795444957866E-9</c:v>
                </c:pt>
                <c:pt idx="36">
                  <c:v>6.8945393737399697E-9</c:v>
                </c:pt>
                <c:pt idx="37">
                  <c:v>3.4033941167922775E-9</c:v>
                </c:pt>
                <c:pt idx="38">
                  <c:v>1.9106296084748619E-9</c:v>
                </c:pt>
                <c:pt idx="39">
                  <c:v>1.1723553903322412E-9</c:v>
                </c:pt>
                <c:pt idx="40">
                  <c:v>6.335328734246105E-10</c:v>
                </c:pt>
                <c:pt idx="41">
                  <c:v>5.285169348704678E-10</c:v>
                </c:pt>
                <c:pt idx="42">
                  <c:v>4.4524355457799527E-10</c:v>
                </c:pt>
                <c:pt idx="43">
                  <c:v>3.7839917472786544E-10</c:v>
                </c:pt>
                <c:pt idx="44">
                  <c:v>3.241491915705175E-10</c:v>
                </c:pt>
                <c:pt idx="45">
                  <c:v>2.7968045888497355E-10</c:v>
                </c:pt>
                <c:pt idx="46">
                  <c:v>2.4289831598052289E-10</c:v>
                </c:pt>
                <c:pt idx="47">
                  <c:v>2.1222190628469822E-10</c:v>
                </c:pt>
                <c:pt idx="48">
                  <c:v>1.8644337498693649E-10</c:v>
                </c:pt>
                <c:pt idx="49">
                  <c:v>1.64629400035827E-10</c:v>
                </c:pt>
                <c:pt idx="50">
                  <c:v>1.4605128214062151E-10</c:v>
                </c:pt>
                <c:pt idx="51">
                  <c:v>1.3013461836612612E-10</c:v>
                </c:pt>
                <c:pt idx="52">
                  <c:v>1.1642260779210744E-10</c:v>
                </c:pt>
                <c:pt idx="53">
                  <c:v>1.0454897880011071E-10</c:v>
                </c:pt>
                <c:pt idx="54">
                  <c:v>9.4217795062186042E-11</c:v>
                </c:pt>
                <c:pt idx="55">
                  <c:v>8.5188238189839536E-11</c:v>
                </c:pt>
                <c:pt idx="56">
                  <c:v>7.7263031087557092E-11</c:v>
                </c:pt>
                <c:pt idx="57">
                  <c:v>7.0279552402868406E-11</c:v>
                </c:pt>
                <c:pt idx="58">
                  <c:v>6.4102959508252648E-11</c:v>
                </c:pt>
                <c:pt idx="59">
                  <c:v>5.8620824249166599E-11</c:v>
                </c:pt>
                <c:pt idx="60">
                  <c:v>5.37389178255077E-11</c:v>
                </c:pt>
                <c:pt idx="61">
                  <c:v>4.9377875620321084E-11</c:v>
                </c:pt>
                <c:pt idx="62">
                  <c:v>4.5470540968465711E-11</c:v>
                </c:pt>
                <c:pt idx="63">
                  <c:v>4.1959836536987377E-11</c:v>
                </c:pt>
                <c:pt idx="64">
                  <c:v>3.8797048500881875E-11</c:v>
                </c:pt>
                <c:pt idx="65">
                  <c:v>3.5940435763227382E-11</c:v>
                </c:pt>
                <c:pt idx="66">
                  <c:v>3.3354096684237643E-11</c:v>
                </c:pt>
                <c:pt idx="67">
                  <c:v>3.1007040998746669E-11</c:v>
                </c:pt>
                <c:pt idx="68">
                  <c:v>2.8872426134968751E-11</c:v>
                </c:pt>
                <c:pt idx="69">
                  <c:v>2.6926925945776579E-11</c:v>
                </c:pt>
                <c:pt idx="70">
                  <c:v>2.5150206623706348E-11</c:v>
                </c:pt>
                <c:pt idx="71">
                  <c:v>2.3524489791959159E-11</c:v>
                </c:pt>
                <c:pt idx="72">
                  <c:v>2.20341868227556E-11</c:v>
                </c:pt>
                <c:pt idx="73">
                  <c:v>2.0665591606947603E-11</c:v>
                </c:pt>
                <c:pt idx="74">
                  <c:v>1.9406621490632301E-11</c:v>
                </c:pt>
                <c:pt idx="75">
                  <c:v>1.8246598064074417E-11</c:v>
                </c:pt>
                <c:pt idx="76">
                  <c:v>1.7176061049854751E-11</c:v>
                </c:pt>
                <c:pt idx="77">
                  <c:v>1.6186609783207825E-11</c:v>
                </c:pt>
                <c:pt idx="78">
                  <c:v>1.5270767775775227E-11</c:v>
                </c:pt>
                <c:pt idx="79">
                  <c:v>1.4421866656585503E-11</c:v>
                </c:pt>
                <c:pt idx="80">
                  <c:v>1.3633946432064076E-11</c:v>
                </c:pt>
                <c:pt idx="81">
                  <c:v>1.2901669534014597E-11</c:v>
                </c:pt>
                <c:pt idx="82">
                  <c:v>1.2220246551801035E-11</c:v>
                </c:pt>
                <c:pt idx="83">
                  <c:v>1.1585371895430407E-11</c:v>
                </c:pt>
                <c:pt idx="84">
                  <c:v>1.0993167923221332E-11</c:v>
                </c:pt>
                <c:pt idx="85">
                  <c:v>1.0440136304084997E-11</c:v>
                </c:pt>
                <c:pt idx="86">
                  <c:v>9.9231155795730253E-12</c:v>
                </c:pt>
                <c:pt idx="87">
                  <c:v>9.4392440521890285E-12</c:v>
                </c:pt>
                <c:pt idx="88">
                  <c:v>8.9859272613419377E-12</c:v>
                </c:pt>
                <c:pt idx="89">
                  <c:v>8.5608094198838752E-12</c:v>
                </c:pt>
                <c:pt idx="90">
                  <c:v>8.1617482778085313E-12</c:v>
                </c:pt>
                <c:pt idx="91">
                  <c:v>7.7867929584989382E-12</c:v>
                </c:pt>
                <c:pt idx="92">
                  <c:v>7.4341643784738027E-12</c:v>
                </c:pt>
                <c:pt idx="93">
                  <c:v>7.1022379175217366E-12</c:v>
                </c:pt>
                <c:pt idx="94">
                  <c:v>6.7895280529724272E-12</c:v>
                </c:pt>
                <c:pt idx="95">
                  <c:v>6.4946747114821754E-12</c:v>
                </c:pt>
                <c:pt idx="96">
                  <c:v>6.2164311263267802E-12</c:v>
                </c:pt>
                <c:pt idx="97">
                  <c:v>5.9536530155830252E-12</c:v>
                </c:pt>
                <c:pt idx="98">
                  <c:v>5.7052889226631372E-12</c:v>
                </c:pt>
                <c:pt idx="99">
                  <c:v>5.4703715805742784E-12</c:v>
                </c:pt>
                <c:pt idx="100">
                  <c:v>5.2480101798512152E-12</c:v>
                </c:pt>
                <c:pt idx="101">
                  <c:v>5.0373834352719753E-12</c:v>
                </c:pt>
                <c:pt idx="102">
                  <c:v>4.8377333600095992E-12</c:v>
                </c:pt>
                <c:pt idx="103">
                  <c:v>4.6483596671162236E-12</c:v>
                </c:pt>
                <c:pt idx="104">
                  <c:v>4.4686147282733251E-12</c:v>
                </c:pt>
                <c:pt idx="105">
                  <c:v>4.297899028401287E-12</c:v>
                </c:pt>
                <c:pt idx="106">
                  <c:v>4.1356570619128557E-12</c:v>
                </c:pt>
                <c:pt idx="107">
                  <c:v>3.9813736231223203E-12</c:v>
                </c:pt>
                <c:pt idx="108">
                  <c:v>3.8345704486597636E-12</c:v>
                </c:pt>
                <c:pt idx="109">
                  <c:v>3.694803175126436E-12</c:v>
                </c:pt>
                <c:pt idx="110">
                  <c:v>3.5616585787745931E-12</c:v>
                </c:pt>
                <c:pt idx="111">
                  <c:v>3.4347520685508771E-12</c:v>
                </c:pt>
                <c:pt idx="112">
                  <c:v>3.3137254063970647E-12</c:v>
                </c:pt>
                <c:pt idx="113">
                  <c:v>3.1982446322429451E-12</c:v>
                </c:pt>
                <c:pt idx="114">
                  <c:v>3.0879981729399842E-12</c:v>
                </c:pt>
                <c:pt idx="115">
                  <c:v>2.9826951173604707E-12</c:v>
                </c:pt>
                <c:pt idx="116">
                  <c:v>2.8820636412488617E-12</c:v>
                </c:pt>
                <c:pt idx="117">
                  <c:v>2.7858495674854131E-12</c:v>
                </c:pt>
                <c:pt idx="118">
                  <c:v>2.6938150487123236E-12</c:v>
                </c:pt>
                <c:pt idx="119">
                  <c:v>2.6057373609632417E-12</c:v>
                </c:pt>
                <c:pt idx="120">
                  <c:v>2.5214077976954649E-12</c:v>
                </c:pt>
                <c:pt idx="121">
                  <c:v>2.4406306551294389E-12</c:v>
                </c:pt>
                <c:pt idx="122">
                  <c:v>2.5347722396659626E-13</c:v>
                </c:pt>
                <c:pt idx="123">
                  <c:v>2.8066669583075416E-14</c:v>
                </c:pt>
                <c:pt idx="124">
                  <c:v>7.7465220131167578E-15</c:v>
                </c:pt>
                <c:pt idx="125">
                  <c:v>3.107625317730166E-15</c:v>
                </c:pt>
                <c:pt idx="126">
                  <c:v>1.5301733162716244E-15</c:v>
                </c:pt>
                <c:pt idx="127">
                  <c:v>8.577109093383169E-16</c:v>
                </c:pt>
                <c:pt idx="128" formatCode="0.000">
                  <c:v>5.2575738554190343E-16</c:v>
                </c:pt>
                <c:pt idx="129">
                  <c:v>3.4408148547841711E-16</c:v>
                </c:pt>
                <c:pt idx="130">
                  <c:v>2.3672945880651133E-16</c:v>
                </c:pt>
                <c:pt idx="131">
                  <c:v>1.6942303987471976E-16</c:v>
                </c:pt>
                <c:pt idx="132">
                  <c:v>1.8758710665775246E-17</c:v>
                </c:pt>
                <c:pt idx="133">
                  <c:v>5.1774203675977758E-18</c:v>
                </c:pt>
                <c:pt idx="134">
                  <c:v>2.0769833750824699E-18</c:v>
                </c:pt>
                <c:pt idx="135">
                  <c:v>1.0226894402626504E-18</c:v>
                </c:pt>
                <c:pt idx="136">
                  <c:v>5.7324904751031592E-19</c:v>
                </c:pt>
                <c:pt idx="137">
                  <c:v>3.5138830380813924E-19</c:v>
                </c:pt>
                <c:pt idx="138">
                  <c:v>2.2996560272202618E-19</c:v>
                </c:pt>
                <c:pt idx="139">
                  <c:v>1.5821717753933833E-19</c:v>
                </c:pt>
                <c:pt idx="140">
                  <c:v>1.1323315382721662E-19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1D1-4F21-841D-A2381658F3CB}"/>
            </c:ext>
          </c:extLst>
        </c:ser>
        <c:ser>
          <c:idx val="4"/>
          <c:order val="3"/>
          <c:tx>
            <c:v>k wetting</c:v>
          </c:tx>
          <c:spPr>
            <a:ln w="25400">
              <a:solidFill>
                <a:srgbClr val="003300"/>
              </a:solidFill>
              <a:prstDash val="sysDash"/>
            </a:ln>
          </c:spPr>
          <c:marker>
            <c:symbol val="none"/>
          </c:marker>
          <c:xVal>
            <c:numRef>
              <c:f>SWR_UTU035!$K$14:$K$147</c:f>
              <c:numCache>
                <c:formatCode>0.00E+00</c:formatCode>
                <c:ptCount val="134"/>
                <c:pt idx="0">
                  <c:v>0.32803100342141123</c:v>
                </c:pt>
                <c:pt idx="1">
                  <c:v>0.32495398049629937</c:v>
                </c:pt>
                <c:pt idx="2" formatCode="General">
                  <c:v>0.31761135331900092</c:v>
                </c:pt>
                <c:pt idx="3">
                  <c:v>0.3137251740054447</c:v>
                </c:pt>
                <c:pt idx="4" formatCode="General">
                  <c:v>0.30982926251518539</c:v>
                </c:pt>
                <c:pt idx="5" formatCode="General">
                  <c:v>0.30221292092634022</c:v>
                </c:pt>
                <c:pt idx="6" formatCode="General">
                  <c:v>0.29500741455194635</c:v>
                </c:pt>
                <c:pt idx="7" formatCode="General">
                  <c:v>0.29158897718997523</c:v>
                </c:pt>
                <c:pt idx="8" formatCode="General">
                  <c:v>0.28513497580641112</c:v>
                </c:pt>
                <c:pt idx="9" formatCode="General">
                  <c:v>0.27917980742256598</c:v>
                </c:pt>
                <c:pt idx="10" formatCode="General">
                  <c:v>0.27369210520774845</c:v>
                </c:pt>
                <c:pt idx="11" formatCode="General">
                  <c:v>0.26863236006515423</c:v>
                </c:pt>
                <c:pt idx="12" formatCode="General">
                  <c:v>0.26395974948289608</c:v>
                </c:pt>
                <c:pt idx="13" formatCode="General">
                  <c:v>0.25963532858360211</c:v>
                </c:pt>
                <c:pt idx="14" formatCode="General">
                  <c:v>0.25562337070480828</c:v>
                </c:pt>
                <c:pt idx="15" formatCode="General">
                  <c:v>0.25189177625697773</c:v>
                </c:pt>
                <c:pt idx="16" formatCode="General">
                  <c:v>0.24675860053142429</c:v>
                </c:pt>
                <c:pt idx="17" formatCode="General">
                  <c:v>0.23278816074264189</c:v>
                </c:pt>
                <c:pt idx="18" formatCode="General">
                  <c:v>0.22221240481136567</c:v>
                </c:pt>
                <c:pt idx="19" formatCode="General">
                  <c:v>0.21386265036807747</c:v>
                </c:pt>
                <c:pt idx="20" formatCode="General">
                  <c:v>0.20705617679772464</c:v>
                </c:pt>
                <c:pt idx="21" formatCode="General">
                  <c:v>0.20136858970520999</c:v>
                </c:pt>
                <c:pt idx="22" formatCode="General">
                  <c:v>0.19652177803967236</c:v>
                </c:pt>
                <c:pt idx="23" formatCode="General">
                  <c:v>0.19232537014165543</c:v>
                </c:pt>
                <c:pt idx="24" formatCode="General">
                  <c:v>0.17742505518255439</c:v>
                </c:pt>
                <c:pt idx="25" formatCode="General">
                  <c:v>0.16803815314683496</c:v>
                </c:pt>
                <c:pt idx="26" formatCode="General">
                  <c:v>0.16140143248439309</c:v>
                </c:pt>
                <c:pt idx="27" formatCode="General">
                  <c:v>0.15637375907083062</c:v>
                </c:pt>
                <c:pt idx="28" formatCode="General">
                  <c:v>0.15238560221979</c:v>
                </c:pt>
                <c:pt idx="29" formatCode="General">
                  <c:v>0.14911618483300909</c:v>
                </c:pt>
                <c:pt idx="30" formatCode="General">
                  <c:v>0.14401558836190176</c:v>
                </c:pt>
                <c:pt idx="31" formatCode="General">
                  <c:v>0.14016491383779489</c:v>
                </c:pt>
                <c:pt idx="32" formatCode="General">
                  <c:v>0.13711713646695378</c:v>
                </c:pt>
                <c:pt idx="33" formatCode="General">
                  <c:v>0.13462241376468434</c:v>
                </c:pt>
                <c:pt idx="34" formatCode="General">
                  <c:v>0.13252842362648681</c:v>
                </c:pt>
                <c:pt idx="35" formatCode="General">
                  <c:v>0.13159936784910883</c:v>
                </c:pt>
                <c:pt idx="36" formatCode="General">
                  <c:v>0.13073616710630198</c:v>
                </c:pt>
                <c:pt idx="37" formatCode="General">
                  <c:v>0.12993120703886041</c:v>
                </c:pt>
                <c:pt idx="38" formatCode="General">
                  <c:v>0.12917806292571621</c:v>
                </c:pt>
                <c:pt idx="39" formatCode="General">
                  <c:v>0.12847126975895706</c:v>
                </c:pt>
                <c:pt idx="40" formatCode="General">
                  <c:v>0.12780614455515721</c:v>
                </c:pt>
                <c:pt idx="41" formatCode="General">
                  <c:v>0.1271786474071111</c:v>
                </c:pt>
                <c:pt idx="42" formatCode="General">
                  <c:v>0.12658527165494859</c:v>
                </c:pt>
                <c:pt idx="43" formatCode="General">
                  <c:v>0.12602295621486709</c:v>
                </c:pt>
                <c:pt idx="44" formatCode="General">
                  <c:v>0.12548901495872489</c:v>
                </c:pt>
                <c:pt idx="45" formatCode="General">
                  <c:v>0.12498107935121024</c:v>
                </c:pt>
                <c:pt idx="46" formatCode="General">
                  <c:v>0.1244970514941966</c:v>
                </c:pt>
                <c:pt idx="47" formatCode="General">
                  <c:v>0.12403506541340531</c:v>
                </c:pt>
                <c:pt idx="48" formatCode="General">
                  <c:v>0.12359345492676721</c:v>
                </c:pt>
                <c:pt idx="49" formatCode="General">
                  <c:v>0.12317072680888713</c:v>
                </c:pt>
                <c:pt idx="50" formatCode="General">
                  <c:v>0.1227655382477492</c:v>
                </c:pt>
                <c:pt idx="51" formatCode="General">
                  <c:v>0.12237667780346675</c:v>
                </c:pt>
                <c:pt idx="52" formatCode="General">
                  <c:v>0.12200304924237337</c:v>
                </c:pt>
                <c:pt idx="53" formatCode="General">
                  <c:v>0.12164365774588981</c:v>
                </c:pt>
                <c:pt idx="54" formatCode="General">
                  <c:v>0.12129759809168644</c:v>
                </c:pt>
                <c:pt idx="55" formatCode="General">
                  <c:v>0.12096404448149348</c:v>
                </c:pt>
                <c:pt idx="56" formatCode="General">
                  <c:v>0.12064224175051239</c:v>
                </c:pt>
                <c:pt idx="57" formatCode="General">
                  <c:v>0.12033149774149844</c:v>
                </c:pt>
                <c:pt idx="58" formatCode="General">
                  <c:v>0.12003117666502124</c:v>
                </c:pt>
                <c:pt idx="59" formatCode="General">
                  <c:v>0.11974069329829837</c:v>
                </c:pt>
                <c:pt idx="60" formatCode="General">
                  <c:v>0.11945950789995755</c:v>
                </c:pt>
                <c:pt idx="61" formatCode="General">
                  <c:v>0.11918712173835669</c:v>
                </c:pt>
                <c:pt idx="62" formatCode="General">
                  <c:v>0.11892307314764744</c:v>
                </c:pt>
                <c:pt idx="63" formatCode="General">
                  <c:v>0.11866693403934653</c:v>
                </c:pt>
                <c:pt idx="64" formatCode="General">
                  <c:v>0.1184183068083727</c:v>
                </c:pt>
                <c:pt idx="65" formatCode="General">
                  <c:v>0.11817682158177034</c:v>
                </c:pt>
                <c:pt idx="66" formatCode="General">
                  <c:v>0.11794213376604122</c:v>
                </c:pt>
                <c:pt idx="67" formatCode="General">
                  <c:v>0.11771392185543264</c:v>
                </c:pt>
                <c:pt idx="68" formatCode="General">
                  <c:v>0.1174918854689122</c:v>
                </c:pt>
                <c:pt idx="69" formatCode="General">
                  <c:v>0.11727574358808672</c:v>
                </c:pt>
                <c:pt idx="70" formatCode="General">
                  <c:v>0.11706523297214098</c:v>
                </c:pt>
                <c:pt idx="71" formatCode="General">
                  <c:v>0.11686010672910568</c:v>
                </c:pt>
                <c:pt idx="72" formatCode="General">
                  <c:v>0.11666013302550948</c:v>
                </c:pt>
                <c:pt idx="73" formatCode="General">
                  <c:v>0.11646509391881013</c:v>
                </c:pt>
                <c:pt idx="74" formatCode="General">
                  <c:v>0.11627478429899896</c:v>
                </c:pt>
                <c:pt idx="75" formatCode="General">
                  <c:v>0.11608901092748633</c:v>
                </c:pt>
                <c:pt idx="76" formatCode="General">
                  <c:v>0.11590759156284883</c:v>
                </c:pt>
                <c:pt idx="77" formatCode="General">
                  <c:v>0.11573035416428741</c:v>
                </c:pt>
                <c:pt idx="78" formatCode="General">
                  <c:v>0.11555713616474311</c:v>
                </c:pt>
                <c:pt idx="79" formatCode="General">
                  <c:v>0.11538778380656543</c:v>
                </c:pt>
                <c:pt idx="80" formatCode="General">
                  <c:v>0.11522215153345446</c:v>
                </c:pt>
                <c:pt idx="81" formatCode="General">
                  <c:v>0.11506010143311403</c:v>
                </c:pt>
                <c:pt idx="82" formatCode="General">
                  <c:v>0.11490150272568059</c:v>
                </c:pt>
                <c:pt idx="83" formatCode="General">
                  <c:v>0.1147462312935382</c:v>
                </c:pt>
                <c:pt idx="84" formatCode="General">
                  <c:v>0.11459416924861081</c:v>
                </c:pt>
                <c:pt idx="85" formatCode="General">
                  <c:v>0.11444520453364246</c:v>
                </c:pt>
                <c:pt idx="86" formatCode="General">
                  <c:v>0.11429923055434725</c:v>
                </c:pt>
                <c:pt idx="87" formatCode="General">
                  <c:v>0.11415614583963651</c:v>
                </c:pt>
                <c:pt idx="88" formatCode="General">
                  <c:v>0.1140158537274187</c:v>
                </c:pt>
                <c:pt idx="89" formatCode="General">
                  <c:v>0.11387826207372216</c:v>
                </c:pt>
                <c:pt idx="90" formatCode="General">
                  <c:v>0.11374328298311709</c:v>
                </c:pt>
                <c:pt idx="91" formatCode="General">
                  <c:v>0.11361083255861296</c:v>
                </c:pt>
                <c:pt idx="92" formatCode="General">
                  <c:v>0.11348083066938568</c:v>
                </c:pt>
                <c:pt idx="93" formatCode="General">
                  <c:v>0.1133532007348481</c:v>
                </c:pt>
                <c:pt idx="94" formatCode="General">
                  <c:v>0.11322786952371831</c:v>
                </c:pt>
                <c:pt idx="95" formatCode="General">
                  <c:v>0.11310476696686675</c:v>
                </c:pt>
                <c:pt idx="96" formatCode="General">
                  <c:v>0.11298382598283653</c:v>
                </c:pt>
                <c:pt idx="97" formatCode="General">
                  <c:v>0.11286498231503239</c:v>
                </c:pt>
                <c:pt idx="98" formatCode="General">
                  <c:v>0.11274817437966489</c:v>
                </c:pt>
                <c:pt idx="99" formatCode="General">
                  <c:v>0.1126333431236177</c:v>
                </c:pt>
                <c:pt idx="100" formatCode="General">
                  <c:v>0.11252043189148002</c:v>
                </c:pt>
                <c:pt idx="101" formatCode="General">
                  <c:v>0.11240938630105173</c:v>
                </c:pt>
                <c:pt idx="102" formatCode="General">
                  <c:v>0.11230015412668898</c:v>
                </c:pt>
                <c:pt idx="103" formatCode="General">
                  <c:v>0.11219268518991171</c:v>
                </c:pt>
                <c:pt idx="104" formatCode="General">
                  <c:v>0.11208693125674365</c:v>
                </c:pt>
                <c:pt idx="105" formatCode="General">
                  <c:v>0.11198284594129881</c:v>
                </c:pt>
                <c:pt idx="106" formatCode="General">
                  <c:v>0.11188038461516964</c:v>
                </c:pt>
                <c:pt idx="107" formatCode="General">
                  <c:v>0.11177950432220708</c:v>
                </c:pt>
                <c:pt idx="108" formatCode="General">
                  <c:v>0.11168016369831686</c:v>
                </c:pt>
                <c:pt idx="109" formatCode="General">
                  <c:v>0.11158232289592555</c:v>
                </c:pt>
                <c:pt idx="110" formatCode="General">
                  <c:v>0.11148594351279771</c:v>
                </c:pt>
                <c:pt idx="111" formatCode="General">
                  <c:v>0.11139098852491031</c:v>
                </c:pt>
                <c:pt idx="112" formatCode="General">
                  <c:v>0.11129742222311297</c:v>
                </c:pt>
                <c:pt idx="113" formatCode="General">
                  <c:v>0.11120521015332385</c:v>
                </c:pt>
                <c:pt idx="114" formatCode="General">
                  <c:v>0.11111431906002942</c:v>
                </c:pt>
                <c:pt idx="115" formatCode="General">
                  <c:v>0.10562533281777894</c:v>
                </c:pt>
                <c:pt idx="116" formatCode="General">
                  <c:v>0.10159983897715126</c:v>
                </c:pt>
                <c:pt idx="117" formatCode="General">
                  <c:v>9.9713472212934501E-2</c:v>
                </c:pt>
                <c:pt idx="118" formatCode="General">
                  <c:v>9.8548947703338732E-2</c:v>
                </c:pt>
                <c:pt idx="119" formatCode="General">
                  <c:v>9.7733572340547858E-2</c:v>
                </c:pt>
                <c:pt idx="120" formatCode="General">
                  <c:v>9.7119320345445653E-2</c:v>
                </c:pt>
                <c:pt idx="121" formatCode="General">
                  <c:v>9.6633806193377289E-2</c:v>
                </c:pt>
                <c:pt idx="122" formatCode="General">
                  <c:v>9.6236765013576614E-2</c:v>
                </c:pt>
                <c:pt idx="123" formatCode="General">
                  <c:v>9.590372606131653E-2</c:v>
                </c:pt>
                <c:pt idx="124" formatCode="General">
                  <c:v>9.5618820781306471E-2</c:v>
                </c:pt>
                <c:pt idx="125" formatCode="General">
                  <c:v>9.4016131210223883E-2</c:v>
                </c:pt>
                <c:pt idx="126" formatCode="General">
                  <c:v>9.3265131782555216E-2</c:v>
                </c:pt>
                <c:pt idx="127" formatCode="General">
                  <c:v>9.2801517465092506E-2</c:v>
                </c:pt>
                <c:pt idx="128" formatCode="General">
                  <c:v>9.2476906414941246E-2</c:v>
                </c:pt>
                <c:pt idx="129" formatCode="General">
                  <c:v>9.223236587354286E-2</c:v>
                </c:pt>
                <c:pt idx="130" formatCode="General">
                  <c:v>9.2039077700111951E-2</c:v>
                </c:pt>
                <c:pt idx="131" formatCode="General">
                  <c:v>9.1881011751863986E-2</c:v>
                </c:pt>
                <c:pt idx="132" formatCode="General">
                  <c:v>9.1748425848443199E-2</c:v>
                </c:pt>
                <c:pt idx="133" formatCode="General">
                  <c:v>9.1635002495310022E-2</c:v>
                </c:pt>
              </c:numCache>
            </c:numRef>
          </c:xVal>
          <c:yVal>
            <c:numRef>
              <c:f>SWR_UTU035!$M$14:$M$147</c:f>
              <c:numCache>
                <c:formatCode>0.00E+00</c:formatCode>
                <c:ptCount val="134"/>
                <c:pt idx="0">
                  <c:v>2.8006054741756856E-5</c:v>
                </c:pt>
                <c:pt idx="1">
                  <c:v>1.9122135521685129E-5</c:v>
                </c:pt>
                <c:pt idx="2">
                  <c:v>1.0663569941089333E-5</c:v>
                </c:pt>
                <c:pt idx="3">
                  <c:v>8.3217957975265008E-6</c:v>
                </c:pt>
                <c:pt idx="4">
                  <c:v>6.6200333594732912E-6</c:v>
                </c:pt>
                <c:pt idx="5">
                  <c:v>4.3787983565785573E-6</c:v>
                </c:pt>
                <c:pt idx="6">
                  <c:v>3.0326174869483915E-6</c:v>
                </c:pt>
                <c:pt idx="7">
                  <c:v>2.5594193583268198E-6</c:v>
                </c:pt>
                <c:pt idx="8">
                  <c:v>1.8666070145976157E-6</c:v>
                </c:pt>
                <c:pt idx="9">
                  <c:v>1.3987297100116107E-6</c:v>
                </c:pt>
                <c:pt idx="10">
                  <c:v>1.072458431053391E-6</c:v>
                </c:pt>
                <c:pt idx="11">
                  <c:v>8.3865543462746753E-7</c:v>
                </c:pt>
                <c:pt idx="12">
                  <c:v>6.6713407245292934E-7</c:v>
                </c:pt>
                <c:pt idx="13">
                  <c:v>5.3869931623799771E-7</c:v>
                </c:pt>
                <c:pt idx="14">
                  <c:v>4.4077745945270576E-7</c:v>
                </c:pt>
                <c:pt idx="15">
                  <c:v>3.649152367673526E-7</c:v>
                </c:pt>
                <c:pt idx="16">
                  <c:v>2.8025352645830323E-7</c:v>
                </c:pt>
                <c:pt idx="17">
                  <c:v>1.3255519675670814E-7</c:v>
                </c:pt>
                <c:pt idx="18">
                  <c:v>7.2454114334082683E-8</c:v>
                </c:pt>
                <c:pt idx="19">
                  <c:v>4.3706868789891297E-8</c:v>
                </c:pt>
                <c:pt idx="20">
                  <c:v>2.8314473953412794E-8</c:v>
                </c:pt>
                <c:pt idx="21">
                  <c:v>1.9358495961114868E-8</c:v>
                </c:pt>
                <c:pt idx="22">
                  <c:v>1.38045844196108E-8</c:v>
                </c:pt>
                <c:pt idx="23">
                  <c:v>1.0182384433500927E-8</c:v>
                </c:pt>
                <c:pt idx="24">
                  <c:v>3.1164682306121135E-9</c:v>
                </c:pt>
                <c:pt idx="25">
                  <c:v>1.3336688697563529E-9</c:v>
                </c:pt>
                <c:pt idx="26">
                  <c:v>6.8817084306410108E-10</c:v>
                </c:pt>
                <c:pt idx="27">
                  <c:v>4.0016222327843834E-10</c:v>
                </c:pt>
                <c:pt idx="28">
                  <c:v>2.5280756903026247E-10</c:v>
                </c:pt>
                <c:pt idx="29">
                  <c:v>1.6974734272787431E-10</c:v>
                </c:pt>
                <c:pt idx="30">
                  <c:v>8.7169721498998018E-11</c:v>
                </c:pt>
                <c:pt idx="31">
                  <c:v>5.053790905271906E-11</c:v>
                </c:pt>
                <c:pt idx="32">
                  <c:v>3.1864590427771039E-11</c:v>
                </c:pt>
                <c:pt idx="33">
                  <c:v>2.1365297804358685E-11</c:v>
                </c:pt>
                <c:pt idx="34">
                  <c:v>1.5015158214936197E-11</c:v>
                </c:pt>
                <c:pt idx="35">
                  <c:v>1.2770265329552988E-11</c:v>
                </c:pt>
                <c:pt idx="36">
                  <c:v>1.095142392447687E-11</c:v>
                </c:pt>
                <c:pt idx="37">
                  <c:v>9.462181150329534E-12</c:v>
                </c:pt>
                <c:pt idx="38">
                  <c:v>8.2311421521063577E-12</c:v>
                </c:pt>
                <c:pt idx="39">
                  <c:v>7.2046929266775866E-12</c:v>
                </c:pt>
                <c:pt idx="40">
                  <c:v>6.3420414982228452E-12</c:v>
                </c:pt>
                <c:pt idx="41">
                  <c:v>5.6117785887198427E-12</c:v>
                </c:pt>
                <c:pt idx="42">
                  <c:v>4.9894534373719561E-12</c:v>
                </c:pt>
                <c:pt idx="43">
                  <c:v>4.4558397628871718E-12</c:v>
                </c:pt>
                <c:pt idx="44">
                  <c:v>3.9956784786339423E-12</c:v>
                </c:pt>
                <c:pt idx="45">
                  <c:v>3.596754630371464E-12</c:v>
                </c:pt>
                <c:pt idx="46">
                  <c:v>3.2492118400337902E-12</c:v>
                </c:pt>
                <c:pt idx="47">
                  <c:v>2.9450376615991656E-12</c:v>
                </c:pt>
                <c:pt idx="48">
                  <c:v>2.6776733713330722E-12</c:v>
                </c:pt>
                <c:pt idx="49">
                  <c:v>2.4417153438865803E-12</c:v>
                </c:pt>
                <c:pt idx="50">
                  <c:v>2.2326845244899962E-12</c:v>
                </c:pt>
                <c:pt idx="51">
                  <c:v>2.0468470149853617E-12</c:v>
                </c:pt>
                <c:pt idx="52">
                  <c:v>1.8810733695901464E-12</c:v>
                </c:pt>
                <c:pt idx="53">
                  <c:v>1.7327274526242743E-12</c:v>
                </c:pt>
                <c:pt idx="54">
                  <c:v>1.5995780506302222E-12</c:v>
                </c:pt>
                <c:pt idx="55">
                  <c:v>1.4797281294856709E-12</c:v>
                </c:pt>
                <c:pt idx="56">
                  <c:v>1.3715578706656057E-12</c:v>
                </c:pt>
                <c:pt idx="57">
                  <c:v>1.2736785394368992E-12</c:v>
                </c:pt>
                <c:pt idx="58">
                  <c:v>1.1848949218359843E-12</c:v>
                </c:pt>
                <c:pt idx="59">
                  <c:v>1.1041745806883815E-12</c:v>
                </c:pt>
                <c:pt idx="60">
                  <c:v>1.0306225690906239E-12</c:v>
                </c:pt>
                <c:pt idx="61">
                  <c:v>9.6346053523929976E-13</c:v>
                </c:pt>
                <c:pt idx="62">
                  <c:v>9.0200937899120942E-13</c:v>
                </c:pt>
                <c:pt idx="63">
                  <c:v>8.4567479515800439E-13</c:v>
                </c:pt>
                <c:pt idx="64">
                  <c:v>7.9393517405870571E-13</c:v>
                </c:pt>
                <c:pt idx="65">
                  <c:v>7.4633143559857706E-13</c:v>
                </c:pt>
                <c:pt idx="66">
                  <c:v>7.0245845610488719E-13</c:v>
                </c:pt>
                <c:pt idx="67">
                  <c:v>6.6195781258259284E-13</c:v>
                </c:pt>
                <c:pt idx="68">
                  <c:v>6.2451162096794199E-13</c:v>
                </c:pt>
                <c:pt idx="69">
                  <c:v>5.8983728624790431E-13</c:v>
                </c:pt>
                <c:pt idx="70">
                  <c:v>5.576830154023904E-13</c:v>
                </c:pt>
                <c:pt idx="71">
                  <c:v>5.2782397070656562E-13</c:v>
                </c:pt>
                <c:pt idx="72">
                  <c:v>5.0005896239199224E-13</c:v>
                </c:pt>
                <c:pt idx="73">
                  <c:v>4.7420759706341197E-13</c:v>
                </c:pt>
                <c:pt idx="74">
                  <c:v>4.5010781240839211E-13</c:v>
                </c:pt>
                <c:pt idx="75">
                  <c:v>4.2761374032309298E-13</c:v>
                </c:pt>
                <c:pt idx="76">
                  <c:v>4.0659385003917217E-13</c:v>
                </c:pt>
                <c:pt idx="77">
                  <c:v>3.8692933064274857E-13</c:v>
                </c:pt>
                <c:pt idx="78">
                  <c:v>3.6851267882203315E-13</c:v>
                </c:pt>
                <c:pt idx="79">
                  <c:v>3.5124646300265356E-13</c:v>
                </c:pt>
                <c:pt idx="80">
                  <c:v>3.3504223947411236E-13</c:v>
                </c:pt>
                <c:pt idx="81">
                  <c:v>3.198195997909597E-13</c:v>
                </c:pt>
                <c:pt idx="82">
                  <c:v>3.0550533183921145E-13</c:v>
                </c:pt>
                <c:pt idx="83">
                  <c:v>2.9203267952338563E-13</c:v>
                </c:pt>
                <c:pt idx="84">
                  <c:v>2.79340688230035E-13</c:v>
                </c:pt>
                <c:pt idx="85">
                  <c:v>2.6737362504615144E-13</c:v>
                </c:pt>
                <c:pt idx="86">
                  <c:v>2.5608046425587086E-13</c:v>
                </c:pt>
                <c:pt idx="87">
                  <c:v>2.454144299731152E-13</c:v>
                </c:pt>
                <c:pt idx="88">
                  <c:v>2.3533258885943392E-13</c:v>
                </c:pt>
                <c:pt idx="89">
                  <c:v>2.2579548684937176E-13</c:v>
                </c:pt>
                <c:pt idx="90">
                  <c:v>2.1676682459838554E-13</c:v>
                </c:pt>
                <c:pt idx="91">
                  <c:v>2.08213167076498E-13</c:v>
                </c:pt>
                <c:pt idx="92">
                  <c:v>2.0010368331246162E-13</c:v>
                </c:pt>
                <c:pt idx="93">
                  <c:v>1.9240991282118186E-13</c:v>
                </c:pt>
                <c:pt idx="94">
                  <c:v>1.8510555566640604E-13</c:v>
                </c:pt>
                <c:pt idx="95">
                  <c:v>1.781662835076525E-13</c:v>
                </c:pt>
                <c:pt idx="96">
                  <c:v>1.7156956929834103E-13</c:v>
                </c:pt>
                <c:pt idx="97">
                  <c:v>1.6529453359157672E-13</c:v>
                </c:pt>
                <c:pt idx="98">
                  <c:v>1.5932180565167569E-13</c:v>
                </c:pt>
                <c:pt idx="99">
                  <c:v>1.536333977835211E-13</c:v>
                </c:pt>
                <c:pt idx="100">
                  <c:v>1.4821259149066744E-13</c:v>
                </c:pt>
                <c:pt idx="101">
                  <c:v>1.430438342097133E-13</c:v>
                </c:pt>
                <c:pt idx="102">
                  <c:v>1.3811264554457873E-13</c:v>
                </c:pt>
                <c:pt idx="103">
                  <c:v>1.3340553201356185E-13</c:v>
                </c:pt>
                <c:pt idx="104">
                  <c:v>1.2890990946116863E-13</c:v>
                </c:pt>
                <c:pt idx="105">
                  <c:v>1.246140323616108E-13</c:v>
                </c:pt>
                <c:pt idx="106">
                  <c:v>1.2050692933340604E-13</c:v>
                </c:pt>
                <c:pt idx="107">
                  <c:v>1.165783442624526E-13</c:v>
                </c:pt>
                <c:pt idx="108">
                  <c:v>1.1281868248423383E-13</c:v>
                </c:pt>
                <c:pt idx="109">
                  <c:v>1.092189615459057E-13</c:v>
                </c:pt>
                <c:pt idx="110">
                  <c:v>1.0577076611331096E-13</c:v>
                </c:pt>
                <c:pt idx="111">
                  <c:v>1.0246620663349412E-13</c:v>
                </c:pt>
                <c:pt idx="112">
                  <c:v>9.9297881405731043E-14</c:v>
                </c:pt>
                <c:pt idx="113">
                  <c:v>9.6258841746753276E-14</c:v>
                </c:pt>
                <c:pt idx="114">
                  <c:v>9.3342559970928888E-14</c:v>
                </c:pt>
                <c:pt idx="115">
                  <c:v>1.0983978483408637E-14</c:v>
                </c:pt>
                <c:pt idx="116">
                  <c:v>1.3731023566446858E-15</c:v>
                </c:pt>
                <c:pt idx="117">
                  <c:v>4.0685336874868805E-16</c:v>
                </c:pt>
                <c:pt idx="118">
                  <c:v>1.716427706350996E-16</c:v>
                </c:pt>
                <c:pt idx="119">
                  <c:v>8.7881515654805219E-17</c:v>
                </c:pt>
                <c:pt idx="120">
                  <c:v>5.0857506876238747E-17</c:v>
                </c:pt>
                <c:pt idx="121">
                  <c:v>3.2026947130541513E-17</c:v>
                </c:pt>
                <c:pt idx="122">
                  <c:v>2.1455582035056259E-17</c:v>
                </c:pt>
                <c:pt idx="123">
                  <c:v>1.506895637089939E-17</c:v>
                </c:pt>
                <c:pt idx="124">
                  <c:v>1.0985277758113506E-17</c:v>
                </c:pt>
                <c:pt idx="125">
                  <c:v>1.3731639018708891E-18</c:v>
                </c:pt>
                <c:pt idx="126">
                  <c:v>4.0686370573837572E-19</c:v>
                </c:pt>
                <c:pt idx="127">
                  <c:v>1.7164568580284584E-19</c:v>
                </c:pt>
                <c:pt idx="128">
                  <c:v>8.7882607883546547E-20</c:v>
                </c:pt>
                <c:pt idx="129">
                  <c:v>5.0857996504310621E-20</c:v>
                </c:pt>
                <c:pt idx="130">
                  <c:v>3.2027195559000253E-20</c:v>
                </c:pt>
                <c:pt idx="131">
                  <c:v>2.1455720157742306E-20</c:v>
                </c:pt>
                <c:pt idx="132">
                  <c:v>1.506903862127881E-20</c:v>
                </c:pt>
                <c:pt idx="133">
                  <c:v>1.098532950494706E-20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1D1-4F21-841D-A2381658F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480412712"/>
        <c:scaling>
          <c:orientation val="minMax"/>
          <c:max val="0.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Volumetric water content</a:t>
                </a:r>
              </a:p>
            </c:rich>
          </c:tx>
          <c:layout>
            <c:manualLayout>
              <c:xMode val="edge"/>
              <c:yMode val="edge"/>
              <c:x val="0.35504200621210558"/>
              <c:y val="0.884237513789037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.1"/>
        <c:crossBetween val="midCat"/>
        <c:minorUnit val="0.02"/>
      </c:valAx>
      <c:valAx>
        <c:axId val="1"/>
        <c:scaling>
          <c:logBase val="10"/>
          <c:orientation val="minMax"/>
          <c:max val="100000"/>
          <c:min val="0.1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Matric suction (kPa)</a:t>
                </a:r>
              </a:p>
            </c:rich>
          </c:tx>
          <c:layout>
            <c:manualLayout>
              <c:xMode val="edge"/>
              <c:yMode val="edge"/>
              <c:x val="3.2751091703056769E-2"/>
              <c:y val="0.35265776560538631"/>
            </c:manualLayout>
          </c:layout>
          <c:overlay val="0"/>
          <c:spPr>
            <a:noFill/>
            <a:ln w="25400">
              <a:noFill/>
            </a:ln>
          </c:spPr>
        </c:title>
        <c:numFmt formatCode="0E+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412712"/>
        <c:crosses val="autoZero"/>
        <c:crossBetween val="midCat"/>
        <c:minorUnit val="10"/>
      </c:valAx>
      <c:val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logBase val="10"/>
          <c:orientation val="minMax"/>
          <c:max val="1.0000000000000002E-2"/>
          <c:min val="1.0000000000000005E-9"/>
        </c:scaling>
        <c:delete val="0"/>
        <c:axPos val="r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Conductivity k (cm/s)</a:t>
                </a:r>
              </a:p>
            </c:rich>
          </c:tx>
          <c:layout>
            <c:manualLayout>
              <c:xMode val="edge"/>
              <c:yMode val="edge"/>
              <c:x val="0.92358078602620086"/>
              <c:y val="0.28502491536384039"/>
            </c:manualLayout>
          </c:layout>
          <c:overlay val="0"/>
          <c:spPr>
            <a:noFill/>
            <a:ln w="25400">
              <a:noFill/>
            </a:ln>
          </c:spPr>
        </c:title>
        <c:numFmt formatCode="0.0E+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10"/>
        <c:minorUnit val="1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1528384279475981"/>
          <c:y val="6.5217644895837298E-2"/>
          <c:w val="0.29694323144104806"/>
          <c:h val="0.1312404427707406"/>
        </c:manualLayout>
      </c:layout>
      <c:overlay val="0"/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03056768558952"/>
          <c:y val="6.2802080507624994E-2"/>
          <c:w val="0.64410480349344978"/>
          <c:h val="0.74879403682168255"/>
        </c:manualLayout>
      </c:layout>
      <c:scatterChart>
        <c:scatterStyle val="lineMarker"/>
        <c:varyColors val="0"/>
        <c:ser>
          <c:idx val="1"/>
          <c:order val="0"/>
          <c:tx>
            <c:v>Drying</c:v>
          </c:tx>
          <c:spPr>
            <a:ln w="25400">
              <a:solidFill>
                <a:srgbClr val="FF0000"/>
              </a:solidFill>
              <a:prstDash val="lgDashDotDot"/>
            </a:ln>
          </c:spPr>
          <c:marker>
            <c:symbol val="none"/>
          </c:marker>
          <c:xVal>
            <c:numRef>
              <c:f>SWR_UTU0!$C$14:$C$154</c:f>
              <c:numCache>
                <c:formatCode>General</c:formatCode>
                <c:ptCount val="141"/>
                <c:pt idx="0">
                  <c:v>0.43932600295213142</c:v>
                </c:pt>
                <c:pt idx="1">
                  <c:v>0.43791493239356893</c:v>
                </c:pt>
                <c:pt idx="2">
                  <c:v>0.43364748561179944</c:v>
                </c:pt>
                <c:pt idx="3">
                  <c:v>0.43097158206733122</c:v>
                </c:pt>
                <c:pt idx="4">
                  <c:v>0.42801933487902843</c:v>
                </c:pt>
                <c:pt idx="5">
                  <c:v>0.42148095551333009</c:v>
                </c:pt>
                <c:pt idx="6">
                  <c:v>0.41435990052459859</c:v>
                </c:pt>
                <c:pt idx="7">
                  <c:v>0.41066093296903661</c:v>
                </c:pt>
                <c:pt idx="8">
                  <c:v>0.40311152898513924</c:v>
                </c:pt>
                <c:pt idx="9">
                  <c:v>0.39548980378117238</c:v>
                </c:pt>
                <c:pt idx="10">
                  <c:v>0.38791459588065125</c:v>
                </c:pt>
                <c:pt idx="11">
                  <c:v>0.38047086080631898</c:v>
                </c:pt>
                <c:pt idx="12">
                  <c:v>0.37321728436836488</c:v>
                </c:pt>
                <c:pt idx="13">
                  <c:v>0.36619252216994902</c:v>
                </c:pt>
                <c:pt idx="14">
                  <c:v>0.35942020416137888</c:v>
                </c:pt>
                <c:pt idx="15">
                  <c:v>0.35291286977348213</c:v>
                </c:pt>
                <c:pt idx="16">
                  <c:v>0.34365691999297465</c:v>
                </c:pt>
                <c:pt idx="17">
                  <c:v>0.31696927640476913</c:v>
                </c:pt>
                <c:pt idx="18">
                  <c:v>0.29572961750685822</c:v>
                </c:pt>
                <c:pt idx="19">
                  <c:v>0.27863613445364521</c:v>
                </c:pt>
                <c:pt idx="20">
                  <c:v>0.26464962691052085</c:v>
                </c:pt>
                <c:pt idx="21">
                  <c:v>0.25301213444961307</c:v>
                </c:pt>
                <c:pt idx="22">
                  <c:v>0.24317938723343654</c:v>
                </c:pt>
                <c:pt idx="23">
                  <c:v>0.23475768570249611</c:v>
                </c:pt>
                <c:pt idx="24">
                  <c:v>0.22745795671868718</c:v>
                </c:pt>
                <c:pt idx="25">
                  <c:v>0.21541270764330936</c:v>
                </c:pt>
                <c:pt idx="26">
                  <c:v>0.20585668679730376</c:v>
                </c:pt>
                <c:pt idx="27">
                  <c:v>0.19806595634644886</c:v>
                </c:pt>
                <c:pt idx="28">
                  <c:v>0.18871428187684391</c:v>
                </c:pt>
                <c:pt idx="29">
                  <c:v>0.18133184866799545</c:v>
                </c:pt>
                <c:pt idx="30">
                  <c:v>0.17533129363646283</c:v>
                </c:pt>
                <c:pt idx="31">
                  <c:v>0.17034108457724911</c:v>
                </c:pt>
                <c:pt idx="32">
                  <c:v>0.16611410891215173</c:v>
                </c:pt>
                <c:pt idx="33">
                  <c:v>0.16247922050208036</c:v>
                </c:pt>
                <c:pt idx="34">
                  <c:v>0.15931387831432869</c:v>
                </c:pt>
                <c:pt idx="35">
                  <c:v>0.15834680134176357</c:v>
                </c:pt>
                <c:pt idx="36">
                  <c:v>0.15741896276407844</c:v>
                </c:pt>
                <c:pt idx="37">
                  <c:v>0.14984005637474795</c:v>
                </c:pt>
                <c:pt idx="38">
                  <c:v>0.14438359120218222</c:v>
                </c:pt>
                <c:pt idx="39">
                  <c:v>0.14023294822438159</c:v>
                </c:pt>
                <c:pt idx="40">
                  <c:v>0.13554769314613141</c:v>
                </c:pt>
                <c:pt idx="41">
                  <c:v>0.13427448058639366</c:v>
                </c:pt>
                <c:pt idx="42">
                  <c:v>0.1331118301896963</c:v>
                </c:pt>
                <c:pt idx="43">
                  <c:v>0.13204507452414924</c:v>
                </c:pt>
                <c:pt idx="44">
                  <c:v>0.13106209916046516</c:v>
                </c:pt>
                <c:pt idx="45">
                  <c:v>0.13015280233642348</c:v>
                </c:pt>
                <c:pt idx="46">
                  <c:v>0.12930868750748303</c:v>
                </c:pt>
                <c:pt idx="47">
                  <c:v>0.12852255192945622</c:v>
                </c:pt>
                <c:pt idx="48">
                  <c:v>0.12778824570415614</c:v>
                </c:pt>
                <c:pt idx="49">
                  <c:v>0.12710048324778561</c:v>
                </c:pt>
                <c:pt idx="50">
                  <c:v>0.12645469425736075</c:v>
                </c:pt>
                <c:pt idx="51">
                  <c:v>0.12584690478467481</c:v>
                </c:pt>
                <c:pt idx="52">
                  <c:v>0.125273641506641</c:v>
                </c:pt>
                <c:pt idx="53">
                  <c:v>0.12473185404479242</c:v>
                </c:pt>
                <c:pt idx="54">
                  <c:v>0.12421885145808853</c:v>
                </c:pt>
                <c:pt idx="55">
                  <c:v>0.12373224996060925</c:v>
                </c:pt>
                <c:pt idx="56">
                  <c:v>0.12326992959985404</c:v>
                </c:pt>
                <c:pt idx="57">
                  <c:v>0.12282999814130283</c:v>
                </c:pt>
                <c:pt idx="58">
                  <c:v>0.12241076078870219</c:v>
                </c:pt>
                <c:pt idx="59">
                  <c:v>0.12201069466104866</c:v>
                </c:pt>
                <c:pt idx="60">
                  <c:v>0.12162842717054198</c:v>
                </c:pt>
                <c:pt idx="61">
                  <c:v>0.12126271761820848</c:v>
                </c:pt>
                <c:pt idx="62">
                  <c:v>0.12091244145804635</c:v>
                </c:pt>
                <c:pt idx="63">
                  <c:v>0.12057657678566208</c:v>
                </c:pt>
                <c:pt idx="64">
                  <c:v>0.12025419269028775</c:v>
                </c:pt>
                <c:pt idx="65">
                  <c:v>0.11994443917489928</c:v>
                </c:pt>
                <c:pt idx="66">
                  <c:v>0.11964653840173124</c:v>
                </c:pt>
                <c:pt idx="67">
                  <c:v>0.11935977706271617</c:v>
                </c:pt>
                <c:pt idx="68">
                  <c:v>0.11908349970848311</c:v>
                </c:pt>
                <c:pt idx="69">
                  <c:v>0.11881710289723978</c:v>
                </c:pt>
                <c:pt idx="70">
                  <c:v>0.11856003004745086</c:v>
                </c:pt>
                <c:pt idx="71">
                  <c:v>0.11831176689674071</c:v>
                </c:pt>
                <c:pt idx="72">
                  <c:v>0.11807183748469245</c:v>
                </c:pt>
                <c:pt idx="73">
                  <c:v>0.1178398005898208</c:v>
                </c:pt>
                <c:pt idx="74">
                  <c:v>0.11761524656146148</c:v>
                </c:pt>
                <c:pt idx="75">
                  <c:v>0.11739779449604351</c:v>
                </c:pt>
                <c:pt idx="76">
                  <c:v>0.11718708971450947</c:v>
                </c:pt>
                <c:pt idx="77">
                  <c:v>0.11698280150377754</c:v>
                </c:pt>
                <c:pt idx="78">
                  <c:v>0.11678462109030352</c:v>
                </c:pt>
                <c:pt idx="79">
                  <c:v>0.11659225981816701</c:v>
                </c:pt>
                <c:pt idx="80">
                  <c:v>0.11640544750780929</c:v>
                </c:pt>
                <c:pt idx="81">
                  <c:v>0.11622393097470041</c:v>
                </c:pt>
                <c:pt idx="82">
                  <c:v>0.11604747268990173</c:v>
                </c:pt>
                <c:pt idx="83">
                  <c:v>0.11587584956679067</c:v>
                </c:pt>
                <c:pt idx="84">
                  <c:v>0.11570885186018826</c:v>
                </c:pt>
                <c:pt idx="85">
                  <c:v>0.11554628216582886</c:v>
                </c:pt>
                <c:pt idx="86">
                  <c:v>0.1153879545095766</c:v>
                </c:pt>
                <c:pt idx="87">
                  <c:v>0.11523369351705988</c:v>
                </c:pt>
                <c:pt idx="88">
                  <c:v>0.11508333365549429</c:v>
                </c:pt>
                <c:pt idx="89">
                  <c:v>0.11493671854041781</c:v>
                </c:pt>
                <c:pt idx="90">
                  <c:v>0.11479370030089386</c:v>
                </c:pt>
                <c:pt idx="91">
                  <c:v>0.11465413899746273</c:v>
                </c:pt>
                <c:pt idx="92">
                  <c:v>0.11451790208775664</c:v>
                </c:pt>
                <c:pt idx="93">
                  <c:v>0.11438486393524898</c:v>
                </c:pt>
                <c:pt idx="94">
                  <c:v>0.11425490535709695</c:v>
                </c:pt>
                <c:pt idx="95">
                  <c:v>0.1141279132074665</c:v>
                </c:pt>
                <c:pt idx="96">
                  <c:v>0.11400377999310597</c:v>
                </c:pt>
                <c:pt idx="97">
                  <c:v>0.11388240351827071</c:v>
                </c:pt>
                <c:pt idx="98">
                  <c:v>0.11376368655639515</c:v>
                </c:pt>
                <c:pt idx="99">
                  <c:v>0.11364753654617214</c:v>
                </c:pt>
                <c:pt idx="100">
                  <c:v>0.11353386530993094</c:v>
                </c:pt>
                <c:pt idx="101">
                  <c:v>0.113422588792413</c:v>
                </c:pt>
                <c:pt idx="102">
                  <c:v>0.11331362681822796</c:v>
                </c:pt>
                <c:pt idx="103">
                  <c:v>0.11320690286643709</c:v>
                </c:pt>
                <c:pt idx="104">
                  <c:v>0.11310234386085814</c:v>
                </c:pt>
                <c:pt idx="105">
                  <c:v>0.11299987997481623</c:v>
                </c:pt>
                <c:pt idx="106">
                  <c:v>0.11289944444918347</c:v>
                </c:pt>
                <c:pt idx="107">
                  <c:v>0.11280097342265545</c:v>
                </c:pt>
                <c:pt idx="108">
                  <c:v>0.11270440577330681</c:v>
                </c:pt>
                <c:pt idx="109">
                  <c:v>0.11260968297055417</c:v>
                </c:pt>
                <c:pt idx="110">
                  <c:v>0.11251674893673062</c:v>
                </c:pt>
                <c:pt idx="111">
                  <c:v>0.11242554991754562</c:v>
                </c:pt>
                <c:pt idx="112">
                  <c:v>0.11233603436076643</c:v>
                </c:pt>
                <c:pt idx="113">
                  <c:v>0.11224815280251349</c:v>
                </c:pt>
                <c:pt idx="114">
                  <c:v>0.11216185776061351</c:v>
                </c:pt>
                <c:pt idx="115">
                  <c:v>0.11207710363450019</c:v>
                </c:pt>
                <c:pt idx="116">
                  <c:v>0.11199384661119423</c:v>
                </c:pt>
                <c:pt idx="117">
                  <c:v>0.11191204457693285</c:v>
                </c:pt>
                <c:pt idx="118">
                  <c:v>0.11183165703405315</c:v>
                </c:pt>
                <c:pt idx="119">
                  <c:v>0.11175264502276561</c:v>
                </c:pt>
                <c:pt idx="120">
                  <c:v>0.11167497104748249</c:v>
                </c:pt>
                <c:pt idx="121">
                  <c:v>0.11159859900739187</c:v>
                </c:pt>
                <c:pt idx="122">
                  <c:v>0.10734769915293892</c:v>
                </c:pt>
                <c:pt idx="123">
                  <c:v>0.1047151812050072</c:v>
                </c:pt>
                <c:pt idx="124">
                  <c:v>0.10363748665416615</c:v>
                </c:pt>
                <c:pt idx="125">
                  <c:v>0.10302580673672133</c:v>
                </c:pt>
                <c:pt idx="126">
                  <c:v>0.1026231254800784</c:v>
                </c:pt>
                <c:pt idx="127">
                  <c:v>0.10233422780244386</c:v>
                </c:pt>
                <c:pt idx="128">
                  <c:v>0.10211493683141905</c:v>
                </c:pt>
                <c:pt idx="129">
                  <c:v>0.10194170222580695</c:v>
                </c:pt>
                <c:pt idx="130">
                  <c:v>0.10180071535221515</c:v>
                </c:pt>
                <c:pt idx="131">
                  <c:v>0.10168329530779183</c:v>
                </c:pt>
                <c:pt idx="132">
                  <c:v>0.10108019274997304</c:v>
                </c:pt>
                <c:pt idx="133">
                  <c:v>0.10083330288412924</c:v>
                </c:pt>
                <c:pt idx="134">
                  <c:v>0.10069317374779541</c:v>
                </c:pt>
                <c:pt idx="135">
                  <c:v>0.10060092421504113</c:v>
                </c:pt>
                <c:pt idx="136">
                  <c:v>0.10053474127994837</c:v>
                </c:pt>
                <c:pt idx="137">
                  <c:v>0.10048450444789515</c:v>
                </c:pt>
                <c:pt idx="138">
                  <c:v>0.10044481858473754</c:v>
                </c:pt>
                <c:pt idx="139">
                  <c:v>0.1004125202866321</c:v>
                </c:pt>
                <c:pt idx="140">
                  <c:v>0.10038562085905992</c:v>
                </c:pt>
              </c:numCache>
            </c:numRef>
          </c:xVal>
          <c:yVal>
            <c:numRef>
              <c:f>SWR_UTU0!$B$14:$B$154</c:f>
              <c:numCache>
                <c:formatCode>General</c:formatCode>
                <c:ptCount val="141"/>
                <c:pt idx="0">
                  <c:v>9.8966999999999999E-2</c:v>
                </c:pt>
                <c:pt idx="1">
                  <c:v>0.197934</c:v>
                </c:pt>
                <c:pt idx="2">
                  <c:v>0.395868</c:v>
                </c:pt>
                <c:pt idx="3">
                  <c:v>0.49483500000000002</c:v>
                </c:pt>
                <c:pt idx="4">
                  <c:v>0.59380199999999994</c:v>
                </c:pt>
                <c:pt idx="5">
                  <c:v>0.791736</c:v>
                </c:pt>
                <c:pt idx="6">
                  <c:v>0.98967000000000005</c:v>
                </c:pt>
                <c:pt idx="7">
                  <c:v>1.0886370000000001</c:v>
                </c:pt>
                <c:pt idx="8">
                  <c:v>1.2865709999999999</c:v>
                </c:pt>
                <c:pt idx="9">
                  <c:v>1.484505</c:v>
                </c:pt>
                <c:pt idx="10">
                  <c:v>1.682439</c:v>
                </c:pt>
                <c:pt idx="11">
                  <c:v>1.8803730000000001</c:v>
                </c:pt>
                <c:pt idx="12">
                  <c:v>2.0783070000000001</c:v>
                </c:pt>
                <c:pt idx="13">
                  <c:v>2.2762410000000002</c:v>
                </c:pt>
                <c:pt idx="14">
                  <c:v>2.4741749999999998</c:v>
                </c:pt>
                <c:pt idx="15">
                  <c:v>2.6721089999999998</c:v>
                </c:pt>
                <c:pt idx="16">
                  <c:v>2.9690099999999999</c:v>
                </c:pt>
                <c:pt idx="17">
                  <c:v>3.9586800000000002</c:v>
                </c:pt>
                <c:pt idx="18">
                  <c:v>4.9483499999999996</c:v>
                </c:pt>
                <c:pt idx="19">
                  <c:v>5.9380199999999999</c:v>
                </c:pt>
                <c:pt idx="20">
                  <c:v>6.9276900000000001</c:v>
                </c:pt>
                <c:pt idx="21">
                  <c:v>7.9173600000000004</c:v>
                </c:pt>
                <c:pt idx="22">
                  <c:v>8.9070300000000007</c:v>
                </c:pt>
                <c:pt idx="23">
                  <c:v>9.8966999999999992</c:v>
                </c:pt>
                <c:pt idx="24">
                  <c:v>10.886369999999999</c:v>
                </c:pt>
                <c:pt idx="25">
                  <c:v>12.86571</c:v>
                </c:pt>
                <c:pt idx="26">
                  <c:v>14.845050000000001</c:v>
                </c:pt>
                <c:pt idx="27">
                  <c:v>16.824390000000001</c:v>
                </c:pt>
                <c:pt idx="28">
                  <c:v>19.793399999999998</c:v>
                </c:pt>
                <c:pt idx="29">
                  <c:v>22.762409999999999</c:v>
                </c:pt>
                <c:pt idx="30">
                  <c:v>25.73142</c:v>
                </c:pt>
                <c:pt idx="31">
                  <c:v>28.700430000000001</c:v>
                </c:pt>
                <c:pt idx="32">
                  <c:v>31.669440000000002</c:v>
                </c:pt>
                <c:pt idx="33">
                  <c:v>34.638449999999999</c:v>
                </c:pt>
                <c:pt idx="34">
                  <c:v>37.607460000000003</c:v>
                </c:pt>
                <c:pt idx="35">
                  <c:v>38.59713</c:v>
                </c:pt>
                <c:pt idx="36">
                  <c:v>39.586799999999997</c:v>
                </c:pt>
                <c:pt idx="37">
                  <c:v>49.483499999999999</c:v>
                </c:pt>
                <c:pt idx="38">
                  <c:v>59.380200000000002</c:v>
                </c:pt>
                <c:pt idx="39">
                  <c:v>69.276899999999998</c:v>
                </c:pt>
                <c:pt idx="40">
                  <c:v>84.121949999999998</c:v>
                </c:pt>
                <c:pt idx="41">
                  <c:v>89.070300000000003</c:v>
                </c:pt>
                <c:pt idx="42">
                  <c:v>94.018649999999994</c:v>
                </c:pt>
                <c:pt idx="43">
                  <c:v>98.966999999999999</c:v>
                </c:pt>
                <c:pt idx="44">
                  <c:v>103.91535</c:v>
                </c:pt>
                <c:pt idx="45">
                  <c:v>108.86369999999999</c:v>
                </c:pt>
                <c:pt idx="46">
                  <c:v>113.81205</c:v>
                </c:pt>
                <c:pt idx="47">
                  <c:v>118.7604</c:v>
                </c:pt>
                <c:pt idx="48">
                  <c:v>123.70874999999999</c:v>
                </c:pt>
                <c:pt idx="49">
                  <c:v>128.65709999999999</c:v>
                </c:pt>
                <c:pt idx="50">
                  <c:v>133.60544999999999</c:v>
                </c:pt>
                <c:pt idx="51">
                  <c:v>138.5538</c:v>
                </c:pt>
                <c:pt idx="52">
                  <c:v>143.50215</c:v>
                </c:pt>
                <c:pt idx="53">
                  <c:v>148.45050000000001</c:v>
                </c:pt>
                <c:pt idx="54">
                  <c:v>153.39885000000001</c:v>
                </c:pt>
                <c:pt idx="55">
                  <c:v>158.34719999999999</c:v>
                </c:pt>
                <c:pt idx="56">
                  <c:v>163.29554999999999</c:v>
                </c:pt>
                <c:pt idx="57">
                  <c:v>168.2439</c:v>
                </c:pt>
                <c:pt idx="58">
                  <c:v>173.19225</c:v>
                </c:pt>
                <c:pt idx="59">
                  <c:v>178.14060000000001</c:v>
                </c:pt>
                <c:pt idx="60">
                  <c:v>183.08895000000001</c:v>
                </c:pt>
                <c:pt idx="61">
                  <c:v>188.03729999999999</c:v>
                </c:pt>
                <c:pt idx="62">
                  <c:v>192.98564999999999</c:v>
                </c:pt>
                <c:pt idx="63">
                  <c:v>197.934</c:v>
                </c:pt>
                <c:pt idx="64">
                  <c:v>202.88235</c:v>
                </c:pt>
                <c:pt idx="65">
                  <c:v>207.83070000000001</c:v>
                </c:pt>
                <c:pt idx="66">
                  <c:v>212.77905000000001</c:v>
                </c:pt>
                <c:pt idx="67">
                  <c:v>217.72739999999999</c:v>
                </c:pt>
                <c:pt idx="68">
                  <c:v>222.67574999999999</c:v>
                </c:pt>
                <c:pt idx="69">
                  <c:v>227.6241</c:v>
                </c:pt>
                <c:pt idx="70">
                  <c:v>232.57245</c:v>
                </c:pt>
                <c:pt idx="71">
                  <c:v>237.52080000000001</c:v>
                </c:pt>
                <c:pt idx="72">
                  <c:v>242.46914999999998</c:v>
                </c:pt>
                <c:pt idx="73">
                  <c:v>247.41749999999999</c:v>
                </c:pt>
                <c:pt idx="74">
                  <c:v>252.36584999999999</c:v>
                </c:pt>
                <c:pt idx="75">
                  <c:v>257.31419999999997</c:v>
                </c:pt>
                <c:pt idx="76">
                  <c:v>262.26254999999998</c:v>
                </c:pt>
                <c:pt idx="77">
                  <c:v>267.21089999999998</c:v>
                </c:pt>
                <c:pt idx="78">
                  <c:v>272.15924999999999</c:v>
                </c:pt>
                <c:pt idx="79">
                  <c:v>277.10759999999999</c:v>
                </c:pt>
                <c:pt idx="80">
                  <c:v>282.05595</c:v>
                </c:pt>
                <c:pt idx="81">
                  <c:v>287.0043</c:v>
                </c:pt>
                <c:pt idx="82">
                  <c:v>291.95265000000001</c:v>
                </c:pt>
                <c:pt idx="83">
                  <c:v>296.90100000000001</c:v>
                </c:pt>
                <c:pt idx="84">
                  <c:v>301.84935000000002</c:v>
                </c:pt>
                <c:pt idx="85">
                  <c:v>306.79770000000002</c:v>
                </c:pt>
                <c:pt idx="86">
                  <c:v>311.74605000000003</c:v>
                </c:pt>
                <c:pt idx="87">
                  <c:v>316.69439999999997</c:v>
                </c:pt>
                <c:pt idx="88">
                  <c:v>321.64274999999998</c:v>
                </c:pt>
                <c:pt idx="89">
                  <c:v>326.59109999999998</c:v>
                </c:pt>
                <c:pt idx="90">
                  <c:v>331.53944999999999</c:v>
                </c:pt>
                <c:pt idx="91">
                  <c:v>336.48779999999999</c:v>
                </c:pt>
                <c:pt idx="92">
                  <c:v>341.43615</c:v>
                </c:pt>
                <c:pt idx="93">
                  <c:v>346.3845</c:v>
                </c:pt>
                <c:pt idx="94">
                  <c:v>351.33285000000001</c:v>
                </c:pt>
                <c:pt idx="95">
                  <c:v>356.28120000000001</c:v>
                </c:pt>
                <c:pt idx="96">
                  <c:v>361.22955000000002</c:v>
                </c:pt>
                <c:pt idx="97">
                  <c:v>366.17790000000002</c:v>
                </c:pt>
                <c:pt idx="98">
                  <c:v>371.12624999999997</c:v>
                </c:pt>
                <c:pt idx="99">
                  <c:v>376.07459999999998</c:v>
                </c:pt>
                <c:pt idx="100">
                  <c:v>381.02294999999998</c:v>
                </c:pt>
                <c:pt idx="101">
                  <c:v>385.97129999999999</c:v>
                </c:pt>
                <c:pt idx="102">
                  <c:v>390.91964999999999</c:v>
                </c:pt>
                <c:pt idx="103">
                  <c:v>395.86799999999999</c:v>
                </c:pt>
                <c:pt idx="104">
                  <c:v>400.81635</c:v>
                </c:pt>
                <c:pt idx="105">
                  <c:v>405.7647</c:v>
                </c:pt>
                <c:pt idx="106">
                  <c:v>410.71305000000001</c:v>
                </c:pt>
                <c:pt idx="107">
                  <c:v>415.66140000000001</c:v>
                </c:pt>
                <c:pt idx="108">
                  <c:v>420.60975000000002</c:v>
                </c:pt>
                <c:pt idx="109">
                  <c:v>425.55810000000002</c:v>
                </c:pt>
                <c:pt idx="110">
                  <c:v>430.50644999999997</c:v>
                </c:pt>
                <c:pt idx="111">
                  <c:v>435.45479999999998</c:v>
                </c:pt>
                <c:pt idx="112">
                  <c:v>440.40314999999998</c:v>
                </c:pt>
                <c:pt idx="113">
                  <c:v>445.35149999999999</c:v>
                </c:pt>
                <c:pt idx="114">
                  <c:v>450.29984999999999</c:v>
                </c:pt>
                <c:pt idx="115">
                  <c:v>455.2482</c:v>
                </c:pt>
                <c:pt idx="116">
                  <c:v>460.19655</c:v>
                </c:pt>
                <c:pt idx="117">
                  <c:v>465.14490000000001</c:v>
                </c:pt>
                <c:pt idx="118">
                  <c:v>470.09325000000001</c:v>
                </c:pt>
                <c:pt idx="119">
                  <c:v>475.04160000000002</c:v>
                </c:pt>
                <c:pt idx="120">
                  <c:v>479.98995000000002</c:v>
                </c:pt>
                <c:pt idx="121">
                  <c:v>484.93829999999997</c:v>
                </c:pt>
                <c:pt idx="122">
                  <c:v>989.67</c:v>
                </c:pt>
                <c:pt idx="123">
                  <c:v>1979.34</c:v>
                </c:pt>
                <c:pt idx="124">
                  <c:v>2969.0099999999998</c:v>
                </c:pt>
                <c:pt idx="125">
                  <c:v>3958.68</c:v>
                </c:pt>
                <c:pt idx="126">
                  <c:v>4948.3500000000004</c:v>
                </c:pt>
                <c:pt idx="127">
                  <c:v>5938.0199999999995</c:v>
                </c:pt>
                <c:pt idx="128">
                  <c:v>6927.69</c:v>
                </c:pt>
                <c:pt idx="129">
                  <c:v>7917.36</c:v>
                </c:pt>
                <c:pt idx="130">
                  <c:v>8907.0300000000007</c:v>
                </c:pt>
                <c:pt idx="131">
                  <c:v>9896.7000000000007</c:v>
                </c:pt>
                <c:pt idx="132">
                  <c:v>19793.400000000001</c:v>
                </c:pt>
                <c:pt idx="133">
                  <c:v>29690.1</c:v>
                </c:pt>
                <c:pt idx="134">
                  <c:v>39586.800000000003</c:v>
                </c:pt>
                <c:pt idx="135">
                  <c:v>49483.5</c:v>
                </c:pt>
                <c:pt idx="136">
                  <c:v>59380.2</c:v>
                </c:pt>
                <c:pt idx="137">
                  <c:v>69276.899999999994</c:v>
                </c:pt>
                <c:pt idx="138">
                  <c:v>79173.600000000006</c:v>
                </c:pt>
                <c:pt idx="139">
                  <c:v>89070.3</c:v>
                </c:pt>
                <c:pt idx="140">
                  <c:v>98967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2D-4D06-8B7D-82E933A0775C}"/>
            </c:ext>
          </c:extLst>
        </c:ser>
        <c:ser>
          <c:idx val="2"/>
          <c:order val="1"/>
          <c:tx>
            <c:v>Wetting</c:v>
          </c:tx>
          <c:spPr>
            <a:ln w="25400">
              <a:solidFill>
                <a:srgbClr val="0000FF"/>
              </a:solidFill>
              <a:prstDash val="lgDash"/>
            </a:ln>
          </c:spPr>
          <c:marker>
            <c:symbol val="none"/>
          </c:marker>
          <c:xVal>
            <c:numRef>
              <c:f>SWR_UTU0!$K$14:$K$147</c:f>
              <c:numCache>
                <c:formatCode>0.00E+00</c:formatCode>
                <c:ptCount val="134"/>
                <c:pt idx="0">
                  <c:v>0.3792572909413352</c:v>
                </c:pt>
                <c:pt idx="1">
                  <c:v>0.37791941522517603</c:v>
                </c:pt>
                <c:pt idx="2" formatCode="General">
                  <c:v>0.37426948351464484</c:v>
                </c:pt>
                <c:pt idx="3">
                  <c:v>0.37211755768482746</c:v>
                </c:pt>
                <c:pt idx="4" formatCode="General">
                  <c:v>0.36981478226073916</c:v>
                </c:pt>
                <c:pt idx="5" formatCode="General">
                  <c:v>0.364894146749554</c:v>
                </c:pt>
                <c:pt idx="6" formatCode="General">
                  <c:v>0.3597225925772245</c:v>
                </c:pt>
                <c:pt idx="7" formatCode="General">
                  <c:v>0.35709041192451751</c:v>
                </c:pt>
                <c:pt idx="8" formatCode="General">
                  <c:v>0.35180219898245002</c:v>
                </c:pt>
                <c:pt idx="9" formatCode="General">
                  <c:v>0.34654871213562444</c:v>
                </c:pt>
                <c:pt idx="10" formatCode="General">
                  <c:v>0.34138723030952767</c:v>
                </c:pt>
                <c:pt idx="11" formatCode="General">
                  <c:v>0.33635578134419003</c:v>
                </c:pt>
                <c:pt idx="12" formatCode="General">
                  <c:v>0.33147851443017506</c:v>
                </c:pt>
                <c:pt idx="13" formatCode="General">
                  <c:v>0.32676961119169901</c:v>
                </c:pt>
                <c:pt idx="14" formatCode="General">
                  <c:v>0.32223614727554795</c:v>
                </c:pt>
                <c:pt idx="15" formatCode="General">
                  <c:v>0.31788018668471729</c:v>
                </c:pt>
                <c:pt idx="16" formatCode="General">
                  <c:v>0.3116752921057046</c:v>
                </c:pt>
                <c:pt idx="17" formatCode="General">
                  <c:v>0.29362922830858307</c:v>
                </c:pt>
                <c:pt idx="18" formatCode="General">
                  <c:v>0.27898552220226513</c:v>
                </c:pt>
                <c:pt idx="19" formatCode="General">
                  <c:v>0.2669437206698026</c:v>
                </c:pt>
                <c:pt idx="20" formatCode="General">
                  <c:v>0.25688219868954087</c:v>
                </c:pt>
                <c:pt idx="21" formatCode="General">
                  <c:v>0.24834569192117439</c:v>
                </c:pt>
                <c:pt idx="22" formatCode="General">
                  <c:v>0.24100283186203411</c:v>
                </c:pt>
                <c:pt idx="23" formatCode="General">
                  <c:v>0.23460995989535813</c:v>
                </c:pt>
                <c:pt idx="24" formatCode="General">
                  <c:v>0.21182864074468277</c:v>
                </c:pt>
                <c:pt idx="25" formatCode="General">
                  <c:v>0.19757815807796691</c:v>
                </c:pt>
                <c:pt idx="26" formatCode="General">
                  <c:v>0.18762964600834414</c:v>
                </c:pt>
                <c:pt idx="27" formatCode="General">
                  <c:v>0.18019109354958335</c:v>
                </c:pt>
                <c:pt idx="28" formatCode="General">
                  <c:v>0.17436292903002579</c:v>
                </c:pt>
                <c:pt idx="29" formatCode="General">
                  <c:v>0.16963916884952057</c:v>
                </c:pt>
                <c:pt idx="30" formatCode="General">
                  <c:v>0.16237829421673911</c:v>
                </c:pt>
                <c:pt idx="31" formatCode="General">
                  <c:v>0.15699363636154548</c:v>
                </c:pt>
                <c:pt idx="32" formatCode="General">
                  <c:v>0.15279651146993242</c:v>
                </c:pt>
                <c:pt idx="33" formatCode="General">
                  <c:v>0.14940666309028125</c:v>
                </c:pt>
                <c:pt idx="34" formatCode="General">
                  <c:v>0.14659487168149846</c:v>
                </c:pt>
                <c:pt idx="35" formatCode="General">
                  <c:v>0.14535754598693809</c:v>
                </c:pt>
                <c:pt idx="36" formatCode="General">
                  <c:v>0.14421370715979812</c:v>
                </c:pt>
                <c:pt idx="37" formatCode="General">
                  <c:v>0.14315215715775598</c:v>
                </c:pt>
                <c:pt idx="38" formatCode="General">
                  <c:v>0.14216348870059753</c:v>
                </c:pt>
                <c:pt idx="39" formatCode="General">
                  <c:v>0.14123973336098455</c:v>
                </c:pt>
                <c:pt idx="40" formatCode="General">
                  <c:v>0.14037409060300221</c:v>
                </c:pt>
                <c:pt idx="41" formatCode="General">
                  <c:v>0.1395607166550217</c:v>
                </c:pt>
                <c:pt idx="42" formatCode="General">
                  <c:v>0.13879455821032285</c:v>
                </c:pt>
                <c:pt idx="43" formatCode="General">
                  <c:v>0.13807122012887496</c:v>
                </c:pt>
                <c:pt idx="44" formatCode="General">
                  <c:v>0.13738685922172794</c:v>
                </c:pt>
                <c:pt idx="45" formatCode="General">
                  <c:v>0.13673809825311087</c:v>
                </c:pt>
                <c:pt idx="46" formatCode="General">
                  <c:v>0.13612195576569208</c:v>
                </c:pt>
                <c:pt idx="47" formatCode="General">
                  <c:v>0.13553578840065597</c:v>
                </c:pt>
                <c:pt idx="48" formatCode="General">
                  <c:v>0.13497724316653611</c:v>
                </c:pt>
                <c:pt idx="49" formatCode="General">
                  <c:v>0.13444421769102791</c:v>
                </c:pt>
                <c:pt idx="50" formatCode="General">
                  <c:v>0.1339348269248517</c:v>
                </c:pt>
                <c:pt idx="51" formatCode="General">
                  <c:v>0.13344737509571336</c:v>
                </c:pt>
                <c:pt idx="52" formatCode="General">
                  <c:v>0.13298033196151415</c:v>
                </c:pt>
                <c:pt idx="53" formatCode="General">
                  <c:v>0.13253231260523746</c:v>
                </c:pt>
                <c:pt idx="54" formatCode="General">
                  <c:v>0.13210206016387194</c:v>
                </c:pt>
                <c:pt idx="55" formatCode="General">
                  <c:v>0.13168843100090458</c:v>
                </c:pt>
                <c:pt idx="56" formatCode="General">
                  <c:v>0.13129038192413051</c:v>
                </c:pt>
                <c:pt idx="57" formatCode="General">
                  <c:v>0.13090695912357336</c:v>
                </c:pt>
                <c:pt idx="58" formatCode="General">
                  <c:v>0.13053728856253788</c:v>
                </c:pt>
                <c:pt idx="59" formatCode="General">
                  <c:v>0.13018056760150626</c:v>
                </c:pt>
                <c:pt idx="60" formatCode="General">
                  <c:v>0.1298360576722381</c:v>
                </c:pt>
                <c:pt idx="61" formatCode="General">
                  <c:v>0.12950307784995183</c:v>
                </c:pt>
                <c:pt idx="62" formatCode="General">
                  <c:v>0.12918099919633361</c:v>
                </c:pt>
                <c:pt idx="63" formatCode="General">
                  <c:v>0.12886923976647757</c:v>
                </c:pt>
                <c:pt idx="64" formatCode="General">
                  <c:v>0.12856726018960568</c:v>
                </c:pt>
                <c:pt idx="65" formatCode="General">
                  <c:v>0.12827455974724961</c:v>
                </c:pt>
                <c:pt idx="66" formatCode="General">
                  <c:v>0.12799067288405341</c:v>
                </c:pt>
                <c:pt idx="67" formatCode="General">
                  <c:v>0.12771516609591291</c:v>
                </c:pt>
                <c:pt idx="68" formatCode="General">
                  <c:v>0.12744763514816393</c:v>
                </c:pt>
                <c:pt idx="69" formatCode="General">
                  <c:v>0.12718770258323622</c:v>
                </c:pt>
                <c:pt idx="70" formatCode="General">
                  <c:v>0.12693501548284225</c:v>
                </c:pt>
                <c:pt idx="71" formatCode="General">
                  <c:v>0.12668924345454355</c:v>
                </c:pt>
                <c:pt idx="72" formatCode="General">
                  <c:v>0.12645007681658579</c:v>
                </c:pt>
                <c:pt idx="73" formatCode="General">
                  <c:v>0.1262172249583377</c:v>
                </c:pt>
                <c:pt idx="74" formatCode="General">
                  <c:v>0.12599041485660578</c:v>
                </c:pt>
                <c:pt idx="75" formatCode="General">
                  <c:v>0.12576938973061097</c:v>
                </c:pt>
                <c:pt idx="76" formatCode="General">
                  <c:v>0.1255539078205693</c:v>
                </c:pt>
                <c:pt idx="77" formatCode="General">
                  <c:v>0.12534374127667483</c:v>
                </c:pt>
                <c:pt idx="78" formatCode="General">
                  <c:v>0.12513867514688332</c:v>
                </c:pt>
                <c:pt idx="79" formatCode="General">
                  <c:v>0.12493850645327928</c:v>
                </c:pt>
                <c:pt idx="80" formatCode="General">
                  <c:v>0.12474304334800873</c:v>
                </c:pt>
                <c:pt idx="81" formatCode="General">
                  <c:v>0.12455210434080372</c:v>
                </c:pt>
                <c:pt idx="82" formatCode="General">
                  <c:v>0.12436551759103143</c:v>
                </c:pt>
                <c:pt idx="83" formatCode="General">
                  <c:v>0.12418312025799437</c:v>
                </c:pt>
                <c:pt idx="84" formatCode="General">
                  <c:v>0.12400475790390129</c:v>
                </c:pt>
                <c:pt idx="85" formatCode="General">
                  <c:v>0.1238302839445362</c:v>
                </c:pt>
                <c:pt idx="86" formatCode="General">
                  <c:v>0.12365955914318674</c:v>
                </c:pt>
                <c:pt idx="87" formatCode="General">
                  <c:v>0.1234924511438632</c:v>
                </c:pt>
                <c:pt idx="88" formatCode="General">
                  <c:v>0.12332883404025353</c:v>
                </c:pt>
                <c:pt idx="89" formatCode="General">
                  <c:v>0.12316858797722578</c:v>
                </c:pt>
                <c:pt idx="90" formatCode="General">
                  <c:v>0.12301159878201276</c:v>
                </c:pt>
                <c:pt idx="91" formatCode="General">
                  <c:v>0.12285775762250174</c:v>
                </c:pt>
                <c:pt idx="92" formatCode="General">
                  <c:v>0.12270696069030584</c:v>
                </c:pt>
                <c:pt idx="93" formatCode="General">
                  <c:v>0.12255910890652096</c:v>
                </c:pt>
                <c:pt idx="94" formatCode="General">
                  <c:v>0.1224141076482741</c:v>
                </c:pt>
                <c:pt idx="95" formatCode="General">
                  <c:v>0.12227186649434896</c:v>
                </c:pt>
                <c:pt idx="96" formatCode="General">
                  <c:v>0.12213229898833579</c:v>
                </c:pt>
                <c:pt idx="97" formatCode="General">
                  <c:v>0.12199532241789619</c:v>
                </c:pt>
                <c:pt idx="98" formatCode="General">
                  <c:v>0.12186085760886345</c:v>
                </c:pt>
                <c:pt idx="99" formatCode="General">
                  <c:v>0.12172882873301392</c:v>
                </c:pt>
                <c:pt idx="100" formatCode="General">
                  <c:v>0.12159916312844991</c:v>
                </c:pt>
                <c:pt idx="101" formatCode="General">
                  <c:v>0.12147179113162745</c:v>
                </c:pt>
                <c:pt idx="102" formatCode="General">
                  <c:v>0.12134664592014768</c:v>
                </c:pt>
                <c:pt idx="103" formatCode="General">
                  <c:v>0.12122366336550564</c:v>
                </c:pt>
                <c:pt idx="104" formatCode="General">
                  <c:v>0.12110278189506003</c:v>
                </c:pt>
                <c:pt idx="105" formatCode="General">
                  <c:v>0.12098394236254903</c:v>
                </c:pt>
                <c:pt idx="106" formatCode="General">
                  <c:v>0.12086708792653396</c:v>
                </c:pt>
                <c:pt idx="107" formatCode="General">
                  <c:v>0.12075216393620347</c:v>
                </c:pt>
                <c:pt idx="108" formatCode="General">
                  <c:v>0.12063911782401723</c:v>
                </c:pt>
                <c:pt idx="109" formatCode="General">
                  <c:v>0.12052789900471038</c:v>
                </c:pt>
                <c:pt idx="110" formatCode="General">
                  <c:v>0.12041845878021792</c:v>
                </c:pt>
                <c:pt idx="111" formatCode="General">
                  <c:v>0.12031075025011356</c:v>
                </c:pt>
                <c:pt idx="112" formatCode="General">
                  <c:v>0.12020472822718875</c:v>
                </c:pt>
                <c:pt idx="113" formatCode="General">
                  <c:v>0.120100349157827</c:v>
                </c:pt>
                <c:pt idx="114" formatCode="General">
                  <c:v>0.11999757104685491</c:v>
                </c:pt>
                <c:pt idx="115" formatCode="General">
                  <c:v>0.11399941671527306</c:v>
                </c:pt>
                <c:pt idx="116" formatCode="General">
                  <c:v>0.10989934910757485</c:v>
                </c:pt>
                <c:pt idx="117" formatCode="General">
                  <c:v>0.1080828389548794</c:v>
                </c:pt>
                <c:pt idx="118" formatCode="General">
                  <c:v>0.10699996354204644</c:v>
                </c:pt>
                <c:pt idx="119" formatCode="General">
                  <c:v>0.10626096700384</c:v>
                </c:pt>
                <c:pt idx="120" formatCode="General">
                  <c:v>0.10571545986288226</c:v>
                </c:pt>
                <c:pt idx="121" formatCode="General">
                  <c:v>0.10529149071742085</c:v>
                </c:pt>
                <c:pt idx="122" formatCode="General">
                  <c:v>0.10494973835375607</c:v>
                </c:pt>
                <c:pt idx="123" formatCode="General">
                  <c:v>0.10466665946504281</c:v>
                </c:pt>
                <c:pt idx="124" formatCode="General">
                  <c:v>0.10442718289091778</c:v>
                </c:pt>
                <c:pt idx="125" formatCode="General">
                  <c:v>0.10313049371016773</c:v>
                </c:pt>
                <c:pt idx="126" formatCode="General">
                  <c:v>0.10255603795354296</c:v>
                </c:pt>
                <c:pt idx="127" formatCode="General">
                  <c:v>0.10221359399753466</c:v>
                </c:pt>
                <c:pt idx="128" formatCode="General">
                  <c:v>0.10197989875398907</c:v>
                </c:pt>
                <c:pt idx="129" formatCode="General">
                  <c:v>0.10180739206619313</c:v>
                </c:pt>
                <c:pt idx="130" formatCode="General">
                  <c:v>0.10167331993402055</c:v>
                </c:pt>
                <c:pt idx="131" formatCode="General">
                  <c:v>0.10156524749310404</c:v>
                </c:pt>
                <c:pt idx="132" formatCode="General">
                  <c:v>0.10147572950272879</c:v>
                </c:pt>
                <c:pt idx="133" formatCode="General">
                  <c:v>0.10139999994166668</c:v>
                </c:pt>
              </c:numCache>
            </c:numRef>
          </c:xVal>
          <c:yVal>
            <c:numRef>
              <c:f>SWR_UTU0!$J$14:$J$147</c:f>
              <c:numCache>
                <c:formatCode>General</c:formatCode>
                <c:ptCount val="134"/>
                <c:pt idx="0">
                  <c:v>9.8966999999999999E-2</c:v>
                </c:pt>
                <c:pt idx="1">
                  <c:v>0.197934</c:v>
                </c:pt>
                <c:pt idx="2">
                  <c:v>0.395868</c:v>
                </c:pt>
                <c:pt idx="3">
                  <c:v>0.49483500000000002</c:v>
                </c:pt>
                <c:pt idx="4">
                  <c:v>0.59380199999999994</c:v>
                </c:pt>
                <c:pt idx="5">
                  <c:v>0.791736</c:v>
                </c:pt>
                <c:pt idx="6">
                  <c:v>0.98967000000000005</c:v>
                </c:pt>
                <c:pt idx="7">
                  <c:v>1.0886370000000001</c:v>
                </c:pt>
                <c:pt idx="8">
                  <c:v>1.2865709999999999</c:v>
                </c:pt>
                <c:pt idx="9">
                  <c:v>1.484505</c:v>
                </c:pt>
                <c:pt idx="10">
                  <c:v>1.682439</c:v>
                </c:pt>
                <c:pt idx="11">
                  <c:v>1.8803730000000001</c:v>
                </c:pt>
                <c:pt idx="12">
                  <c:v>2.0783070000000001</c:v>
                </c:pt>
                <c:pt idx="13">
                  <c:v>2.2762410000000002</c:v>
                </c:pt>
                <c:pt idx="14">
                  <c:v>2.4741749999999998</c:v>
                </c:pt>
                <c:pt idx="15">
                  <c:v>2.6721089999999998</c:v>
                </c:pt>
                <c:pt idx="16">
                  <c:v>2.9690099999999999</c:v>
                </c:pt>
                <c:pt idx="17">
                  <c:v>3.9586800000000002</c:v>
                </c:pt>
                <c:pt idx="18">
                  <c:v>4.9483499999999996</c:v>
                </c:pt>
                <c:pt idx="19">
                  <c:v>5.9380199999999999</c:v>
                </c:pt>
                <c:pt idx="20">
                  <c:v>6.9276900000000001</c:v>
                </c:pt>
                <c:pt idx="21">
                  <c:v>7.9173600000000004</c:v>
                </c:pt>
                <c:pt idx="22">
                  <c:v>8.9070300000000007</c:v>
                </c:pt>
                <c:pt idx="23">
                  <c:v>9.8966999999999992</c:v>
                </c:pt>
                <c:pt idx="24">
                  <c:v>14.845050000000001</c:v>
                </c:pt>
                <c:pt idx="25">
                  <c:v>19.793399999999998</c:v>
                </c:pt>
                <c:pt idx="26">
                  <c:v>24.74175</c:v>
                </c:pt>
                <c:pt idx="27">
                  <c:v>29.690100000000001</c:v>
                </c:pt>
                <c:pt idx="28">
                  <c:v>34.638449999999999</c:v>
                </c:pt>
                <c:pt idx="29">
                  <c:v>39.586799999999997</c:v>
                </c:pt>
                <c:pt idx="30">
                  <c:v>49.483499999999999</c:v>
                </c:pt>
                <c:pt idx="31">
                  <c:v>59.380200000000002</c:v>
                </c:pt>
                <c:pt idx="32">
                  <c:v>69.276899999999998</c:v>
                </c:pt>
                <c:pt idx="33">
                  <c:v>79.173599999999993</c:v>
                </c:pt>
                <c:pt idx="34">
                  <c:v>89.070300000000003</c:v>
                </c:pt>
                <c:pt idx="35">
                  <c:v>94.018649999999994</c:v>
                </c:pt>
                <c:pt idx="36">
                  <c:v>98.966999999999999</c:v>
                </c:pt>
                <c:pt idx="37">
                  <c:v>103.91535</c:v>
                </c:pt>
                <c:pt idx="38">
                  <c:v>108.86369999999999</c:v>
                </c:pt>
                <c:pt idx="39">
                  <c:v>113.81205</c:v>
                </c:pt>
                <c:pt idx="40">
                  <c:v>118.7604</c:v>
                </c:pt>
                <c:pt idx="41">
                  <c:v>123.70874999999999</c:v>
                </c:pt>
                <c:pt idx="42">
                  <c:v>128.65709999999999</c:v>
                </c:pt>
                <c:pt idx="43">
                  <c:v>133.60544999999999</c:v>
                </c:pt>
                <c:pt idx="44">
                  <c:v>138.5538</c:v>
                </c:pt>
                <c:pt idx="45">
                  <c:v>143.50215</c:v>
                </c:pt>
                <c:pt idx="46">
                  <c:v>148.45050000000001</c:v>
                </c:pt>
                <c:pt idx="47">
                  <c:v>153.39885000000001</c:v>
                </c:pt>
                <c:pt idx="48">
                  <c:v>158.34719999999999</c:v>
                </c:pt>
                <c:pt idx="49">
                  <c:v>163.29554999999999</c:v>
                </c:pt>
                <c:pt idx="50">
                  <c:v>168.2439</c:v>
                </c:pt>
                <c:pt idx="51">
                  <c:v>173.19225</c:v>
                </c:pt>
                <c:pt idx="52">
                  <c:v>178.14060000000001</c:v>
                </c:pt>
                <c:pt idx="53">
                  <c:v>183.08895000000001</c:v>
                </c:pt>
                <c:pt idx="54">
                  <c:v>188.03729999999999</c:v>
                </c:pt>
                <c:pt idx="55">
                  <c:v>192.98564999999999</c:v>
                </c:pt>
                <c:pt idx="56">
                  <c:v>197.934</c:v>
                </c:pt>
                <c:pt idx="57">
                  <c:v>202.88235</c:v>
                </c:pt>
                <c:pt idx="58">
                  <c:v>207.83070000000001</c:v>
                </c:pt>
                <c:pt idx="59">
                  <c:v>212.77905000000001</c:v>
                </c:pt>
                <c:pt idx="60">
                  <c:v>217.72739999999999</c:v>
                </c:pt>
                <c:pt idx="61">
                  <c:v>222.67574999999999</c:v>
                </c:pt>
                <c:pt idx="62">
                  <c:v>227.6241</c:v>
                </c:pt>
                <c:pt idx="63">
                  <c:v>232.57245</c:v>
                </c:pt>
                <c:pt idx="64">
                  <c:v>237.52080000000001</c:v>
                </c:pt>
                <c:pt idx="65">
                  <c:v>242.46914999999998</c:v>
                </c:pt>
                <c:pt idx="66">
                  <c:v>247.41749999999999</c:v>
                </c:pt>
                <c:pt idx="67">
                  <c:v>252.36584999999999</c:v>
                </c:pt>
                <c:pt idx="68">
                  <c:v>257.31419999999997</c:v>
                </c:pt>
                <c:pt idx="69">
                  <c:v>262.26254999999998</c:v>
                </c:pt>
                <c:pt idx="70">
                  <c:v>267.21089999999998</c:v>
                </c:pt>
                <c:pt idx="71">
                  <c:v>272.15924999999999</c:v>
                </c:pt>
                <c:pt idx="72">
                  <c:v>277.10759999999999</c:v>
                </c:pt>
                <c:pt idx="73">
                  <c:v>282.05595</c:v>
                </c:pt>
                <c:pt idx="74">
                  <c:v>287.0043</c:v>
                </c:pt>
                <c:pt idx="75">
                  <c:v>291.95265000000001</c:v>
                </c:pt>
                <c:pt idx="76">
                  <c:v>296.90100000000001</c:v>
                </c:pt>
                <c:pt idx="77">
                  <c:v>301.84935000000002</c:v>
                </c:pt>
                <c:pt idx="78">
                  <c:v>306.79770000000002</c:v>
                </c:pt>
                <c:pt idx="79">
                  <c:v>311.74605000000003</c:v>
                </c:pt>
                <c:pt idx="80">
                  <c:v>316.69439999999997</c:v>
                </c:pt>
                <c:pt idx="81">
                  <c:v>321.64274999999998</c:v>
                </c:pt>
                <c:pt idx="82">
                  <c:v>326.59109999999998</c:v>
                </c:pt>
                <c:pt idx="83">
                  <c:v>331.53944999999999</c:v>
                </c:pt>
                <c:pt idx="84">
                  <c:v>336.48779999999999</c:v>
                </c:pt>
                <c:pt idx="85">
                  <c:v>341.43615</c:v>
                </c:pt>
                <c:pt idx="86">
                  <c:v>346.3845</c:v>
                </c:pt>
                <c:pt idx="87">
                  <c:v>351.33285000000001</c:v>
                </c:pt>
                <c:pt idx="88">
                  <c:v>356.28120000000001</c:v>
                </c:pt>
                <c:pt idx="89">
                  <c:v>361.22955000000002</c:v>
                </c:pt>
                <c:pt idx="90">
                  <c:v>366.17790000000002</c:v>
                </c:pt>
                <c:pt idx="91">
                  <c:v>371.12624999999997</c:v>
                </c:pt>
                <c:pt idx="92">
                  <c:v>376.07459999999998</c:v>
                </c:pt>
                <c:pt idx="93">
                  <c:v>381.02294999999998</c:v>
                </c:pt>
                <c:pt idx="94">
                  <c:v>385.97129999999999</c:v>
                </c:pt>
                <c:pt idx="95">
                  <c:v>390.91964999999999</c:v>
                </c:pt>
                <c:pt idx="96">
                  <c:v>395.86799999999999</c:v>
                </c:pt>
                <c:pt idx="97">
                  <c:v>400.81635</c:v>
                </c:pt>
                <c:pt idx="98">
                  <c:v>405.7647</c:v>
                </c:pt>
                <c:pt idx="99">
                  <c:v>410.71305000000001</c:v>
                </c:pt>
                <c:pt idx="100">
                  <c:v>415.66140000000001</c:v>
                </c:pt>
                <c:pt idx="101">
                  <c:v>420.60975000000002</c:v>
                </c:pt>
                <c:pt idx="102">
                  <c:v>425.55810000000002</c:v>
                </c:pt>
                <c:pt idx="103">
                  <c:v>430.50644999999997</c:v>
                </c:pt>
                <c:pt idx="104">
                  <c:v>435.45479999999998</c:v>
                </c:pt>
                <c:pt idx="105">
                  <c:v>440.40314999999998</c:v>
                </c:pt>
                <c:pt idx="106">
                  <c:v>445.35149999999999</c:v>
                </c:pt>
                <c:pt idx="107">
                  <c:v>450.29984999999999</c:v>
                </c:pt>
                <c:pt idx="108">
                  <c:v>455.2482</c:v>
                </c:pt>
                <c:pt idx="109">
                  <c:v>460.19655</c:v>
                </c:pt>
                <c:pt idx="110">
                  <c:v>465.14490000000001</c:v>
                </c:pt>
                <c:pt idx="111">
                  <c:v>470.09325000000001</c:v>
                </c:pt>
                <c:pt idx="112">
                  <c:v>475.04160000000002</c:v>
                </c:pt>
                <c:pt idx="113">
                  <c:v>479.98995000000002</c:v>
                </c:pt>
                <c:pt idx="114">
                  <c:v>484.93829999999997</c:v>
                </c:pt>
                <c:pt idx="115">
                  <c:v>989.67</c:v>
                </c:pt>
                <c:pt idx="116">
                  <c:v>1979.34</c:v>
                </c:pt>
                <c:pt idx="117">
                  <c:v>2969.0099999999998</c:v>
                </c:pt>
                <c:pt idx="118">
                  <c:v>3958.68</c:v>
                </c:pt>
                <c:pt idx="119">
                  <c:v>4948.3500000000004</c:v>
                </c:pt>
                <c:pt idx="120">
                  <c:v>5938.0199999999995</c:v>
                </c:pt>
                <c:pt idx="121">
                  <c:v>6927.69</c:v>
                </c:pt>
                <c:pt idx="122">
                  <c:v>7917.36</c:v>
                </c:pt>
                <c:pt idx="123">
                  <c:v>8907.0300000000007</c:v>
                </c:pt>
                <c:pt idx="124">
                  <c:v>9896.7000000000007</c:v>
                </c:pt>
                <c:pt idx="125">
                  <c:v>19793.400000000001</c:v>
                </c:pt>
                <c:pt idx="126">
                  <c:v>29690.1</c:v>
                </c:pt>
                <c:pt idx="127">
                  <c:v>39586.800000000003</c:v>
                </c:pt>
                <c:pt idx="128">
                  <c:v>49483.5</c:v>
                </c:pt>
                <c:pt idx="129">
                  <c:v>59380.2</c:v>
                </c:pt>
                <c:pt idx="130">
                  <c:v>69276.899999999994</c:v>
                </c:pt>
                <c:pt idx="131">
                  <c:v>79173.600000000006</c:v>
                </c:pt>
                <c:pt idx="132">
                  <c:v>89070.3</c:v>
                </c:pt>
                <c:pt idx="133">
                  <c:v>98967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2D-4D06-8B7D-82E933A07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412712"/>
        <c:axId val="1"/>
      </c:scatterChart>
      <c:scatterChart>
        <c:scatterStyle val="lineMarker"/>
        <c:varyColors val="0"/>
        <c:ser>
          <c:idx val="3"/>
          <c:order val="2"/>
          <c:tx>
            <c:v>k drying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SWR_UTU0!$C$14:$C$154</c:f>
              <c:numCache>
                <c:formatCode>General</c:formatCode>
                <c:ptCount val="141"/>
                <c:pt idx="0">
                  <c:v>0.43932600295213142</c:v>
                </c:pt>
                <c:pt idx="1">
                  <c:v>0.43791493239356893</c:v>
                </c:pt>
                <c:pt idx="2">
                  <c:v>0.43364748561179944</c:v>
                </c:pt>
                <c:pt idx="3">
                  <c:v>0.43097158206733122</c:v>
                </c:pt>
                <c:pt idx="4">
                  <c:v>0.42801933487902843</c:v>
                </c:pt>
                <c:pt idx="5">
                  <c:v>0.42148095551333009</c:v>
                </c:pt>
                <c:pt idx="6">
                  <c:v>0.41435990052459859</c:v>
                </c:pt>
                <c:pt idx="7">
                  <c:v>0.41066093296903661</c:v>
                </c:pt>
                <c:pt idx="8">
                  <c:v>0.40311152898513924</c:v>
                </c:pt>
                <c:pt idx="9">
                  <c:v>0.39548980378117238</c:v>
                </c:pt>
                <c:pt idx="10">
                  <c:v>0.38791459588065125</c:v>
                </c:pt>
                <c:pt idx="11">
                  <c:v>0.38047086080631898</c:v>
                </c:pt>
                <c:pt idx="12">
                  <c:v>0.37321728436836488</c:v>
                </c:pt>
                <c:pt idx="13">
                  <c:v>0.36619252216994902</c:v>
                </c:pt>
                <c:pt idx="14">
                  <c:v>0.35942020416137888</c:v>
                </c:pt>
                <c:pt idx="15">
                  <c:v>0.35291286977348213</c:v>
                </c:pt>
                <c:pt idx="16">
                  <c:v>0.34365691999297465</c:v>
                </c:pt>
                <c:pt idx="17">
                  <c:v>0.31696927640476913</c:v>
                </c:pt>
                <c:pt idx="18">
                  <c:v>0.29572961750685822</c:v>
                </c:pt>
                <c:pt idx="19">
                  <c:v>0.27863613445364521</c:v>
                </c:pt>
                <c:pt idx="20">
                  <c:v>0.26464962691052085</c:v>
                </c:pt>
                <c:pt idx="21">
                  <c:v>0.25301213444961307</c:v>
                </c:pt>
                <c:pt idx="22">
                  <c:v>0.24317938723343654</c:v>
                </c:pt>
                <c:pt idx="23">
                  <c:v>0.23475768570249611</c:v>
                </c:pt>
                <c:pt idx="24">
                  <c:v>0.22745795671868718</c:v>
                </c:pt>
                <c:pt idx="25">
                  <c:v>0.21541270764330936</c:v>
                </c:pt>
                <c:pt idx="26">
                  <c:v>0.20585668679730376</c:v>
                </c:pt>
                <c:pt idx="27">
                  <c:v>0.19806595634644886</c:v>
                </c:pt>
                <c:pt idx="28">
                  <c:v>0.18871428187684391</c:v>
                </c:pt>
                <c:pt idx="29">
                  <c:v>0.18133184866799545</c:v>
                </c:pt>
                <c:pt idx="30">
                  <c:v>0.17533129363646283</c:v>
                </c:pt>
                <c:pt idx="31">
                  <c:v>0.17034108457724911</c:v>
                </c:pt>
                <c:pt idx="32">
                  <c:v>0.16611410891215173</c:v>
                </c:pt>
                <c:pt idx="33">
                  <c:v>0.16247922050208036</c:v>
                </c:pt>
                <c:pt idx="34">
                  <c:v>0.15931387831432869</c:v>
                </c:pt>
                <c:pt idx="35">
                  <c:v>0.15834680134176357</c:v>
                </c:pt>
                <c:pt idx="36">
                  <c:v>0.15741896276407844</c:v>
                </c:pt>
                <c:pt idx="37">
                  <c:v>0.14984005637474795</c:v>
                </c:pt>
                <c:pt idx="38">
                  <c:v>0.14438359120218222</c:v>
                </c:pt>
                <c:pt idx="39">
                  <c:v>0.14023294822438159</c:v>
                </c:pt>
                <c:pt idx="40">
                  <c:v>0.13554769314613141</c:v>
                </c:pt>
                <c:pt idx="41">
                  <c:v>0.13427448058639366</c:v>
                </c:pt>
                <c:pt idx="42">
                  <c:v>0.1331118301896963</c:v>
                </c:pt>
                <c:pt idx="43">
                  <c:v>0.13204507452414924</c:v>
                </c:pt>
                <c:pt idx="44">
                  <c:v>0.13106209916046516</c:v>
                </c:pt>
                <c:pt idx="45">
                  <c:v>0.13015280233642348</c:v>
                </c:pt>
                <c:pt idx="46">
                  <c:v>0.12930868750748303</c:v>
                </c:pt>
                <c:pt idx="47">
                  <c:v>0.12852255192945622</c:v>
                </c:pt>
                <c:pt idx="48">
                  <c:v>0.12778824570415614</c:v>
                </c:pt>
                <c:pt idx="49">
                  <c:v>0.12710048324778561</c:v>
                </c:pt>
                <c:pt idx="50">
                  <c:v>0.12645469425736075</c:v>
                </c:pt>
                <c:pt idx="51">
                  <c:v>0.12584690478467481</c:v>
                </c:pt>
                <c:pt idx="52">
                  <c:v>0.125273641506641</c:v>
                </c:pt>
                <c:pt idx="53">
                  <c:v>0.12473185404479242</c:v>
                </c:pt>
                <c:pt idx="54">
                  <c:v>0.12421885145808853</c:v>
                </c:pt>
                <c:pt idx="55">
                  <c:v>0.12373224996060925</c:v>
                </c:pt>
                <c:pt idx="56">
                  <c:v>0.12326992959985404</c:v>
                </c:pt>
                <c:pt idx="57">
                  <c:v>0.12282999814130283</c:v>
                </c:pt>
                <c:pt idx="58">
                  <c:v>0.12241076078870219</c:v>
                </c:pt>
                <c:pt idx="59">
                  <c:v>0.12201069466104866</c:v>
                </c:pt>
                <c:pt idx="60">
                  <c:v>0.12162842717054198</c:v>
                </c:pt>
                <c:pt idx="61">
                  <c:v>0.12126271761820848</c:v>
                </c:pt>
                <c:pt idx="62">
                  <c:v>0.12091244145804635</c:v>
                </c:pt>
                <c:pt idx="63">
                  <c:v>0.12057657678566208</c:v>
                </c:pt>
                <c:pt idx="64">
                  <c:v>0.12025419269028775</c:v>
                </c:pt>
                <c:pt idx="65">
                  <c:v>0.11994443917489928</c:v>
                </c:pt>
                <c:pt idx="66">
                  <c:v>0.11964653840173124</c:v>
                </c:pt>
                <c:pt idx="67">
                  <c:v>0.11935977706271617</c:v>
                </c:pt>
                <c:pt idx="68">
                  <c:v>0.11908349970848311</c:v>
                </c:pt>
                <c:pt idx="69">
                  <c:v>0.11881710289723978</c:v>
                </c:pt>
                <c:pt idx="70">
                  <c:v>0.11856003004745086</c:v>
                </c:pt>
                <c:pt idx="71">
                  <c:v>0.11831176689674071</c:v>
                </c:pt>
                <c:pt idx="72">
                  <c:v>0.11807183748469245</c:v>
                </c:pt>
                <c:pt idx="73">
                  <c:v>0.1178398005898208</c:v>
                </c:pt>
                <c:pt idx="74">
                  <c:v>0.11761524656146148</c:v>
                </c:pt>
                <c:pt idx="75">
                  <c:v>0.11739779449604351</c:v>
                </c:pt>
                <c:pt idx="76">
                  <c:v>0.11718708971450947</c:v>
                </c:pt>
                <c:pt idx="77">
                  <c:v>0.11698280150377754</c:v>
                </c:pt>
                <c:pt idx="78">
                  <c:v>0.11678462109030352</c:v>
                </c:pt>
                <c:pt idx="79">
                  <c:v>0.11659225981816701</c:v>
                </c:pt>
                <c:pt idx="80">
                  <c:v>0.11640544750780929</c:v>
                </c:pt>
                <c:pt idx="81">
                  <c:v>0.11622393097470041</c:v>
                </c:pt>
                <c:pt idx="82">
                  <c:v>0.11604747268990173</c:v>
                </c:pt>
                <c:pt idx="83">
                  <c:v>0.11587584956679067</c:v>
                </c:pt>
                <c:pt idx="84">
                  <c:v>0.11570885186018826</c:v>
                </c:pt>
                <c:pt idx="85">
                  <c:v>0.11554628216582886</c:v>
                </c:pt>
                <c:pt idx="86">
                  <c:v>0.1153879545095766</c:v>
                </c:pt>
                <c:pt idx="87">
                  <c:v>0.11523369351705988</c:v>
                </c:pt>
                <c:pt idx="88">
                  <c:v>0.11508333365549429</c:v>
                </c:pt>
                <c:pt idx="89">
                  <c:v>0.11493671854041781</c:v>
                </c:pt>
                <c:pt idx="90">
                  <c:v>0.11479370030089386</c:v>
                </c:pt>
                <c:pt idx="91">
                  <c:v>0.11465413899746273</c:v>
                </c:pt>
                <c:pt idx="92">
                  <c:v>0.11451790208775664</c:v>
                </c:pt>
                <c:pt idx="93">
                  <c:v>0.11438486393524898</c:v>
                </c:pt>
                <c:pt idx="94">
                  <c:v>0.11425490535709695</c:v>
                </c:pt>
                <c:pt idx="95">
                  <c:v>0.1141279132074665</c:v>
                </c:pt>
                <c:pt idx="96">
                  <c:v>0.11400377999310597</c:v>
                </c:pt>
                <c:pt idx="97">
                  <c:v>0.11388240351827071</c:v>
                </c:pt>
                <c:pt idx="98">
                  <c:v>0.11376368655639515</c:v>
                </c:pt>
                <c:pt idx="99">
                  <c:v>0.11364753654617214</c:v>
                </c:pt>
                <c:pt idx="100">
                  <c:v>0.11353386530993094</c:v>
                </c:pt>
                <c:pt idx="101">
                  <c:v>0.113422588792413</c:v>
                </c:pt>
                <c:pt idx="102">
                  <c:v>0.11331362681822796</c:v>
                </c:pt>
                <c:pt idx="103">
                  <c:v>0.11320690286643709</c:v>
                </c:pt>
                <c:pt idx="104">
                  <c:v>0.11310234386085814</c:v>
                </c:pt>
                <c:pt idx="105">
                  <c:v>0.11299987997481623</c:v>
                </c:pt>
                <c:pt idx="106">
                  <c:v>0.11289944444918347</c:v>
                </c:pt>
                <c:pt idx="107">
                  <c:v>0.11280097342265545</c:v>
                </c:pt>
                <c:pt idx="108">
                  <c:v>0.11270440577330681</c:v>
                </c:pt>
                <c:pt idx="109">
                  <c:v>0.11260968297055417</c:v>
                </c:pt>
                <c:pt idx="110">
                  <c:v>0.11251674893673062</c:v>
                </c:pt>
                <c:pt idx="111">
                  <c:v>0.11242554991754562</c:v>
                </c:pt>
                <c:pt idx="112">
                  <c:v>0.11233603436076643</c:v>
                </c:pt>
                <c:pt idx="113">
                  <c:v>0.11224815280251349</c:v>
                </c:pt>
                <c:pt idx="114">
                  <c:v>0.11216185776061351</c:v>
                </c:pt>
                <c:pt idx="115">
                  <c:v>0.11207710363450019</c:v>
                </c:pt>
                <c:pt idx="116">
                  <c:v>0.11199384661119423</c:v>
                </c:pt>
                <c:pt idx="117">
                  <c:v>0.11191204457693285</c:v>
                </c:pt>
                <c:pt idx="118">
                  <c:v>0.11183165703405315</c:v>
                </c:pt>
                <c:pt idx="119">
                  <c:v>0.11175264502276561</c:v>
                </c:pt>
                <c:pt idx="120">
                  <c:v>0.11167497104748249</c:v>
                </c:pt>
                <c:pt idx="121">
                  <c:v>0.11159859900739187</c:v>
                </c:pt>
                <c:pt idx="122">
                  <c:v>0.10734769915293892</c:v>
                </c:pt>
                <c:pt idx="123">
                  <c:v>0.1047151812050072</c:v>
                </c:pt>
                <c:pt idx="124">
                  <c:v>0.10363748665416615</c:v>
                </c:pt>
                <c:pt idx="125">
                  <c:v>0.10302580673672133</c:v>
                </c:pt>
                <c:pt idx="126">
                  <c:v>0.1026231254800784</c:v>
                </c:pt>
                <c:pt idx="127">
                  <c:v>0.10233422780244386</c:v>
                </c:pt>
                <c:pt idx="128">
                  <c:v>0.10211493683141905</c:v>
                </c:pt>
                <c:pt idx="129">
                  <c:v>0.10194170222580695</c:v>
                </c:pt>
                <c:pt idx="130">
                  <c:v>0.10180071535221515</c:v>
                </c:pt>
                <c:pt idx="131">
                  <c:v>0.10168329530779183</c:v>
                </c:pt>
                <c:pt idx="132">
                  <c:v>0.10108019274997304</c:v>
                </c:pt>
                <c:pt idx="133">
                  <c:v>0.10083330288412924</c:v>
                </c:pt>
                <c:pt idx="134">
                  <c:v>0.10069317374779541</c:v>
                </c:pt>
                <c:pt idx="135">
                  <c:v>0.10060092421504113</c:v>
                </c:pt>
                <c:pt idx="136">
                  <c:v>0.10053474127994837</c:v>
                </c:pt>
                <c:pt idx="137">
                  <c:v>0.10048450444789515</c:v>
                </c:pt>
                <c:pt idx="138">
                  <c:v>0.10044481858473754</c:v>
                </c:pt>
                <c:pt idx="139">
                  <c:v>0.1004125202866321</c:v>
                </c:pt>
                <c:pt idx="140">
                  <c:v>0.10038562085905992</c:v>
                </c:pt>
              </c:numCache>
            </c:numRef>
          </c:xVal>
          <c:yVal>
            <c:numRef>
              <c:f>SWR_UTU0!$E$14:$E$154</c:f>
              <c:numCache>
                <c:formatCode>General</c:formatCode>
                <c:ptCount val="141"/>
                <c:pt idx="0">
                  <c:v>2.7169127441455283E-4</c:v>
                </c:pt>
                <c:pt idx="1">
                  <c:v>2.2927197456115131E-4</c:v>
                </c:pt>
                <c:pt idx="2">
                  <c:v>1.7146072642967202E-4</c:v>
                </c:pt>
                <c:pt idx="3">
                  <c:v>1.499574032159537E-4</c:v>
                </c:pt>
                <c:pt idx="4">
                  <c:v>1.3174766065071356E-4</c:v>
                </c:pt>
                <c:pt idx="5">
                  <c:v>1.0272866568855147E-4</c:v>
                </c:pt>
                <c:pt idx="6">
                  <c:v>8.0960360265585008E-5</c:v>
                </c:pt>
                <c:pt idx="7">
                  <c:v>7.2121091399049566E-5</c:v>
                </c:pt>
                <c:pt idx="8">
                  <c:v>5.759753467719006E-5</c:v>
                </c:pt>
                <c:pt idx="9">
                  <c:v>4.6371006218061284E-5</c:v>
                </c:pt>
                <c:pt idx="10">
                  <c:v>3.7621920808190098E-5</c:v>
                </c:pt>
                <c:pt idx="11">
                  <c:v>3.0751673137427198E-5</c:v>
                </c:pt>
                <c:pt idx="12">
                  <c:v>2.5317353473125483E-5</c:v>
                </c:pt>
                <c:pt idx="13">
                  <c:v>2.098824981233262E-5</c:v>
                </c:pt>
                <c:pt idx="14">
                  <c:v>1.7515605184882182E-5</c:v>
                </c:pt>
                <c:pt idx="15">
                  <c:v>1.4711074930071119E-5</c:v>
                </c:pt>
                <c:pt idx="16">
                  <c:v>1.1452492933996862E-5</c:v>
                </c:pt>
                <c:pt idx="17">
                  <c:v>5.4234491527802766E-6</c:v>
                </c:pt>
                <c:pt idx="18">
                  <c:v>2.8685209770977183E-6</c:v>
                </c:pt>
                <c:pt idx="19">
                  <c:v>1.652815487881438E-6</c:v>
                </c:pt>
                <c:pt idx="20">
                  <c:v>1.0184637615186563E-6</c:v>
                </c:pt>
                <c:pt idx="21">
                  <c:v>6.6209248267993095E-7</c:v>
                </c:pt>
                <c:pt idx="22">
                  <c:v>4.4953198797857445E-7</c:v>
                </c:pt>
                <c:pt idx="23">
                  <c:v>3.1634727950590162E-7</c:v>
                </c:pt>
                <c:pt idx="24">
                  <c:v>2.2939791445242545E-7</c:v>
                </c:pt>
                <c:pt idx="25">
                  <c:v>1.2971211986590082E-7</c:v>
                </c:pt>
                <c:pt idx="26">
                  <c:v>7.9139361119584023E-8</c:v>
                </c:pt>
                <c:pt idx="27">
                  <c:v>5.1190189841060949E-8</c:v>
                </c:pt>
                <c:pt idx="28">
                  <c:v>2.8960679092979012E-8</c:v>
                </c:pt>
                <c:pt idx="29">
                  <c:v>1.7694275444583465E-8</c:v>
                </c:pt>
                <c:pt idx="30">
                  <c:v>1.1464967690720744E-8</c:v>
                </c:pt>
                <c:pt idx="31">
                  <c:v>7.7808396532612783E-9</c:v>
                </c:pt>
                <c:pt idx="32">
                  <c:v>5.4819531659577143E-9</c:v>
                </c:pt>
                <c:pt idx="33">
                  <c:v>3.9833635670865067E-9</c:v>
                </c:pt>
                <c:pt idx="34">
                  <c:v>2.9703478133120905E-9</c:v>
                </c:pt>
                <c:pt idx="35">
                  <c:v>2.7072186971002663E-9</c:v>
                </c:pt>
                <c:pt idx="36">
                  <c:v>2.4731263560079085E-9</c:v>
                </c:pt>
                <c:pt idx="37">
                  <c:v>1.1132391825047697E-9</c:v>
                </c:pt>
                <c:pt idx="38">
                  <c:v>5.7921043697707838E-10</c:v>
                </c:pt>
                <c:pt idx="39">
                  <c:v>3.3316746794157862E-10</c:v>
                </c:pt>
                <c:pt idx="40">
                  <c:v>1.6592031550955064E-10</c:v>
                </c:pt>
                <c:pt idx="41">
                  <c:v>1.3512130605165708E-10</c:v>
                </c:pt>
                <c:pt idx="42">
                  <c:v>1.112641522550011E-10</c:v>
                </c:pt>
                <c:pt idx="43">
                  <c:v>9.2534233095414117E-11</c:v>
                </c:pt>
                <c:pt idx="44">
                  <c:v>7.7650733811791642E-11</c:v>
                </c:pt>
                <c:pt idx="45">
                  <c:v>6.5693631412019507E-11</c:v>
                </c:pt>
                <c:pt idx="46">
                  <c:v>5.5991510405166084E-11</c:v>
                </c:pt>
                <c:pt idx="47">
                  <c:v>4.8047282353582017E-11</c:v>
                </c:pt>
                <c:pt idx="48">
                  <c:v>4.1488059559995983E-11</c:v>
                </c:pt>
                <c:pt idx="49">
                  <c:v>3.6030737955470486E-11</c:v>
                </c:pt>
                <c:pt idx="50">
                  <c:v>3.145798871591319E-11</c:v>
                </c:pt>
                <c:pt idx="51">
                  <c:v>2.7601265190424254E-11</c:v>
                </c:pt>
                <c:pt idx="52">
                  <c:v>2.43286127845383E-11</c:v>
                </c:pt>
                <c:pt idx="53">
                  <c:v>2.1535815087377649E-11</c:v>
                </c:pt>
                <c:pt idx="54">
                  <c:v>1.9139888707827428E-11</c:v>
                </c:pt>
                <c:pt idx="55">
                  <c:v>1.7074252309515971E-11</c:v>
                </c:pt>
                <c:pt idx="56">
                  <c:v>1.5285102956274105E-11</c:v>
                </c:pt>
                <c:pt idx="57">
                  <c:v>1.3728672553786316E-11</c:v>
                </c:pt>
                <c:pt idx="58">
                  <c:v>1.236913238485995E-11</c:v>
                </c:pt>
                <c:pt idx="59">
                  <c:v>1.1176979446115552E-11</c:v>
                </c:pt>
                <c:pt idx="60">
                  <c:v>1.012778417108745E-11</c:v>
                </c:pt>
                <c:pt idx="61">
                  <c:v>9.201211505069568E-12</c:v>
                </c:pt>
                <c:pt idx="62">
                  <c:v>8.380250386285176E-12</c:v>
                </c:pt>
                <c:pt idx="63">
                  <c:v>7.6506033109490069E-12</c:v>
                </c:pt>
                <c:pt idx="64">
                  <c:v>7.0001997377552113E-12</c:v>
                </c:pt>
                <c:pt idx="65">
                  <c:v>6.4188059378069913E-12</c:v>
                </c:pt>
                <c:pt idx="66">
                  <c:v>5.89771043525168E-12</c:v>
                </c:pt>
                <c:pt idx="67">
                  <c:v>5.4294690527844238E-12</c:v>
                </c:pt>
                <c:pt idx="68">
                  <c:v>5.0076972279043985E-12</c:v>
                </c:pt>
                <c:pt idx="69">
                  <c:v>4.6269000242548646E-12</c:v>
                </c:pt>
                <c:pt idx="70">
                  <c:v>4.2823323595988463E-12</c:v>
                </c:pt>
                <c:pt idx="71">
                  <c:v>3.969883576787001E-12</c:v>
                </c:pt>
                <c:pt idx="72">
                  <c:v>3.6859817197026645E-12</c:v>
                </c:pt>
                <c:pt idx="73">
                  <c:v>3.4275138326503164E-12</c:v>
                </c:pt>
                <c:pt idx="74">
                  <c:v>3.1917593466211224E-12</c:v>
                </c:pt>
                <c:pt idx="75">
                  <c:v>2.9763341989297875E-12</c:v>
                </c:pt>
                <c:pt idx="76">
                  <c:v>2.7791437913492494E-12</c:v>
                </c:pt>
                <c:pt idx="77">
                  <c:v>2.598343254576173E-12</c:v>
                </c:pt>
                <c:pt idx="78">
                  <c:v>2.4323037748827474E-12</c:v>
                </c:pt>
                <c:pt idx="79">
                  <c:v>2.2795839686193846E-12</c:v>
                </c:pt>
                <c:pt idx="80">
                  <c:v>2.1389054744741426E-12</c:v>
                </c:pt>
                <c:pt idx="81">
                  <c:v>2.0091320814531667E-12</c:v>
                </c:pt>
                <c:pt idx="82">
                  <c:v>1.8892518304112594E-12</c:v>
                </c:pt>
                <c:pt idx="83">
                  <c:v>1.77836162396303E-12</c:v>
                </c:pt>
                <c:pt idx="84">
                  <c:v>1.6756539587026714E-12</c:v>
                </c:pt>
                <c:pt idx="85">
                  <c:v>1.580405458192403E-12</c:v>
                </c:pt>
                <c:pt idx="86">
                  <c:v>1.491966938171932E-12</c:v>
                </c:pt>
                <c:pt idx="87">
                  <c:v>1.4097547789551666E-12</c:v>
                </c:pt>
                <c:pt idx="88">
                  <c:v>1.3332434159179374E-12</c:v>
                </c:pt>
                <c:pt idx="89">
                  <c:v>1.2619587887488171E-12</c:v>
                </c:pt>
                <c:pt idx="90">
                  <c:v>1.1954726148357899E-12</c:v>
                </c:pt>
                <c:pt idx="91">
                  <c:v>1.1333973727124277E-12</c:v>
                </c:pt>
                <c:pt idx="92">
                  <c:v>1.0753818986967554E-12</c:v>
                </c:pt>
                <c:pt idx="93">
                  <c:v>1.0211075142290125E-12</c:v>
                </c:pt>
                <c:pt idx="94">
                  <c:v>9.7028461350884997E-13</c:v>
                </c:pt>
                <c:pt idx="95">
                  <c:v>9.2264965117548637E-13</c:v>
                </c:pt>
                <c:pt idx="96">
                  <c:v>8.7796247841931973E-13</c:v>
                </c:pt>
                <c:pt idx="97">
                  <c:v>8.3600398309542091E-13</c:v>
                </c:pt>
                <c:pt idx="98">
                  <c:v>7.9657399566241158E-13</c:v>
                </c:pt>
                <c:pt idx="99">
                  <c:v>7.5948942792805518E-13</c:v>
                </c:pt>
                <c:pt idx="100">
                  <c:v>7.245826160783057E-13</c:v>
                </c:pt>
                <c:pt idx="101">
                  <c:v>6.9169984330805713E-13</c:v>
                </c:pt>
                <c:pt idx="102">
                  <c:v>6.6070002055739389E-13</c:v>
                </c:pt>
                <c:pt idx="103">
                  <c:v>6.3145350672063205E-13</c:v>
                </c:pt>
                <c:pt idx="104">
                  <c:v>6.0384105206556408E-13</c:v>
                </c:pt>
                <c:pt idx="105">
                  <c:v>5.7775285067317484E-13</c:v>
                </c:pt>
                <c:pt idx="106">
                  <c:v>5.5308768947577733E-13</c:v>
                </c:pt>
                <c:pt idx="107">
                  <c:v>5.2975218305914244E-13</c:v>
                </c:pt>
                <c:pt idx="108">
                  <c:v>5.0766008466204089E-13</c:v>
                </c:pt>
                <c:pt idx="109">
                  <c:v>4.8673166502117445E-13</c:v>
                </c:pt>
                <c:pt idx="110">
                  <c:v>4.6689315167668444E-13</c:v>
                </c:pt>
                <c:pt idx="111">
                  <c:v>4.4807622224668186E-13</c:v>
                </c:pt>
                <c:pt idx="112">
                  <c:v>4.3021754594730281E-13</c:v>
                </c:pt>
                <c:pt idx="113">
                  <c:v>4.1325836825843107E-13</c:v>
                </c:pt>
                <c:pt idx="114">
                  <c:v>3.9714413429233609E-13</c:v>
                </c:pt>
                <c:pt idx="115">
                  <c:v>3.818241468381627E-13</c:v>
                </c:pt>
                <c:pt idx="116">
                  <c:v>3.6725125559948848E-13</c:v>
                </c:pt>
                <c:pt idx="117">
                  <c:v>3.5338157444527892E-13</c:v>
                </c:pt>
                <c:pt idx="118">
                  <c:v>3.4017422391029735E-13</c:v>
                </c:pt>
                <c:pt idx="119">
                  <c:v>3.275910964422666E-13</c:v>
                </c:pt>
                <c:pt idx="120">
                  <c:v>3.1559664217709796E-13</c:v>
                </c:pt>
                <c:pt idx="121">
                  <c:v>3.0415767325867329E-13</c:v>
                </c:pt>
                <c:pt idx="122">
                  <c:v>2.3328526094416175E-14</c:v>
                </c:pt>
                <c:pt idx="123">
                  <c:v>1.9239978360868788E-15</c:v>
                </c:pt>
                <c:pt idx="124">
                  <c:v>4.4697357020755797E-16</c:v>
                </c:pt>
                <c:pt idx="125">
                  <c:v>1.5867360936885932E-16</c:v>
                </c:pt>
                <c:pt idx="126">
                  <c:v>7.1060756665722981E-17</c:v>
                </c:pt>
                <c:pt idx="127">
                  <c:v>3.6861926453970564E-17</c:v>
                </c:pt>
                <c:pt idx="128" formatCode="0.000">
                  <c:v>2.1162648838775934E-17</c:v>
                </c:pt>
                <c:pt idx="129">
                  <c:v>1.3085771041595887E-17</c:v>
                </c:pt>
                <c:pt idx="130">
                  <c:v>8.5634832438776983E-18</c:v>
                </c:pt>
                <c:pt idx="131">
                  <c:v>5.8603512497636702E-18</c:v>
                </c:pt>
                <c:pt idx="132">
                  <c:v>4.8329938359653735E-19</c:v>
                </c:pt>
                <c:pt idx="133">
                  <c:v>1.1227623514612518E-19</c:v>
                </c:pt>
                <c:pt idx="134">
                  <c:v>3.9857352115968827E-20</c:v>
                </c:pt>
                <c:pt idx="135">
                  <c:v>1.7849761771567309E-20</c:v>
                </c:pt>
                <c:pt idx="136">
                  <c:v>9.2593383265667741E-21</c:v>
                </c:pt>
                <c:pt idx="137">
                  <c:v>5.3158353524820725E-21</c:v>
                </c:pt>
                <c:pt idx="138">
                  <c:v>3.2870061360416448E-21</c:v>
                </c:pt>
                <c:pt idx="139">
                  <c:v>2.1510546301191618E-21</c:v>
                </c:pt>
                <c:pt idx="140">
                  <c:v>1.4720565135392254E-21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A2D-4D06-8B7D-82E933A0775C}"/>
            </c:ext>
          </c:extLst>
        </c:ser>
        <c:ser>
          <c:idx val="4"/>
          <c:order val="3"/>
          <c:tx>
            <c:v>k wetting</c:v>
          </c:tx>
          <c:spPr>
            <a:ln w="25400">
              <a:solidFill>
                <a:srgbClr val="003300"/>
              </a:solidFill>
              <a:prstDash val="sysDash"/>
            </a:ln>
          </c:spPr>
          <c:marker>
            <c:symbol val="none"/>
          </c:marker>
          <c:xVal>
            <c:numRef>
              <c:f>SWR_UTU0!$K$14:$K$147</c:f>
              <c:numCache>
                <c:formatCode>0.00E+00</c:formatCode>
                <c:ptCount val="134"/>
                <c:pt idx="0">
                  <c:v>0.3792572909413352</c:v>
                </c:pt>
                <c:pt idx="1">
                  <c:v>0.37791941522517603</c:v>
                </c:pt>
                <c:pt idx="2" formatCode="General">
                  <c:v>0.37426948351464484</c:v>
                </c:pt>
                <c:pt idx="3">
                  <c:v>0.37211755768482746</c:v>
                </c:pt>
                <c:pt idx="4" formatCode="General">
                  <c:v>0.36981478226073916</c:v>
                </c:pt>
                <c:pt idx="5" formatCode="General">
                  <c:v>0.364894146749554</c:v>
                </c:pt>
                <c:pt idx="6" formatCode="General">
                  <c:v>0.3597225925772245</c:v>
                </c:pt>
                <c:pt idx="7" formatCode="General">
                  <c:v>0.35709041192451751</c:v>
                </c:pt>
                <c:pt idx="8" formatCode="General">
                  <c:v>0.35180219898245002</c:v>
                </c:pt>
                <c:pt idx="9" formatCode="General">
                  <c:v>0.34654871213562444</c:v>
                </c:pt>
                <c:pt idx="10" formatCode="General">
                  <c:v>0.34138723030952767</c:v>
                </c:pt>
                <c:pt idx="11" formatCode="General">
                  <c:v>0.33635578134419003</c:v>
                </c:pt>
                <c:pt idx="12" formatCode="General">
                  <c:v>0.33147851443017506</c:v>
                </c:pt>
                <c:pt idx="13" formatCode="General">
                  <c:v>0.32676961119169901</c:v>
                </c:pt>
                <c:pt idx="14" formatCode="General">
                  <c:v>0.32223614727554795</c:v>
                </c:pt>
                <c:pt idx="15" formatCode="General">
                  <c:v>0.31788018668471729</c:v>
                </c:pt>
                <c:pt idx="16" formatCode="General">
                  <c:v>0.3116752921057046</c:v>
                </c:pt>
                <c:pt idx="17" formatCode="General">
                  <c:v>0.29362922830858307</c:v>
                </c:pt>
                <c:pt idx="18" formatCode="General">
                  <c:v>0.27898552220226513</c:v>
                </c:pt>
                <c:pt idx="19" formatCode="General">
                  <c:v>0.2669437206698026</c:v>
                </c:pt>
                <c:pt idx="20" formatCode="General">
                  <c:v>0.25688219868954087</c:v>
                </c:pt>
                <c:pt idx="21" formatCode="General">
                  <c:v>0.24834569192117439</c:v>
                </c:pt>
                <c:pt idx="22" formatCode="General">
                  <c:v>0.24100283186203411</c:v>
                </c:pt>
                <c:pt idx="23" formatCode="General">
                  <c:v>0.23460995989535813</c:v>
                </c:pt>
                <c:pt idx="24" formatCode="General">
                  <c:v>0.21182864074468277</c:v>
                </c:pt>
                <c:pt idx="25" formatCode="General">
                  <c:v>0.19757815807796691</c:v>
                </c:pt>
                <c:pt idx="26" formatCode="General">
                  <c:v>0.18762964600834414</c:v>
                </c:pt>
                <c:pt idx="27" formatCode="General">
                  <c:v>0.18019109354958335</c:v>
                </c:pt>
                <c:pt idx="28" formatCode="General">
                  <c:v>0.17436292903002579</c:v>
                </c:pt>
                <c:pt idx="29" formatCode="General">
                  <c:v>0.16963916884952057</c:v>
                </c:pt>
                <c:pt idx="30" formatCode="General">
                  <c:v>0.16237829421673911</c:v>
                </c:pt>
                <c:pt idx="31" formatCode="General">
                  <c:v>0.15699363636154548</c:v>
                </c:pt>
                <c:pt idx="32" formatCode="General">
                  <c:v>0.15279651146993242</c:v>
                </c:pt>
                <c:pt idx="33" formatCode="General">
                  <c:v>0.14940666309028125</c:v>
                </c:pt>
                <c:pt idx="34" formatCode="General">
                  <c:v>0.14659487168149846</c:v>
                </c:pt>
                <c:pt idx="35" formatCode="General">
                  <c:v>0.14535754598693809</c:v>
                </c:pt>
                <c:pt idx="36" formatCode="General">
                  <c:v>0.14421370715979812</c:v>
                </c:pt>
                <c:pt idx="37" formatCode="General">
                  <c:v>0.14315215715775598</c:v>
                </c:pt>
                <c:pt idx="38" formatCode="General">
                  <c:v>0.14216348870059753</c:v>
                </c:pt>
                <c:pt idx="39" formatCode="General">
                  <c:v>0.14123973336098455</c:v>
                </c:pt>
                <c:pt idx="40" formatCode="General">
                  <c:v>0.14037409060300221</c:v>
                </c:pt>
                <c:pt idx="41" formatCode="General">
                  <c:v>0.1395607166550217</c:v>
                </c:pt>
                <c:pt idx="42" formatCode="General">
                  <c:v>0.13879455821032285</c:v>
                </c:pt>
                <c:pt idx="43" formatCode="General">
                  <c:v>0.13807122012887496</c:v>
                </c:pt>
                <c:pt idx="44" formatCode="General">
                  <c:v>0.13738685922172794</c:v>
                </c:pt>
                <c:pt idx="45" formatCode="General">
                  <c:v>0.13673809825311087</c:v>
                </c:pt>
                <c:pt idx="46" formatCode="General">
                  <c:v>0.13612195576569208</c:v>
                </c:pt>
                <c:pt idx="47" formatCode="General">
                  <c:v>0.13553578840065597</c:v>
                </c:pt>
                <c:pt idx="48" formatCode="General">
                  <c:v>0.13497724316653611</c:v>
                </c:pt>
                <c:pt idx="49" formatCode="General">
                  <c:v>0.13444421769102791</c:v>
                </c:pt>
                <c:pt idx="50" formatCode="General">
                  <c:v>0.1339348269248517</c:v>
                </c:pt>
                <c:pt idx="51" formatCode="General">
                  <c:v>0.13344737509571336</c:v>
                </c:pt>
                <c:pt idx="52" formatCode="General">
                  <c:v>0.13298033196151415</c:v>
                </c:pt>
                <c:pt idx="53" formatCode="General">
                  <c:v>0.13253231260523746</c:v>
                </c:pt>
                <c:pt idx="54" formatCode="General">
                  <c:v>0.13210206016387194</c:v>
                </c:pt>
                <c:pt idx="55" formatCode="General">
                  <c:v>0.13168843100090458</c:v>
                </c:pt>
                <c:pt idx="56" formatCode="General">
                  <c:v>0.13129038192413051</c:v>
                </c:pt>
                <c:pt idx="57" formatCode="General">
                  <c:v>0.13090695912357336</c:v>
                </c:pt>
                <c:pt idx="58" formatCode="General">
                  <c:v>0.13053728856253788</c:v>
                </c:pt>
                <c:pt idx="59" formatCode="General">
                  <c:v>0.13018056760150626</c:v>
                </c:pt>
                <c:pt idx="60" formatCode="General">
                  <c:v>0.1298360576722381</c:v>
                </c:pt>
                <c:pt idx="61" formatCode="General">
                  <c:v>0.12950307784995183</c:v>
                </c:pt>
                <c:pt idx="62" formatCode="General">
                  <c:v>0.12918099919633361</c:v>
                </c:pt>
                <c:pt idx="63" formatCode="General">
                  <c:v>0.12886923976647757</c:v>
                </c:pt>
                <c:pt idx="64" formatCode="General">
                  <c:v>0.12856726018960568</c:v>
                </c:pt>
                <c:pt idx="65" formatCode="General">
                  <c:v>0.12827455974724961</c:v>
                </c:pt>
                <c:pt idx="66" formatCode="General">
                  <c:v>0.12799067288405341</c:v>
                </c:pt>
                <c:pt idx="67" formatCode="General">
                  <c:v>0.12771516609591291</c:v>
                </c:pt>
                <c:pt idx="68" formatCode="General">
                  <c:v>0.12744763514816393</c:v>
                </c:pt>
                <c:pt idx="69" formatCode="General">
                  <c:v>0.12718770258323622</c:v>
                </c:pt>
                <c:pt idx="70" formatCode="General">
                  <c:v>0.12693501548284225</c:v>
                </c:pt>
                <c:pt idx="71" formatCode="General">
                  <c:v>0.12668924345454355</c:v>
                </c:pt>
                <c:pt idx="72" formatCode="General">
                  <c:v>0.12645007681658579</c:v>
                </c:pt>
                <c:pt idx="73" formatCode="General">
                  <c:v>0.1262172249583377</c:v>
                </c:pt>
                <c:pt idx="74" formatCode="General">
                  <c:v>0.12599041485660578</c:v>
                </c:pt>
                <c:pt idx="75" formatCode="General">
                  <c:v>0.12576938973061097</c:v>
                </c:pt>
                <c:pt idx="76" formatCode="General">
                  <c:v>0.1255539078205693</c:v>
                </c:pt>
                <c:pt idx="77" formatCode="General">
                  <c:v>0.12534374127667483</c:v>
                </c:pt>
                <c:pt idx="78" formatCode="General">
                  <c:v>0.12513867514688332</c:v>
                </c:pt>
                <c:pt idx="79" formatCode="General">
                  <c:v>0.12493850645327928</c:v>
                </c:pt>
                <c:pt idx="80" formatCode="General">
                  <c:v>0.12474304334800873</c:v>
                </c:pt>
                <c:pt idx="81" formatCode="General">
                  <c:v>0.12455210434080372</c:v>
                </c:pt>
                <c:pt idx="82" formatCode="General">
                  <c:v>0.12436551759103143</c:v>
                </c:pt>
                <c:pt idx="83" formatCode="General">
                  <c:v>0.12418312025799437</c:v>
                </c:pt>
                <c:pt idx="84" formatCode="General">
                  <c:v>0.12400475790390129</c:v>
                </c:pt>
                <c:pt idx="85" formatCode="General">
                  <c:v>0.1238302839445362</c:v>
                </c:pt>
                <c:pt idx="86" formatCode="General">
                  <c:v>0.12365955914318674</c:v>
                </c:pt>
                <c:pt idx="87" formatCode="General">
                  <c:v>0.1234924511438632</c:v>
                </c:pt>
                <c:pt idx="88" formatCode="General">
                  <c:v>0.12332883404025353</c:v>
                </c:pt>
                <c:pt idx="89" formatCode="General">
                  <c:v>0.12316858797722578</c:v>
                </c:pt>
                <c:pt idx="90" formatCode="General">
                  <c:v>0.12301159878201276</c:v>
                </c:pt>
                <c:pt idx="91" formatCode="General">
                  <c:v>0.12285775762250174</c:v>
                </c:pt>
                <c:pt idx="92" formatCode="General">
                  <c:v>0.12270696069030584</c:v>
                </c:pt>
                <c:pt idx="93" formatCode="General">
                  <c:v>0.12255910890652096</c:v>
                </c:pt>
                <c:pt idx="94" formatCode="General">
                  <c:v>0.1224141076482741</c:v>
                </c:pt>
                <c:pt idx="95" formatCode="General">
                  <c:v>0.12227186649434896</c:v>
                </c:pt>
                <c:pt idx="96" formatCode="General">
                  <c:v>0.12213229898833579</c:v>
                </c:pt>
                <c:pt idx="97" formatCode="General">
                  <c:v>0.12199532241789619</c:v>
                </c:pt>
                <c:pt idx="98" formatCode="General">
                  <c:v>0.12186085760886345</c:v>
                </c:pt>
                <c:pt idx="99" formatCode="General">
                  <c:v>0.12172882873301392</c:v>
                </c:pt>
                <c:pt idx="100" formatCode="General">
                  <c:v>0.12159916312844991</c:v>
                </c:pt>
                <c:pt idx="101" formatCode="General">
                  <c:v>0.12147179113162745</c:v>
                </c:pt>
                <c:pt idx="102" formatCode="General">
                  <c:v>0.12134664592014768</c:v>
                </c:pt>
                <c:pt idx="103" formatCode="General">
                  <c:v>0.12122366336550564</c:v>
                </c:pt>
                <c:pt idx="104" formatCode="General">
                  <c:v>0.12110278189506003</c:v>
                </c:pt>
                <c:pt idx="105" formatCode="General">
                  <c:v>0.12098394236254903</c:v>
                </c:pt>
                <c:pt idx="106" formatCode="General">
                  <c:v>0.12086708792653396</c:v>
                </c:pt>
                <c:pt idx="107" formatCode="General">
                  <c:v>0.12075216393620347</c:v>
                </c:pt>
                <c:pt idx="108" formatCode="General">
                  <c:v>0.12063911782401723</c:v>
                </c:pt>
                <c:pt idx="109" formatCode="General">
                  <c:v>0.12052789900471038</c:v>
                </c:pt>
                <c:pt idx="110" formatCode="General">
                  <c:v>0.12041845878021792</c:v>
                </c:pt>
                <c:pt idx="111" formatCode="General">
                  <c:v>0.12031075025011356</c:v>
                </c:pt>
                <c:pt idx="112" formatCode="General">
                  <c:v>0.12020472822718875</c:v>
                </c:pt>
                <c:pt idx="113" formatCode="General">
                  <c:v>0.120100349157827</c:v>
                </c:pt>
                <c:pt idx="114" formatCode="General">
                  <c:v>0.11999757104685491</c:v>
                </c:pt>
                <c:pt idx="115" formatCode="General">
                  <c:v>0.11399941671527306</c:v>
                </c:pt>
                <c:pt idx="116" formatCode="General">
                  <c:v>0.10989934910757485</c:v>
                </c:pt>
                <c:pt idx="117" formatCode="General">
                  <c:v>0.1080828389548794</c:v>
                </c:pt>
                <c:pt idx="118" formatCode="General">
                  <c:v>0.10699996354204644</c:v>
                </c:pt>
                <c:pt idx="119" formatCode="General">
                  <c:v>0.10626096700384</c:v>
                </c:pt>
                <c:pt idx="120" formatCode="General">
                  <c:v>0.10571545986288226</c:v>
                </c:pt>
                <c:pt idx="121" formatCode="General">
                  <c:v>0.10529149071742085</c:v>
                </c:pt>
                <c:pt idx="122" formatCode="General">
                  <c:v>0.10494973835375607</c:v>
                </c:pt>
                <c:pt idx="123" formatCode="General">
                  <c:v>0.10466665946504281</c:v>
                </c:pt>
                <c:pt idx="124" formatCode="General">
                  <c:v>0.10442718289091778</c:v>
                </c:pt>
                <c:pt idx="125" formatCode="General">
                  <c:v>0.10313049371016773</c:v>
                </c:pt>
                <c:pt idx="126" formatCode="General">
                  <c:v>0.10255603795354296</c:v>
                </c:pt>
                <c:pt idx="127" formatCode="General">
                  <c:v>0.10221359399753466</c:v>
                </c:pt>
                <c:pt idx="128" formatCode="General">
                  <c:v>0.10197989875398907</c:v>
                </c:pt>
                <c:pt idx="129" formatCode="General">
                  <c:v>0.10180739206619313</c:v>
                </c:pt>
                <c:pt idx="130" formatCode="General">
                  <c:v>0.10167331993402055</c:v>
                </c:pt>
                <c:pt idx="131" formatCode="General">
                  <c:v>0.10156524749310404</c:v>
                </c:pt>
                <c:pt idx="132" formatCode="General">
                  <c:v>0.10147572950272879</c:v>
                </c:pt>
                <c:pt idx="133" formatCode="General">
                  <c:v>0.10139999994166668</c:v>
                </c:pt>
              </c:numCache>
            </c:numRef>
          </c:xVal>
          <c:yVal>
            <c:numRef>
              <c:f>SWR_UTU0!$M$14:$M$147</c:f>
              <c:numCache>
                <c:formatCode>0.00E+00</c:formatCode>
                <c:ptCount val="134"/>
                <c:pt idx="0">
                  <c:v>1.3439970409858456E-4</c:v>
                </c:pt>
                <c:pt idx="1">
                  <c:v>1.0823564936341839E-4</c:v>
                </c:pt>
                <c:pt idx="2">
                  <c:v>7.6878076142669337E-5</c:v>
                </c:pt>
                <c:pt idx="3">
                  <c:v>6.6174941477678973E-5</c:v>
                </c:pt>
                <c:pt idx="4">
                  <c:v>5.745309695741434E-5</c:v>
                </c:pt>
                <c:pt idx="5">
                  <c:v>4.413370405888043E-5</c:v>
                </c:pt>
                <c:pt idx="6">
                  <c:v>3.4556010269072802E-5</c:v>
                </c:pt>
                <c:pt idx="7">
                  <c:v>3.0755429200791714E-5</c:v>
                </c:pt>
                <c:pt idx="8">
                  <c:v>2.4606274638940568E-5</c:v>
                </c:pt>
                <c:pt idx="9">
                  <c:v>1.9920105551587099E-5</c:v>
                </c:pt>
                <c:pt idx="10">
                  <c:v>1.6296066062001069E-5</c:v>
                </c:pt>
                <c:pt idx="11">
                  <c:v>1.3458027754243125E-5</c:v>
                </c:pt>
                <c:pt idx="12">
                  <c:v>1.121072378949935E-5</c:v>
                </c:pt>
                <c:pt idx="13">
                  <c:v>9.413278127556372E-6</c:v>
                </c:pt>
                <c:pt idx="14">
                  <c:v>7.9623977836054603E-6</c:v>
                </c:pt>
                <c:pt idx="15">
                  <c:v>6.7813030276105759E-6</c:v>
                </c:pt>
                <c:pt idx="16">
                  <c:v>5.3930523994700507E-6</c:v>
                </c:pt>
                <c:pt idx="17">
                  <c:v>2.7405385004991131E-6</c:v>
                </c:pt>
                <c:pt idx="18">
                  <c:v>1.5469291256952563E-6</c:v>
                </c:pt>
                <c:pt idx="19">
                  <c:v>9.4470350993994638E-7</c:v>
                </c:pt>
                <c:pt idx="20">
                  <c:v>6.1303544891441637E-7</c:v>
                </c:pt>
                <c:pt idx="21">
                  <c:v>4.173679948457298E-7</c:v>
                </c:pt>
                <c:pt idx="22">
                  <c:v>2.9538468896463738E-7</c:v>
                </c:pt>
                <c:pt idx="23">
                  <c:v>2.158275089914039E-7</c:v>
                </c:pt>
                <c:pt idx="24">
                  <c:v>6.2512045602885284E-8</c:v>
                </c:pt>
                <c:pt idx="25">
                  <c:v>2.5392313231979511E-8</c:v>
                </c:pt>
                <c:pt idx="26">
                  <c:v>1.2521726713707465E-8</c:v>
                </c:pt>
                <c:pt idx="27">
                  <c:v>7.0005769090809626E-9</c:v>
                </c:pt>
                <c:pt idx="28">
                  <c:v>4.2729744782146143E-9</c:v>
                </c:pt>
                <c:pt idx="29">
                  <c:v>2.782781033449636E-9</c:v>
                </c:pt>
                <c:pt idx="30">
                  <c:v>1.3563831840960887E-9</c:v>
                </c:pt>
                <c:pt idx="31">
                  <c:v>7.5295799167291219E-10</c:v>
                </c:pt>
                <c:pt idx="32">
                  <c:v>4.5743530535594646E-10</c:v>
                </c:pt>
                <c:pt idx="33">
                  <c:v>2.9692689857301477E-10</c:v>
                </c:pt>
                <c:pt idx="34">
                  <c:v>2.0276080062573057E-10</c:v>
                </c:pt>
                <c:pt idx="35">
                  <c:v>1.7017840029151402E-10</c:v>
                </c:pt>
                <c:pt idx="36">
                  <c:v>1.4411571452485841E-10</c:v>
                </c:pt>
                <c:pt idx="37">
                  <c:v>1.2303458813816152E-10</c:v>
                </c:pt>
                <c:pt idx="38">
                  <c:v>1.0581007280575999E-10</c:v>
                </c:pt>
                <c:pt idx="39">
                  <c:v>9.1607029787678194E-11</c:v>
                </c:pt>
                <c:pt idx="40">
                  <c:v>7.9796989425678658E-11</c:v>
                </c:pt>
                <c:pt idx="41">
                  <c:v>6.9901108033297321E-11</c:v>
                </c:pt>
                <c:pt idx="42">
                  <c:v>6.1550377341332048E-11</c:v>
                </c:pt>
                <c:pt idx="43">
                  <c:v>5.4457444893283765E-11</c:v>
                </c:pt>
                <c:pt idx="44">
                  <c:v>4.8396377599291744E-11</c:v>
                </c:pt>
                <c:pt idx="45">
                  <c:v>4.3187941762127325E-11</c:v>
                </c:pt>
                <c:pt idx="46">
                  <c:v>3.8688767911032864E-11</c:v>
                </c:pt>
                <c:pt idx="47">
                  <c:v>3.4783286857164907E-11</c:v>
                </c:pt>
                <c:pt idx="48">
                  <c:v>3.1377666384598953E-11</c:v>
                </c:pt>
                <c:pt idx="49">
                  <c:v>2.8395208444614684E-11</c:v>
                </c:pt>
                <c:pt idx="50">
                  <c:v>2.5772823692229107E-11</c:v>
                </c:pt>
                <c:pt idx="51">
                  <c:v>2.3458308496655727E-11</c:v>
                </c:pt>
                <c:pt idx="52">
                  <c:v>2.1408225165872974E-11</c:v>
                </c:pt>
                <c:pt idx="53">
                  <c:v>1.9586239508057965E-11</c:v>
                </c:pt>
                <c:pt idx="54">
                  <c:v>1.7961807940979366E-11</c:v>
                </c:pt>
                <c:pt idx="55">
                  <c:v>1.6509133807102965E-11</c:v>
                </c:pt>
                <c:pt idx="56">
                  <c:v>1.5206332515162787E-11</c:v>
                </c:pt>
                <c:pt idx="57">
                  <c:v>1.4034759777577761E-11</c:v>
                </c:pt>
                <c:pt idx="58">
                  <c:v>1.297846805175091E-11</c:v>
                </c:pt>
                <c:pt idx="59">
                  <c:v>1.2023764376772146E-11</c:v>
                </c:pt>
                <c:pt idx="60">
                  <c:v>1.1158848870595188E-11</c:v>
                </c:pt>
                <c:pt idx="61">
                  <c:v>1.0373517749189636E-11</c:v>
                </c:pt>
                <c:pt idx="62">
                  <c:v>9.6589182309674784E-12</c:v>
                </c:pt>
                <c:pt idx="63">
                  <c:v>9.0073453749287216E-12</c:v>
                </c:pt>
                <c:pt idx="64">
                  <c:v>8.4120729729390555E-12</c:v>
                </c:pt>
                <c:pt idx="65">
                  <c:v>7.8672122243025284E-12</c:v>
                </c:pt>
                <c:pt idx="66">
                  <c:v>7.367593175557268E-12</c:v>
                </c:pt>
                <c:pt idx="67">
                  <c:v>6.9086648932176579E-12</c:v>
                </c:pt>
                <c:pt idx="68">
                  <c:v>6.4864111134681784E-12</c:v>
                </c:pt>
                <c:pt idx="69">
                  <c:v>6.0972787284268232E-12</c:v>
                </c:pt>
                <c:pt idx="70">
                  <c:v>5.7381169585420054E-12</c:v>
                </c:pt>
                <c:pt idx="71">
                  <c:v>5.4061254528979933E-12</c:v>
                </c:pt>
                <c:pt idx="72">
                  <c:v>5.0988098739203E-12</c:v>
                </c:pt>
                <c:pt idx="73">
                  <c:v>4.8139437773575949E-12</c:v>
                </c:pt>
                <c:pt idx="74">
                  <c:v>4.5495358039925884E-12</c:v>
                </c:pt>
                <c:pt idx="75">
                  <c:v>4.3038013671844214E-12</c:v>
                </c:pt>
                <c:pt idx="76">
                  <c:v>4.0751381567527415E-12</c:v>
                </c:pt>
                <c:pt idx="77">
                  <c:v>3.8621048918025322E-12</c:v>
                </c:pt>
                <c:pt idx="78">
                  <c:v>3.6634028470001551E-12</c:v>
                </c:pt>
                <c:pt idx="79">
                  <c:v>3.4778597527787716E-12</c:v>
                </c:pt>
                <c:pt idx="80">
                  <c:v>3.3044157326758069E-12</c:v>
                </c:pt>
                <c:pt idx="81">
                  <c:v>3.1421109932267628E-12</c:v>
                </c:pt>
                <c:pt idx="82">
                  <c:v>2.9900750251536263E-12</c:v>
                </c:pt>
                <c:pt idx="83">
                  <c:v>2.8475171109028652E-12</c:v>
                </c:pt>
                <c:pt idx="84">
                  <c:v>2.7137179639329385E-12</c:v>
                </c:pt>
                <c:pt idx="85">
                  <c:v>2.5880223505902671E-12</c:v>
                </c:pt>
                <c:pt idx="86">
                  <c:v>2.4698325669557732E-12</c:v>
                </c:pt>
                <c:pt idx="87">
                  <c:v>2.358602661127219E-12</c:v>
                </c:pt>
                <c:pt idx="88">
                  <c:v>2.2538333067127995E-12</c:v>
                </c:pt>
                <c:pt idx="89">
                  <c:v>2.1550672463765847E-12</c:v>
                </c:pt>
                <c:pt idx="90">
                  <c:v>2.0618852353078E-12</c:v>
                </c:pt>
                <c:pt idx="91">
                  <c:v>1.9739024239328398E-12</c:v>
                </c:pt>
                <c:pt idx="92">
                  <c:v>1.890765127204398E-12</c:v>
                </c:pt>
                <c:pt idx="93">
                  <c:v>1.8121479348050744E-12</c:v>
                </c:pt>
                <c:pt idx="94">
                  <c:v>1.7377511223762772E-12</c:v>
                </c:pt>
                <c:pt idx="95">
                  <c:v>1.6672983290884686E-12</c:v>
                </c:pt>
                <c:pt idx="96">
                  <c:v>1.6005344712216611E-12</c:v>
                </c:pt>
                <c:pt idx="97">
                  <c:v>1.5372238651469713E-12</c:v>
                </c:pt>
                <c:pt idx="98">
                  <c:v>1.4771485364828924E-12</c:v>
                </c:pt>
                <c:pt idx="99">
                  <c:v>1.4201066949413846E-12</c:v>
                </c:pt>
                <c:pt idx="100">
                  <c:v>1.3659113568604498E-12</c:v>
                </c:pt>
                <c:pt idx="101">
                  <c:v>1.3143890996178719E-12</c:v>
                </c:pt>
                <c:pt idx="102">
                  <c:v>1.2653789338889402E-12</c:v>
                </c:pt>
                <c:pt idx="103">
                  <c:v>1.2187312814171397E-12</c:v>
                </c:pt>
                <c:pt idx="104">
                  <c:v>1.1743070473389147E-12</c:v>
                </c:pt>
                <c:pt idx="105">
                  <c:v>1.1319767773784259E-12</c:v>
                </c:pt>
                <c:pt idx="106">
                  <c:v>1.0916198912899597E-12</c:v>
                </c:pt>
                <c:pt idx="107">
                  <c:v>1.0531239849060704E-12</c:v>
                </c:pt>
                <c:pt idx="108">
                  <c:v>1.0163841939792885E-12</c:v>
                </c:pt>
                <c:pt idx="109">
                  <c:v>9.8130261374623641E-13</c:v>
                </c:pt>
                <c:pt idx="110">
                  <c:v>9.4778776880185577E-13</c:v>
                </c:pt>
                <c:pt idx="111">
                  <c:v>9.1575412844967472E-13</c:v>
                </c:pt>
                <c:pt idx="112">
                  <c:v>8.8512166319024831E-13</c:v>
                </c:pt>
                <c:pt idx="113">
                  <c:v>8.5581543847624112E-13</c:v>
                </c:pt>
                <c:pt idx="114">
                  <c:v>8.2776524226295271E-13</c:v>
                </c:pt>
                <c:pt idx="115">
                  <c:v>8.1508028352253834E-14</c:v>
                </c:pt>
                <c:pt idx="116">
                  <c:v>8.5685145437798121E-15</c:v>
                </c:pt>
                <c:pt idx="117">
                  <c:v>2.2941513432627486E-15</c:v>
                </c:pt>
                <c:pt idx="118">
                  <c:v>9.0069274166734267E-16</c:v>
                </c:pt>
                <c:pt idx="119">
                  <c:v>4.3613608027377293E-16</c:v>
                </c:pt>
                <c:pt idx="120">
                  <c:v>2.4114858011182546E-16</c:v>
                </c:pt>
                <c:pt idx="121">
                  <c:v>1.4611970496243038E-16</c:v>
                </c:pt>
                <c:pt idx="122">
                  <c:v>9.4675096621207226E-17</c:v>
                </c:pt>
                <c:pt idx="123">
                  <c:v>6.4564031671830683E-17</c:v>
                </c:pt>
                <c:pt idx="124">
                  <c:v>4.5843655306061759E-17</c:v>
                </c:pt>
                <c:pt idx="125">
                  <c:v>4.8187391453269241E-18</c:v>
                </c:pt>
                <c:pt idx="126">
                  <c:v>1.2901411865131321E-18</c:v>
                </c:pt>
                <c:pt idx="127">
                  <c:v>5.0650824568233063E-19</c:v>
                </c:pt>
                <c:pt idx="128">
                  <c:v>2.4526132443141278E-19</c:v>
                </c:pt>
                <c:pt idx="129">
                  <c:v>1.3560948742764703E-19</c:v>
                </c:pt>
                <c:pt idx="130">
                  <c:v>8.2169954014268063E-20</c:v>
                </c:pt>
                <c:pt idx="131">
                  <c:v>5.3240146616503788E-20</c:v>
                </c:pt>
                <c:pt idx="132">
                  <c:v>3.6307267206915793E-20</c:v>
                </c:pt>
                <c:pt idx="133">
                  <c:v>2.5779929942009035E-20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2D-4D06-8B7D-82E933A07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480412712"/>
        <c:scaling>
          <c:orientation val="minMax"/>
          <c:max val="0.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Volumetric water content</a:t>
                </a:r>
              </a:p>
            </c:rich>
          </c:tx>
          <c:layout>
            <c:manualLayout>
              <c:xMode val="edge"/>
              <c:yMode val="edge"/>
              <c:x val="0.35504200621210558"/>
              <c:y val="0.884237513789037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.1"/>
        <c:crossBetween val="midCat"/>
        <c:minorUnit val="0.02"/>
      </c:valAx>
      <c:valAx>
        <c:axId val="1"/>
        <c:scaling>
          <c:logBase val="10"/>
          <c:orientation val="minMax"/>
          <c:max val="100000"/>
          <c:min val="0.1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Matric suction (kPa)</a:t>
                </a:r>
              </a:p>
            </c:rich>
          </c:tx>
          <c:layout>
            <c:manualLayout>
              <c:xMode val="edge"/>
              <c:yMode val="edge"/>
              <c:x val="3.2751091703056769E-2"/>
              <c:y val="0.35265776560538631"/>
            </c:manualLayout>
          </c:layout>
          <c:overlay val="0"/>
          <c:spPr>
            <a:noFill/>
            <a:ln w="25400">
              <a:noFill/>
            </a:ln>
          </c:spPr>
        </c:title>
        <c:numFmt formatCode="0E+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412712"/>
        <c:crosses val="autoZero"/>
        <c:crossBetween val="midCat"/>
        <c:minorUnit val="10"/>
      </c:valAx>
      <c:val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logBase val="10"/>
          <c:orientation val="minMax"/>
          <c:max val="1.0000000000000002E-2"/>
          <c:min val="1.0000000000000005E-9"/>
        </c:scaling>
        <c:delete val="0"/>
        <c:axPos val="r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Conductivity k (cm/s)</a:t>
                </a:r>
              </a:p>
            </c:rich>
          </c:tx>
          <c:layout>
            <c:manualLayout>
              <c:xMode val="edge"/>
              <c:yMode val="edge"/>
              <c:x val="0.92358078602620086"/>
              <c:y val="0.28502491536384039"/>
            </c:manualLayout>
          </c:layout>
          <c:overlay val="0"/>
          <c:spPr>
            <a:noFill/>
            <a:ln w="25400">
              <a:noFill/>
            </a:ln>
          </c:spPr>
        </c:title>
        <c:numFmt formatCode="0.0E+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10"/>
        <c:minorUnit val="1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1528384279475981"/>
          <c:y val="6.5217644895837298E-2"/>
          <c:w val="0.29694323144104806"/>
          <c:h val="0.1312404427707406"/>
        </c:manualLayout>
      </c:layout>
      <c:overlay val="0"/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03056768558952"/>
          <c:y val="6.2802080507624994E-2"/>
          <c:w val="0.64410480349344978"/>
          <c:h val="0.74879403682168255"/>
        </c:manualLayout>
      </c:layout>
      <c:scatterChart>
        <c:scatterStyle val="lineMarker"/>
        <c:varyColors val="0"/>
        <c:ser>
          <c:idx val="1"/>
          <c:order val="0"/>
          <c:tx>
            <c:v>Drying</c:v>
          </c:tx>
          <c:spPr>
            <a:ln w="25400">
              <a:solidFill>
                <a:srgbClr val="FF0000"/>
              </a:solidFill>
              <a:prstDash val="lgDashDotDot"/>
            </a:ln>
          </c:spPr>
          <c:marker>
            <c:symbol val="none"/>
          </c:marker>
          <c:xVal>
            <c:numRef>
              <c:f>SWR_ELTz015!$C$14:$C$154</c:f>
              <c:numCache>
                <c:formatCode>General</c:formatCode>
                <c:ptCount val="141"/>
                <c:pt idx="0">
                  <c:v>0.50949703189264695</c:v>
                </c:pt>
                <c:pt idx="1">
                  <c:v>0.50872375131524294</c:v>
                </c:pt>
                <c:pt idx="2">
                  <c:v>0.50678415133466559</c:v>
                </c:pt>
                <c:pt idx="3">
                  <c:v>0.50568231635543637</c:v>
                </c:pt>
                <c:pt idx="4">
                  <c:v>0.50451607278891286</c:v>
                </c:pt>
                <c:pt idx="5">
                  <c:v>0.50203442034808332</c:v>
                </c:pt>
                <c:pt idx="6">
                  <c:v>0.49940617516203523</c:v>
                </c:pt>
                <c:pt idx="7">
                  <c:v>0.49805179245896203</c:v>
                </c:pt>
                <c:pt idx="8">
                  <c:v>0.49528458571586997</c:v>
                </c:pt>
                <c:pt idx="9">
                  <c:v>0.4924623871764322</c:v>
                </c:pt>
                <c:pt idx="10">
                  <c:v>0.48960712950637453</c:v>
                </c:pt>
                <c:pt idx="11">
                  <c:v>0.48673595818208393</c:v>
                </c:pt>
                <c:pt idx="12">
                  <c:v>0.48386242481716157</c:v>
                </c:pt>
                <c:pt idx="13">
                  <c:v>0.48099730464200208</c:v>
                </c:pt>
                <c:pt idx="14">
                  <c:v>0.47814918438573906</c:v>
                </c:pt>
                <c:pt idx="15">
                  <c:v>0.47532490062850297</c:v>
                </c:pt>
                <c:pt idx="16">
                  <c:v>0.47114470883212189</c:v>
                </c:pt>
                <c:pt idx="17">
                  <c:v>0.45782916054848255</c:v>
                </c:pt>
                <c:pt idx="18">
                  <c:v>0.44559698022072025</c:v>
                </c:pt>
                <c:pt idx="19">
                  <c:v>0.43445746096338078</c:v>
                </c:pt>
                <c:pt idx="20">
                  <c:v>0.42433340590017099</c:v>
                </c:pt>
                <c:pt idx="21">
                  <c:v>0.4151214987646652</c:v>
                </c:pt>
                <c:pt idx="22">
                  <c:v>0.40671696456894812</c:v>
                </c:pt>
                <c:pt idx="23">
                  <c:v>0.39902306671186272</c:v>
                </c:pt>
                <c:pt idx="24">
                  <c:v>0.39195406501335461</c:v>
                </c:pt>
                <c:pt idx="25">
                  <c:v>0.37940280068257837</c:v>
                </c:pt>
                <c:pt idx="26">
                  <c:v>0.3685825143945326</c:v>
                </c:pt>
                <c:pt idx="27">
                  <c:v>0.35913735151432358</c:v>
                </c:pt>
                <c:pt idx="28">
                  <c:v>0.34698525631774646</c:v>
                </c:pt>
                <c:pt idx="29">
                  <c:v>0.33670187091172665</c:v>
                </c:pt>
                <c:pt idx="30">
                  <c:v>0.32784981235616978</c:v>
                </c:pt>
                <c:pt idx="31">
                  <c:v>0.3201214806317616</c:v>
                </c:pt>
                <c:pt idx="32">
                  <c:v>0.31329406663446113</c:v>
                </c:pt>
                <c:pt idx="33">
                  <c:v>0.30720196482646234</c:v>
                </c:pt>
                <c:pt idx="34">
                  <c:v>0.30171929693206018</c:v>
                </c:pt>
                <c:pt idx="35">
                  <c:v>0.3000096536288715</c:v>
                </c:pt>
                <c:pt idx="36">
                  <c:v>0.29835366214696946</c:v>
                </c:pt>
                <c:pt idx="37">
                  <c:v>0.28421101548007055</c:v>
                </c:pt>
                <c:pt idx="38">
                  <c:v>0.27327267432184699</c:v>
                </c:pt>
                <c:pt idx="39">
                  <c:v>0.26446157912805307</c:v>
                </c:pt>
                <c:pt idx="40">
                  <c:v>0.25392904693869472</c:v>
                </c:pt>
                <c:pt idx="41">
                  <c:v>0.25094668052859104</c:v>
                </c:pt>
                <c:pt idx="42">
                  <c:v>0.2481744285917139</c:v>
                </c:pt>
                <c:pt idx="43">
                  <c:v>0.24558788501797385</c:v>
                </c:pt>
                <c:pt idx="44">
                  <c:v>0.24316648455988729</c:v>
                </c:pt>
                <c:pt idx="45">
                  <c:v>0.24089275475654423</c:v>
                </c:pt>
                <c:pt idx="46">
                  <c:v>0.23875173906775682</c:v>
                </c:pt>
                <c:pt idx="47">
                  <c:v>0.23673054668657875</c:v>
                </c:pt>
                <c:pt idx="48">
                  <c:v>0.23481799736007961</c:v>
                </c:pt>
                <c:pt idx="49">
                  <c:v>0.23300433835435325</c:v>
                </c:pt>
                <c:pt idx="50">
                  <c:v>0.23128101682857577</c:v>
                </c:pt>
                <c:pt idx="51">
                  <c:v>0.22964049521299401</c:v>
                </c:pt>
                <c:pt idx="52">
                  <c:v>0.22807610028754305</c:v>
                </c:pt>
                <c:pt idx="53">
                  <c:v>0.2265818989083121</c:v>
                </c:pt>
                <c:pt idx="54">
                  <c:v>0.2251525949813768</c:v>
                </c:pt>
                <c:pt idx="55">
                  <c:v>0.22378344351001106</c:v>
                </c:pt>
                <c:pt idx="56">
                  <c:v>0.22247017846108719</c:v>
                </c:pt>
                <c:pt idx="57">
                  <c:v>0.22120895189288051</c:v>
                </c:pt>
                <c:pt idx="58">
                  <c:v>0.21999628231851287</c:v>
                </c:pt>
                <c:pt idx="59">
                  <c:v>0.2188290106891172</c:v>
                </c:pt>
                <c:pt idx="60">
                  <c:v>0.21770426269904564</c:v>
                </c:pt>
                <c:pt idx="61">
                  <c:v>0.21661941636438356</c:v>
                </c:pt>
                <c:pt idx="62">
                  <c:v>0.21557207402213568</c:v>
                </c:pt>
                <c:pt idx="63">
                  <c:v>0.21456003805295459</c:v>
                </c:pt>
                <c:pt idx="64">
                  <c:v>0.2135812897543653</c:v>
                </c:pt>
                <c:pt idx="65">
                  <c:v>0.21263397089104041</c:v>
                </c:pt>
                <c:pt idx="66">
                  <c:v>0.21171636752907907</c:v>
                </c:pt>
                <c:pt idx="67">
                  <c:v>0.21082689582649072</c:v>
                </c:pt>
                <c:pt idx="68">
                  <c:v>0.2099640895053036</c:v>
                </c:pt>
                <c:pt idx="69">
                  <c:v>0.20912658877434093</c:v>
                </c:pt>
                <c:pt idx="70">
                  <c:v>0.20831313050762451</c:v>
                </c:pt>
                <c:pt idx="71">
                  <c:v>0.20752253951307476</c:v>
                </c:pt>
                <c:pt idx="72">
                  <c:v>0.20675372075084877</c:v>
                </c:pt>
                <c:pt idx="73">
                  <c:v>0.20600565238123242</c:v>
                </c:pt>
                <c:pt idx="74">
                  <c:v>0.20527737953922937</c:v>
                </c:pt>
                <c:pt idx="75">
                  <c:v>0.20456800874746034</c:v>
                </c:pt>
                <c:pt idx="76">
                  <c:v>0.20387670289119059</c:v>
                </c:pt>
                <c:pt idx="77">
                  <c:v>0.20320267668962855</c:v>
                </c:pt>
                <c:pt idx="78">
                  <c:v>0.20254519260640413</c:v>
                </c:pt>
                <c:pt idx="79">
                  <c:v>0.20190355714959859</c:v>
                </c:pt>
                <c:pt idx="80">
                  <c:v>0.20127711751807237</c:v>
                </c:pt>
                <c:pt idx="81">
                  <c:v>0.20066525855630016</c:v>
                </c:pt>
                <c:pt idx="82">
                  <c:v>0.20006739998461154</c:v>
                </c:pt>
                <c:pt idx="83">
                  <c:v>0.19948299387577795</c:v>
                </c:pt>
                <c:pt idx="84">
                  <c:v>0.19891152235237597</c:v>
                </c:pt>
                <c:pt idx="85">
                  <c:v>0.19835249548237799</c:v>
                </c:pt>
                <c:pt idx="86">
                  <c:v>0.19780544935304556</c:v>
                </c:pt>
                <c:pt idx="87">
                  <c:v>0.19726994430547959</c:v>
                </c:pt>
                <c:pt idx="88">
                  <c:v>0.19674556331417248</c:v>
                </c:pt>
                <c:pt idx="89">
                  <c:v>0.19623191049764657</c:v>
                </c:pt>
                <c:pt idx="90">
                  <c:v>0.19572860974778322</c:v>
                </c:pt>
                <c:pt idx="91">
                  <c:v>0.19523530346678547</c:v>
                </c:pt>
                <c:pt idx="92">
                  <c:v>0.19475165140189038</c:v>
                </c:pt>
                <c:pt idx="93">
                  <c:v>0.19427732956898339</c:v>
                </c:pt>
                <c:pt idx="94">
                  <c:v>0.19381202925718027</c:v>
                </c:pt>
                <c:pt idx="95">
                  <c:v>0.19335545610724986</c:v>
                </c:pt>
                <c:pt idx="96">
                  <c:v>0.19290732925746759</c:v>
                </c:pt>
                <c:pt idx="97">
                  <c:v>0.19246738055112492</c:v>
                </c:pt>
                <c:pt idx="98">
                  <c:v>0.19203535380048292</c:v>
                </c:pt>
                <c:pt idx="99">
                  <c:v>0.19161100410246429</c:v>
                </c:pt>
                <c:pt idx="100">
                  <c:v>0.19119409720182287</c:v>
                </c:pt>
                <c:pt idx="101">
                  <c:v>0.19078440889793308</c:v>
                </c:pt>
                <c:pt idx="102">
                  <c:v>0.19038172449169871</c:v>
                </c:pt>
                <c:pt idx="103">
                  <c:v>0.18998583826940169</c:v>
                </c:pt>
                <c:pt idx="104">
                  <c:v>0.18959655302059897</c:v>
                </c:pt>
                <c:pt idx="105">
                  <c:v>0.18921367958743596</c:v>
                </c:pt>
                <c:pt idx="106">
                  <c:v>0.18883703644297581</c:v>
                </c:pt>
                <c:pt idx="107">
                  <c:v>0.18846644929635342</c:v>
                </c:pt>
                <c:pt idx="108">
                  <c:v>0.18810175072275526</c:v>
                </c:pt>
                <c:pt idx="109">
                  <c:v>0.18774277981639176</c:v>
                </c:pt>
                <c:pt idx="110">
                  <c:v>0.18738938186478873</c:v>
                </c:pt>
                <c:pt idx="111">
                  <c:v>0.18704140804285924</c:v>
                </c:pt>
                <c:pt idx="112">
                  <c:v>0.18669871512534822</c:v>
                </c:pt>
                <c:pt idx="113">
                  <c:v>0.18636116521635393</c:v>
                </c:pt>
                <c:pt idx="114">
                  <c:v>0.18602862549473659</c:v>
                </c:pt>
                <c:pt idx="115">
                  <c:v>0.18570096797431881</c:v>
                </c:pt>
                <c:pt idx="116">
                  <c:v>0.18537806927786862</c:v>
                </c:pt>
                <c:pt idx="117">
                  <c:v>0.18505981042393571</c:v>
                </c:pt>
                <c:pt idx="118">
                  <c:v>0.18474607662568221</c:v>
                </c:pt>
                <c:pt idx="119">
                  <c:v>0.18443675710091517</c:v>
                </c:pt>
                <c:pt idx="120">
                  <c:v>0.18413174489258921</c:v>
                </c:pt>
                <c:pt idx="121">
                  <c:v>0.18383093669910017</c:v>
                </c:pt>
                <c:pt idx="122">
                  <c:v>0.16533195979618437</c:v>
                </c:pt>
                <c:pt idx="123">
                  <c:v>0.15126518773057512</c:v>
                </c:pt>
                <c:pt idx="124">
                  <c:v>0.1444842452108519</c:v>
                </c:pt>
                <c:pt idx="125">
                  <c:v>0.14022393601683206</c:v>
                </c:pt>
                <c:pt idx="126">
                  <c:v>0.1372023043047266</c:v>
                </c:pt>
                <c:pt idx="127">
                  <c:v>0.13490267802853734</c:v>
                </c:pt>
                <c:pt idx="128">
                  <c:v>0.13306960093966663</c:v>
                </c:pt>
                <c:pt idx="129">
                  <c:v>0.13155970238404846</c:v>
                </c:pt>
                <c:pt idx="130">
                  <c:v>0.13028519361015051</c:v>
                </c:pt>
                <c:pt idx="131">
                  <c:v>0.12918877558660252</c:v>
                </c:pt>
                <c:pt idx="132">
                  <c:v>0.12290118435624681</c:v>
                </c:pt>
                <c:pt idx="133">
                  <c:v>0.11987131920993147</c:v>
                </c:pt>
                <c:pt idx="134">
                  <c:v>0.11796794668055402</c:v>
                </c:pt>
                <c:pt idx="135">
                  <c:v>0.11661805203384375</c:v>
                </c:pt>
                <c:pt idx="136">
                  <c:v>0.11559074194266887</c:v>
                </c:pt>
                <c:pt idx="137">
                  <c:v>0.11477187001312165</c:v>
                </c:pt>
                <c:pt idx="138">
                  <c:v>0.1140973780450045</c:v>
                </c:pt>
                <c:pt idx="139">
                  <c:v>0.11352804380343723</c:v>
                </c:pt>
                <c:pt idx="140">
                  <c:v>0.1130382681281465</c:v>
                </c:pt>
              </c:numCache>
            </c:numRef>
          </c:xVal>
          <c:yVal>
            <c:numRef>
              <c:f>SWR_ELTz015!$B$14:$B$154</c:f>
              <c:numCache>
                <c:formatCode>General</c:formatCode>
                <c:ptCount val="141"/>
                <c:pt idx="0">
                  <c:v>9.8966999999999999E-2</c:v>
                </c:pt>
                <c:pt idx="1">
                  <c:v>0.197934</c:v>
                </c:pt>
                <c:pt idx="2">
                  <c:v>0.395868</c:v>
                </c:pt>
                <c:pt idx="3">
                  <c:v>0.49483500000000002</c:v>
                </c:pt>
                <c:pt idx="4">
                  <c:v>0.59380199999999994</c:v>
                </c:pt>
                <c:pt idx="5">
                  <c:v>0.791736</c:v>
                </c:pt>
                <c:pt idx="6">
                  <c:v>0.98967000000000005</c:v>
                </c:pt>
                <c:pt idx="7">
                  <c:v>1.0886370000000001</c:v>
                </c:pt>
                <c:pt idx="8">
                  <c:v>1.2865709999999999</c:v>
                </c:pt>
                <c:pt idx="9">
                  <c:v>1.484505</c:v>
                </c:pt>
                <c:pt idx="10">
                  <c:v>1.682439</c:v>
                </c:pt>
                <c:pt idx="11">
                  <c:v>1.8803730000000001</c:v>
                </c:pt>
                <c:pt idx="12">
                  <c:v>2.0783070000000001</c:v>
                </c:pt>
                <c:pt idx="13">
                  <c:v>2.2762410000000002</c:v>
                </c:pt>
                <c:pt idx="14">
                  <c:v>2.4741749999999998</c:v>
                </c:pt>
                <c:pt idx="15">
                  <c:v>2.6721089999999998</c:v>
                </c:pt>
                <c:pt idx="16">
                  <c:v>2.9690099999999999</c:v>
                </c:pt>
                <c:pt idx="17">
                  <c:v>3.9586800000000002</c:v>
                </c:pt>
                <c:pt idx="18">
                  <c:v>4.9483499999999996</c:v>
                </c:pt>
                <c:pt idx="19">
                  <c:v>5.9380199999999999</c:v>
                </c:pt>
                <c:pt idx="20">
                  <c:v>6.9276900000000001</c:v>
                </c:pt>
                <c:pt idx="21">
                  <c:v>7.9173600000000004</c:v>
                </c:pt>
                <c:pt idx="22">
                  <c:v>8.9070300000000007</c:v>
                </c:pt>
                <c:pt idx="23">
                  <c:v>9.8966999999999992</c:v>
                </c:pt>
                <c:pt idx="24">
                  <c:v>10.886369999999999</c:v>
                </c:pt>
                <c:pt idx="25">
                  <c:v>12.86571</c:v>
                </c:pt>
                <c:pt idx="26">
                  <c:v>14.845050000000001</c:v>
                </c:pt>
                <c:pt idx="27">
                  <c:v>16.824390000000001</c:v>
                </c:pt>
                <c:pt idx="28">
                  <c:v>19.793399999999998</c:v>
                </c:pt>
                <c:pt idx="29">
                  <c:v>22.762409999999999</c:v>
                </c:pt>
                <c:pt idx="30">
                  <c:v>25.73142</c:v>
                </c:pt>
                <c:pt idx="31">
                  <c:v>28.700430000000001</c:v>
                </c:pt>
                <c:pt idx="32">
                  <c:v>31.669440000000002</c:v>
                </c:pt>
                <c:pt idx="33">
                  <c:v>34.638449999999999</c:v>
                </c:pt>
                <c:pt idx="34">
                  <c:v>37.607460000000003</c:v>
                </c:pt>
                <c:pt idx="35">
                  <c:v>38.59713</c:v>
                </c:pt>
                <c:pt idx="36">
                  <c:v>39.586799999999997</c:v>
                </c:pt>
                <c:pt idx="37">
                  <c:v>49.483499999999999</c:v>
                </c:pt>
                <c:pt idx="38">
                  <c:v>59.380200000000002</c:v>
                </c:pt>
                <c:pt idx="39">
                  <c:v>69.276899999999998</c:v>
                </c:pt>
                <c:pt idx="40">
                  <c:v>84.121949999999998</c:v>
                </c:pt>
                <c:pt idx="41">
                  <c:v>89.070300000000003</c:v>
                </c:pt>
                <c:pt idx="42">
                  <c:v>94.018649999999994</c:v>
                </c:pt>
                <c:pt idx="43">
                  <c:v>98.966999999999999</c:v>
                </c:pt>
                <c:pt idx="44">
                  <c:v>103.91535</c:v>
                </c:pt>
                <c:pt idx="45">
                  <c:v>108.86369999999999</c:v>
                </c:pt>
                <c:pt idx="46">
                  <c:v>113.81205</c:v>
                </c:pt>
                <c:pt idx="47">
                  <c:v>118.7604</c:v>
                </c:pt>
                <c:pt idx="48">
                  <c:v>123.70874999999999</c:v>
                </c:pt>
                <c:pt idx="49">
                  <c:v>128.65709999999999</c:v>
                </c:pt>
                <c:pt idx="50">
                  <c:v>133.60544999999999</c:v>
                </c:pt>
                <c:pt idx="51">
                  <c:v>138.5538</c:v>
                </c:pt>
                <c:pt idx="52">
                  <c:v>143.50215</c:v>
                </c:pt>
                <c:pt idx="53">
                  <c:v>148.45050000000001</c:v>
                </c:pt>
                <c:pt idx="54">
                  <c:v>153.39885000000001</c:v>
                </c:pt>
                <c:pt idx="55">
                  <c:v>158.34719999999999</c:v>
                </c:pt>
                <c:pt idx="56">
                  <c:v>163.29554999999999</c:v>
                </c:pt>
                <c:pt idx="57">
                  <c:v>168.2439</c:v>
                </c:pt>
                <c:pt idx="58">
                  <c:v>173.19225</c:v>
                </c:pt>
                <c:pt idx="59">
                  <c:v>178.14060000000001</c:v>
                </c:pt>
                <c:pt idx="60">
                  <c:v>183.08895000000001</c:v>
                </c:pt>
                <c:pt idx="61">
                  <c:v>188.03729999999999</c:v>
                </c:pt>
                <c:pt idx="62">
                  <c:v>192.98564999999999</c:v>
                </c:pt>
                <c:pt idx="63">
                  <c:v>197.934</c:v>
                </c:pt>
                <c:pt idx="64">
                  <c:v>202.88235</c:v>
                </c:pt>
                <c:pt idx="65">
                  <c:v>207.83070000000001</c:v>
                </c:pt>
                <c:pt idx="66">
                  <c:v>212.77905000000001</c:v>
                </c:pt>
                <c:pt idx="67">
                  <c:v>217.72739999999999</c:v>
                </c:pt>
                <c:pt idx="68">
                  <c:v>222.67574999999999</c:v>
                </c:pt>
                <c:pt idx="69">
                  <c:v>227.6241</c:v>
                </c:pt>
                <c:pt idx="70">
                  <c:v>232.57245</c:v>
                </c:pt>
                <c:pt idx="71">
                  <c:v>237.52080000000001</c:v>
                </c:pt>
                <c:pt idx="72">
                  <c:v>242.46914999999998</c:v>
                </c:pt>
                <c:pt idx="73">
                  <c:v>247.41749999999999</c:v>
                </c:pt>
                <c:pt idx="74">
                  <c:v>252.36584999999999</c:v>
                </c:pt>
                <c:pt idx="75">
                  <c:v>257.31419999999997</c:v>
                </c:pt>
                <c:pt idx="76">
                  <c:v>262.26254999999998</c:v>
                </c:pt>
                <c:pt idx="77">
                  <c:v>267.21089999999998</c:v>
                </c:pt>
                <c:pt idx="78">
                  <c:v>272.15924999999999</c:v>
                </c:pt>
                <c:pt idx="79">
                  <c:v>277.10759999999999</c:v>
                </c:pt>
                <c:pt idx="80">
                  <c:v>282.05595</c:v>
                </c:pt>
                <c:pt idx="81">
                  <c:v>287.0043</c:v>
                </c:pt>
                <c:pt idx="82">
                  <c:v>291.95265000000001</c:v>
                </c:pt>
                <c:pt idx="83">
                  <c:v>296.90100000000001</c:v>
                </c:pt>
                <c:pt idx="84">
                  <c:v>301.84935000000002</c:v>
                </c:pt>
                <c:pt idx="85">
                  <c:v>306.79770000000002</c:v>
                </c:pt>
                <c:pt idx="86">
                  <c:v>311.74605000000003</c:v>
                </c:pt>
                <c:pt idx="87">
                  <c:v>316.69439999999997</c:v>
                </c:pt>
                <c:pt idx="88">
                  <c:v>321.64274999999998</c:v>
                </c:pt>
                <c:pt idx="89">
                  <c:v>326.59109999999998</c:v>
                </c:pt>
                <c:pt idx="90">
                  <c:v>331.53944999999999</c:v>
                </c:pt>
                <c:pt idx="91">
                  <c:v>336.48779999999999</c:v>
                </c:pt>
                <c:pt idx="92">
                  <c:v>341.43615</c:v>
                </c:pt>
                <c:pt idx="93">
                  <c:v>346.3845</c:v>
                </c:pt>
                <c:pt idx="94">
                  <c:v>351.33285000000001</c:v>
                </c:pt>
                <c:pt idx="95">
                  <c:v>356.28120000000001</c:v>
                </c:pt>
                <c:pt idx="96">
                  <c:v>361.22955000000002</c:v>
                </c:pt>
                <c:pt idx="97">
                  <c:v>366.17790000000002</c:v>
                </c:pt>
                <c:pt idx="98">
                  <c:v>371.12624999999997</c:v>
                </c:pt>
                <c:pt idx="99">
                  <c:v>376.07459999999998</c:v>
                </c:pt>
                <c:pt idx="100">
                  <c:v>381.02294999999998</c:v>
                </c:pt>
                <c:pt idx="101">
                  <c:v>385.97129999999999</c:v>
                </c:pt>
                <c:pt idx="102">
                  <c:v>390.91964999999999</c:v>
                </c:pt>
                <c:pt idx="103">
                  <c:v>395.86799999999999</c:v>
                </c:pt>
                <c:pt idx="104">
                  <c:v>400.81635</c:v>
                </c:pt>
                <c:pt idx="105">
                  <c:v>405.7647</c:v>
                </c:pt>
                <c:pt idx="106">
                  <c:v>410.71305000000001</c:v>
                </c:pt>
                <c:pt idx="107">
                  <c:v>415.66140000000001</c:v>
                </c:pt>
                <c:pt idx="108">
                  <c:v>420.60975000000002</c:v>
                </c:pt>
                <c:pt idx="109">
                  <c:v>425.55810000000002</c:v>
                </c:pt>
                <c:pt idx="110">
                  <c:v>430.50644999999997</c:v>
                </c:pt>
                <c:pt idx="111">
                  <c:v>435.45479999999998</c:v>
                </c:pt>
                <c:pt idx="112">
                  <c:v>440.40314999999998</c:v>
                </c:pt>
                <c:pt idx="113">
                  <c:v>445.35149999999999</c:v>
                </c:pt>
                <c:pt idx="114">
                  <c:v>450.29984999999999</c:v>
                </c:pt>
                <c:pt idx="115">
                  <c:v>455.2482</c:v>
                </c:pt>
                <c:pt idx="116">
                  <c:v>460.19655</c:v>
                </c:pt>
                <c:pt idx="117">
                  <c:v>465.14490000000001</c:v>
                </c:pt>
                <c:pt idx="118">
                  <c:v>470.09325000000001</c:v>
                </c:pt>
                <c:pt idx="119">
                  <c:v>475.04160000000002</c:v>
                </c:pt>
                <c:pt idx="120">
                  <c:v>479.98995000000002</c:v>
                </c:pt>
                <c:pt idx="121">
                  <c:v>484.93829999999997</c:v>
                </c:pt>
                <c:pt idx="122">
                  <c:v>989.67</c:v>
                </c:pt>
                <c:pt idx="123">
                  <c:v>1979.34</c:v>
                </c:pt>
                <c:pt idx="124">
                  <c:v>2969.0099999999998</c:v>
                </c:pt>
                <c:pt idx="125">
                  <c:v>3958.68</c:v>
                </c:pt>
                <c:pt idx="126">
                  <c:v>4948.3500000000004</c:v>
                </c:pt>
                <c:pt idx="127">
                  <c:v>5938.0199999999995</c:v>
                </c:pt>
                <c:pt idx="128">
                  <c:v>6927.69</c:v>
                </c:pt>
                <c:pt idx="129">
                  <c:v>7917.36</c:v>
                </c:pt>
                <c:pt idx="130">
                  <c:v>8907.0300000000007</c:v>
                </c:pt>
                <c:pt idx="131">
                  <c:v>9896.7000000000007</c:v>
                </c:pt>
                <c:pt idx="132">
                  <c:v>19793.400000000001</c:v>
                </c:pt>
                <c:pt idx="133">
                  <c:v>29690.1</c:v>
                </c:pt>
                <c:pt idx="134">
                  <c:v>39586.800000000003</c:v>
                </c:pt>
                <c:pt idx="135">
                  <c:v>49483.5</c:v>
                </c:pt>
                <c:pt idx="136">
                  <c:v>59380.2</c:v>
                </c:pt>
                <c:pt idx="137">
                  <c:v>69276.899999999994</c:v>
                </c:pt>
                <c:pt idx="138">
                  <c:v>79173.600000000006</c:v>
                </c:pt>
                <c:pt idx="139">
                  <c:v>89070.3</c:v>
                </c:pt>
                <c:pt idx="140">
                  <c:v>98967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36-4D4F-8280-5047BE33A919}"/>
            </c:ext>
          </c:extLst>
        </c:ser>
        <c:ser>
          <c:idx val="2"/>
          <c:order val="1"/>
          <c:tx>
            <c:v>Wetting</c:v>
          </c:tx>
          <c:spPr>
            <a:ln w="25400">
              <a:solidFill>
                <a:srgbClr val="0000FF"/>
              </a:solidFill>
              <a:prstDash val="lgDash"/>
            </a:ln>
          </c:spPr>
          <c:marker>
            <c:symbol val="none"/>
          </c:marker>
          <c:xVal>
            <c:numRef>
              <c:f>SWR_ELTz015!$K$14:$K$147</c:f>
              <c:numCache>
                <c:formatCode>0.00E+00</c:formatCode>
                <c:ptCount val="134"/>
                <c:pt idx="0">
                  <c:v>0.45956189637068012</c:v>
                </c:pt>
                <c:pt idx="1">
                  <c:v>0.4588569591571684</c:v>
                </c:pt>
                <c:pt idx="2" formatCode="General">
                  <c:v>0.45703893859904288</c:v>
                </c:pt>
                <c:pt idx="3">
                  <c:v>0.45598928108792636</c:v>
                </c:pt>
                <c:pt idx="4" formatCode="General">
                  <c:v>0.4548696714401218</c:v>
                </c:pt>
                <c:pt idx="5" formatCode="General">
                  <c:v>0.45246604158107362</c:v>
                </c:pt>
                <c:pt idx="6" formatCode="General">
                  <c:v>0.44989807482432875</c:v>
                </c:pt>
                <c:pt idx="7" formatCode="General">
                  <c:v>0.44856814213825225</c:v>
                </c:pt>
                <c:pt idx="8" formatCode="General">
                  <c:v>0.44584026416335676</c:v>
                </c:pt>
                <c:pt idx="9" formatCode="General">
                  <c:v>0.44304681535482682</c:v>
                </c:pt>
                <c:pt idx="10" formatCode="General">
                  <c:v>0.44021205731274193</c:v>
                </c:pt>
                <c:pt idx="11" formatCode="General">
                  <c:v>0.43735514033699863</c:v>
                </c:pt>
                <c:pt idx="12" formatCode="General">
                  <c:v>0.43449131942607977</c:v>
                </c:pt>
                <c:pt idx="13" formatCode="General">
                  <c:v>0.43163280117281866</c:v>
                </c:pt>
                <c:pt idx="14" formatCode="General">
                  <c:v>0.42878936290803571</c:v>
                </c:pt>
                <c:pt idx="15" formatCode="General">
                  <c:v>0.42596882164603322</c:v>
                </c:pt>
                <c:pt idx="16" formatCode="General">
                  <c:v>0.42179418647535227</c:v>
                </c:pt>
                <c:pt idx="17" formatCode="General">
                  <c:v>0.40851677495061589</c:v>
                </c:pt>
                <c:pt idx="18" formatCode="General">
                  <c:v>0.39637450887108228</c:v>
                </c:pt>
                <c:pt idx="19" formatCode="General">
                  <c:v>0.38538087237531837</c:v>
                </c:pt>
                <c:pt idx="20" formatCode="General">
                  <c:v>0.37545081546347758</c:v>
                </c:pt>
                <c:pt idx="21" formatCode="General">
                  <c:v>0.36647037590901255</c:v>
                </c:pt>
                <c:pt idx="22" formatCode="General">
                  <c:v>0.35832476714395844</c:v>
                </c:pt>
                <c:pt idx="23" formatCode="General">
                  <c:v>0.35090889647333245</c:v>
                </c:pt>
                <c:pt idx="24" formatCode="General">
                  <c:v>0.32196150455220118</c:v>
                </c:pt>
                <c:pt idx="25" formatCode="General">
                  <c:v>0.3018072525910076</c:v>
                </c:pt>
                <c:pt idx="26" formatCode="General">
                  <c:v>0.2867855395573804</c:v>
                </c:pt>
                <c:pt idx="27" formatCode="General">
                  <c:v>0.27503416818069087</c:v>
                </c:pt>
                <c:pt idx="28" formatCode="General">
                  <c:v>0.26551044859080009</c:v>
                </c:pt>
                <c:pt idx="29" formatCode="General">
                  <c:v>0.25758305586002606</c:v>
                </c:pt>
                <c:pt idx="30" formatCode="General">
                  <c:v>0.24502301222488587</c:v>
                </c:pt>
                <c:pt idx="31" formatCode="General">
                  <c:v>0.23540313116105879</c:v>
                </c:pt>
                <c:pt idx="32" formatCode="General">
                  <c:v>0.2277149979971006</c:v>
                </c:pt>
                <c:pt idx="33" formatCode="General">
                  <c:v>0.22137795132899801</c:v>
                </c:pt>
                <c:pt idx="34" formatCode="General">
                  <c:v>0.21603069383297435</c:v>
                </c:pt>
                <c:pt idx="35" formatCode="General">
                  <c:v>0.21365049032478373</c:v>
                </c:pt>
                <c:pt idx="36" formatCode="General">
                  <c:v>0.21143491211022883</c:v>
                </c:pt>
                <c:pt idx="37" formatCode="General">
                  <c:v>0.20936536437978362</c:v>
                </c:pt>
                <c:pt idx="38" formatCode="General">
                  <c:v>0.20742609053826083</c:v>
                </c:pt>
                <c:pt idx="39" formatCode="General">
                  <c:v>0.2056036363722421</c:v>
                </c:pt>
                <c:pt idx="40" formatCode="General">
                  <c:v>0.203886433113486</c:v>
                </c:pt>
                <c:pt idx="41" formatCode="General">
                  <c:v>0.20226446939953879</c:v>
                </c:pt>
                <c:pt idx="42" formatCode="General">
                  <c:v>0.20072903054363275</c:v>
                </c:pt>
                <c:pt idx="43" formatCode="General">
                  <c:v>0.19927248936018793</c:v>
                </c:pt>
                <c:pt idx="44" formatCode="General">
                  <c:v>0.19788813690129436</c:v>
                </c:pt>
                <c:pt idx="45" formatCode="General">
                  <c:v>0.19657004439442977</c:v>
                </c:pt>
                <c:pt idx="46" formatCode="General">
                  <c:v>0.19531294979519032</c:v>
                </c:pt>
                <c:pt idx="47" formatCode="General">
                  <c:v>0.19411216392380937</c:v>
                </c:pt>
                <c:pt idx="48" formatCode="General">
                  <c:v>0.19296349230566306</c:v>
                </c:pt>
                <c:pt idx="49" formatCode="General">
                  <c:v>0.19186316969743189</c:v>
                </c:pt>
                <c:pt idx="50" formatCode="General">
                  <c:v>0.19080780493138944</c:v>
                </c:pt>
                <c:pt idx="51" formatCode="General">
                  <c:v>0.18979433420640662</c:v>
                </c:pt>
                <c:pt idx="52" formatCode="General">
                  <c:v>0.18881998133568012</c:v>
                </c:pt>
                <c:pt idx="53" formatCode="General">
                  <c:v>0.18788222375678526</c:v>
                </c:pt>
                <c:pt idx="54" formatCode="General">
                  <c:v>0.18697876334044652</c:v>
                </c:pt>
                <c:pt idx="55" formatCode="General">
                  <c:v>0.18610750121590541</c:v>
                </c:pt>
                <c:pt idx="56" formatCode="General">
                  <c:v>0.18526651597443014</c:v>
                </c:pt>
                <c:pt idx="57" formatCode="General">
                  <c:v>0.18445404472695984</c:v>
                </c:pt>
                <c:pt idx="58" formatCode="General">
                  <c:v>0.18366846658359728</c:v>
                </c:pt>
                <c:pt idx="59" formatCode="General">
                  <c:v>0.18290828819658844</c:v>
                </c:pt>
                <c:pt idx="60" formatCode="General">
                  <c:v>0.18217213106833069</c:v>
                </c:pt>
                <c:pt idx="61" formatCode="General">
                  <c:v>0.18145872037474658</c:v>
                </c:pt>
                <c:pt idx="62" formatCode="General">
                  <c:v>0.18076687509429273</c:v>
                </c:pt>
                <c:pt idx="63" formatCode="General">
                  <c:v>0.18009549926571888</c:v>
                </c:pt>
                <c:pt idx="64" formatCode="General">
                  <c:v>0.17944357422481461</c:v>
                </c:pt>
                <c:pt idx="65" formatCode="General">
                  <c:v>0.17881015169288503</c:v>
                </c:pt>
                <c:pt idx="66" formatCode="General">
                  <c:v>0.17819434760843722</c:v>
                </c:pt>
                <c:pt idx="67" formatCode="General">
                  <c:v>0.17759533660922974</c:v>
                </c:pt>
                <c:pt idx="68" formatCode="General">
                  <c:v>0.17701234708498853</c:v>
                </c:pt>
                <c:pt idx="69" formatCode="General">
                  <c:v>0.17644465673217097</c:v>
                </c:pt>
                <c:pt idx="70" formatCode="General">
                  <c:v>0.17589158855152009</c:v>
                </c:pt>
                <c:pt idx="71" formatCode="General">
                  <c:v>0.17535250723709189</c:v>
                </c:pt>
                <c:pt idx="72" formatCode="General">
                  <c:v>0.17482681591218996</c:v>
                </c:pt>
                <c:pt idx="73" formatCode="General">
                  <c:v>0.17431395317340492</c:v>
                </c:pt>
                <c:pt idx="74" formatCode="General">
                  <c:v>0.17381339040888771</c:v>
                </c:pt>
                <c:pt idx="75" formatCode="General">
                  <c:v>0.17332462936121668</c:v>
                </c:pt>
                <c:pt idx="76" formatCode="General">
                  <c:v>0.1728471999088611</c:v>
                </c:pt>
                <c:pt idx="77" formatCode="General">
                  <c:v>0.17238065804338587</c:v>
                </c:pt>
                <c:pt idx="78" formatCode="General">
                  <c:v>0.1719245840222603</c:v>
                </c:pt>
                <c:pt idx="79" formatCode="General">
                  <c:v>0.17147858067949071</c:v>
                </c:pt>
                <c:pt idx="80" formatCode="General">
                  <c:v>0.17104227187834625</c:v>
                </c:pt>
                <c:pt idx="81" formatCode="General">
                  <c:v>0.17061530109223083</c:v>
                </c:pt>
                <c:pt idx="82" formatCode="General">
                  <c:v>0.1701973301013143</c:v>
                </c:pt>
                <c:pt idx="83" formatCode="General">
                  <c:v>0.16978803779389873</c:v>
                </c:pt>
                <c:pt idx="84" formatCode="General">
                  <c:v>0.16938711906269185</c:v>
                </c:pt>
                <c:pt idx="85" formatCode="General">
                  <c:v>0.16899428378721063</c:v>
                </c:pt>
                <c:pt idx="86" formatCode="General">
                  <c:v>0.16860925589446296</c:v>
                </c:pt>
                <c:pt idx="87" formatCode="General">
                  <c:v>0.16823177249087123</c:v>
                </c:pt>
                <c:pt idx="88" formatCode="General">
                  <c:v>0.16786158305912341</c:v>
                </c:pt>
                <c:pt idx="89" formatCode="General">
                  <c:v>0.16749844871427391</c:v>
                </c:pt>
                <c:pt idx="90" formatCode="General">
                  <c:v>0.16714214151398454</c:v>
                </c:pt>
                <c:pt idx="91" formatCode="General">
                  <c:v>0.16679244381829805</c:v>
                </c:pt>
                <c:pt idx="92" formatCode="General">
                  <c:v>0.16644914769478256</c:v>
                </c:pt>
                <c:pt idx="93" formatCode="General">
                  <c:v>0.16611205436528753</c:v>
                </c:pt>
                <c:pt idx="94" formatCode="General">
                  <c:v>0.16578097369090383</c:v>
                </c:pt>
                <c:pt idx="95" formatCode="General">
                  <c:v>0.16545572369204142</c:v>
                </c:pt>
                <c:pt idx="96" formatCode="General">
                  <c:v>0.16513613010082223</c:v>
                </c:pt>
                <c:pt idx="97" formatCode="General">
                  <c:v>0.1648220259432408</c:v>
                </c:pt>
                <c:pt idx="98" formatCode="General">
                  <c:v>0.16451325114877507</c:v>
                </c:pt>
                <c:pt idx="99" formatCode="General">
                  <c:v>0.16420965218533529</c:v>
                </c:pt>
                <c:pt idx="100" formatCode="General">
                  <c:v>0.16391108171762597</c:v>
                </c:pt>
                <c:pt idx="101" formatCode="General">
                  <c:v>0.16361739828716065</c:v>
                </c:pt>
                <c:pt idx="102" formatCode="General">
                  <c:v>0.16332846601232309</c:v>
                </c:pt>
                <c:pt idx="103" formatCode="General">
                  <c:v>0.16304415430700286</c:v>
                </c:pt>
                <c:pt idx="104" formatCode="General">
                  <c:v>0.16276433761645709</c:v>
                </c:pt>
                <c:pt idx="105" formatCode="General">
                  <c:v>0.16248889516916348</c:v>
                </c:pt>
                <c:pt idx="106" formatCode="General">
                  <c:v>0.16221771074352875</c:v>
                </c:pt>
                <c:pt idx="107" formatCode="General">
                  <c:v>0.16195067244841033</c:v>
                </c:pt>
                <c:pt idx="108" formatCode="General">
                  <c:v>0.16168767251649296</c:v>
                </c:pt>
                <c:pt idx="109" formatCode="General">
                  <c:v>0.16142860710963641</c:v>
                </c:pt>
                <c:pt idx="110" formatCode="General">
                  <c:v>0.16117337613538196</c:v>
                </c:pt>
                <c:pt idx="111" formatCode="General">
                  <c:v>0.16092188307386651</c:v>
                </c:pt>
                <c:pt idx="112" formatCode="General">
                  <c:v>0.16067403481445272</c:v>
                </c:pt>
                <c:pt idx="113" formatCode="General">
                  <c:v>0.16042974150143477</c:v>
                </c:pt>
                <c:pt idx="114" formatCode="General">
                  <c:v>0.16018891638822852</c:v>
                </c:pt>
                <c:pt idx="115" formatCode="General">
                  <c:v>0.14558517906048923</c:v>
                </c:pt>
                <c:pt idx="116" formatCode="General">
                  <c:v>0.13479122058885218</c:v>
                </c:pt>
                <c:pt idx="117" formatCode="General">
                  <c:v>0.12970344057793731</c:v>
                </c:pt>
                <c:pt idx="118" formatCode="General">
                  <c:v>0.12655132338183939</c:v>
                </c:pt>
                <c:pt idx="119" formatCode="General">
                  <c:v>0.12433852544214086</c:v>
                </c:pt>
                <c:pt idx="120" formatCode="General">
                  <c:v>0.12266811571731623</c:v>
                </c:pt>
                <c:pt idx="121" formatCode="General">
                  <c:v>0.12134555278394839</c:v>
                </c:pt>
                <c:pt idx="122" formatCode="General">
                  <c:v>0.12026242503333634</c:v>
                </c:pt>
                <c:pt idx="123" formatCode="General">
                  <c:v>0.11935274546493875</c:v>
                </c:pt>
                <c:pt idx="124" formatCode="General">
                  <c:v>0.11857366717503115</c:v>
                </c:pt>
                <c:pt idx="125" formatCode="General">
                  <c:v>0.11417417873062941</c:v>
                </c:pt>
                <c:pt idx="126" formatCode="General">
                  <c:v>0.11210104373256079</c:v>
                </c:pt>
                <c:pt idx="127" formatCode="General">
                  <c:v>0.1108167538831039</c:v>
                </c:pt>
                <c:pt idx="128" formatCode="General">
                  <c:v>0.10991521566985168</c:v>
                </c:pt>
                <c:pt idx="129" formatCode="General">
                  <c:v>0.10923467369447326</c:v>
                </c:pt>
                <c:pt idx="130" formatCode="General">
                  <c:v>0.10869585634485186</c:v>
                </c:pt>
                <c:pt idx="131" formatCode="General">
                  <c:v>0.10825459049208942</c:v>
                </c:pt>
                <c:pt idx="132" formatCode="General">
                  <c:v>0.10788399019554849</c:v>
                </c:pt>
                <c:pt idx="133" formatCode="General">
                  <c:v>0.10756659822859822</c:v>
                </c:pt>
              </c:numCache>
            </c:numRef>
          </c:xVal>
          <c:yVal>
            <c:numRef>
              <c:f>SWR_ELTz015!$J$14:$J$147</c:f>
              <c:numCache>
                <c:formatCode>General</c:formatCode>
                <c:ptCount val="134"/>
                <c:pt idx="0">
                  <c:v>9.8966999999999999E-2</c:v>
                </c:pt>
                <c:pt idx="1">
                  <c:v>0.197934</c:v>
                </c:pt>
                <c:pt idx="2">
                  <c:v>0.395868</c:v>
                </c:pt>
                <c:pt idx="3">
                  <c:v>0.49483500000000002</c:v>
                </c:pt>
                <c:pt idx="4">
                  <c:v>0.59380199999999994</c:v>
                </c:pt>
                <c:pt idx="5">
                  <c:v>0.791736</c:v>
                </c:pt>
                <c:pt idx="6">
                  <c:v>0.98967000000000005</c:v>
                </c:pt>
                <c:pt idx="7">
                  <c:v>1.0886370000000001</c:v>
                </c:pt>
                <c:pt idx="8">
                  <c:v>1.2865709999999999</c:v>
                </c:pt>
                <c:pt idx="9">
                  <c:v>1.484505</c:v>
                </c:pt>
                <c:pt idx="10">
                  <c:v>1.682439</c:v>
                </c:pt>
                <c:pt idx="11">
                  <c:v>1.8803730000000001</c:v>
                </c:pt>
                <c:pt idx="12">
                  <c:v>2.0783070000000001</c:v>
                </c:pt>
                <c:pt idx="13">
                  <c:v>2.2762410000000002</c:v>
                </c:pt>
                <c:pt idx="14">
                  <c:v>2.4741749999999998</c:v>
                </c:pt>
                <c:pt idx="15">
                  <c:v>2.6721089999999998</c:v>
                </c:pt>
                <c:pt idx="16">
                  <c:v>2.9690099999999999</c:v>
                </c:pt>
                <c:pt idx="17">
                  <c:v>3.9586800000000002</c:v>
                </c:pt>
                <c:pt idx="18">
                  <c:v>4.9483499999999996</c:v>
                </c:pt>
                <c:pt idx="19">
                  <c:v>5.9380199999999999</c:v>
                </c:pt>
                <c:pt idx="20">
                  <c:v>6.9276900000000001</c:v>
                </c:pt>
                <c:pt idx="21">
                  <c:v>7.9173600000000004</c:v>
                </c:pt>
                <c:pt idx="22">
                  <c:v>8.9070300000000007</c:v>
                </c:pt>
                <c:pt idx="23">
                  <c:v>9.8966999999999992</c:v>
                </c:pt>
                <c:pt idx="24">
                  <c:v>14.845050000000001</c:v>
                </c:pt>
                <c:pt idx="25">
                  <c:v>19.793399999999998</c:v>
                </c:pt>
                <c:pt idx="26">
                  <c:v>24.74175</c:v>
                </c:pt>
                <c:pt idx="27">
                  <c:v>29.690100000000001</c:v>
                </c:pt>
                <c:pt idx="28">
                  <c:v>34.638449999999999</c:v>
                </c:pt>
                <c:pt idx="29">
                  <c:v>39.586799999999997</c:v>
                </c:pt>
                <c:pt idx="30">
                  <c:v>49.483499999999999</c:v>
                </c:pt>
                <c:pt idx="31">
                  <c:v>59.380200000000002</c:v>
                </c:pt>
                <c:pt idx="32">
                  <c:v>69.276899999999998</c:v>
                </c:pt>
                <c:pt idx="33">
                  <c:v>79.173599999999993</c:v>
                </c:pt>
                <c:pt idx="34">
                  <c:v>89.070300000000003</c:v>
                </c:pt>
                <c:pt idx="35">
                  <c:v>94.018649999999994</c:v>
                </c:pt>
                <c:pt idx="36">
                  <c:v>98.966999999999999</c:v>
                </c:pt>
                <c:pt idx="37">
                  <c:v>103.91535</c:v>
                </c:pt>
                <c:pt idx="38">
                  <c:v>108.86369999999999</c:v>
                </c:pt>
                <c:pt idx="39">
                  <c:v>113.81205</c:v>
                </c:pt>
                <c:pt idx="40">
                  <c:v>118.7604</c:v>
                </c:pt>
                <c:pt idx="41">
                  <c:v>123.70874999999999</c:v>
                </c:pt>
                <c:pt idx="42">
                  <c:v>128.65709999999999</c:v>
                </c:pt>
                <c:pt idx="43">
                  <c:v>133.60544999999999</c:v>
                </c:pt>
                <c:pt idx="44">
                  <c:v>138.5538</c:v>
                </c:pt>
                <c:pt idx="45">
                  <c:v>143.50215</c:v>
                </c:pt>
                <c:pt idx="46">
                  <c:v>148.45050000000001</c:v>
                </c:pt>
                <c:pt idx="47">
                  <c:v>153.39885000000001</c:v>
                </c:pt>
                <c:pt idx="48">
                  <c:v>158.34719999999999</c:v>
                </c:pt>
                <c:pt idx="49">
                  <c:v>163.29554999999999</c:v>
                </c:pt>
                <c:pt idx="50">
                  <c:v>168.2439</c:v>
                </c:pt>
                <c:pt idx="51">
                  <c:v>173.19225</c:v>
                </c:pt>
                <c:pt idx="52">
                  <c:v>178.14060000000001</c:v>
                </c:pt>
                <c:pt idx="53">
                  <c:v>183.08895000000001</c:v>
                </c:pt>
                <c:pt idx="54">
                  <c:v>188.03729999999999</c:v>
                </c:pt>
                <c:pt idx="55">
                  <c:v>192.98564999999999</c:v>
                </c:pt>
                <c:pt idx="56">
                  <c:v>197.934</c:v>
                </c:pt>
                <c:pt idx="57">
                  <c:v>202.88235</c:v>
                </c:pt>
                <c:pt idx="58">
                  <c:v>207.83070000000001</c:v>
                </c:pt>
                <c:pt idx="59">
                  <c:v>212.77905000000001</c:v>
                </c:pt>
                <c:pt idx="60">
                  <c:v>217.72739999999999</c:v>
                </c:pt>
                <c:pt idx="61">
                  <c:v>222.67574999999999</c:v>
                </c:pt>
                <c:pt idx="62">
                  <c:v>227.6241</c:v>
                </c:pt>
                <c:pt idx="63">
                  <c:v>232.57245</c:v>
                </c:pt>
                <c:pt idx="64">
                  <c:v>237.52080000000001</c:v>
                </c:pt>
                <c:pt idx="65">
                  <c:v>242.46914999999998</c:v>
                </c:pt>
                <c:pt idx="66">
                  <c:v>247.41749999999999</c:v>
                </c:pt>
                <c:pt idx="67">
                  <c:v>252.36584999999999</c:v>
                </c:pt>
                <c:pt idx="68">
                  <c:v>257.31419999999997</c:v>
                </c:pt>
                <c:pt idx="69">
                  <c:v>262.26254999999998</c:v>
                </c:pt>
                <c:pt idx="70">
                  <c:v>267.21089999999998</c:v>
                </c:pt>
                <c:pt idx="71">
                  <c:v>272.15924999999999</c:v>
                </c:pt>
                <c:pt idx="72">
                  <c:v>277.10759999999999</c:v>
                </c:pt>
                <c:pt idx="73">
                  <c:v>282.05595</c:v>
                </c:pt>
                <c:pt idx="74">
                  <c:v>287.0043</c:v>
                </c:pt>
                <c:pt idx="75">
                  <c:v>291.95265000000001</c:v>
                </c:pt>
                <c:pt idx="76">
                  <c:v>296.90100000000001</c:v>
                </c:pt>
                <c:pt idx="77">
                  <c:v>301.84935000000002</c:v>
                </c:pt>
                <c:pt idx="78">
                  <c:v>306.79770000000002</c:v>
                </c:pt>
                <c:pt idx="79">
                  <c:v>311.74605000000003</c:v>
                </c:pt>
                <c:pt idx="80">
                  <c:v>316.69439999999997</c:v>
                </c:pt>
                <c:pt idx="81">
                  <c:v>321.64274999999998</c:v>
                </c:pt>
                <c:pt idx="82">
                  <c:v>326.59109999999998</c:v>
                </c:pt>
                <c:pt idx="83">
                  <c:v>331.53944999999999</c:v>
                </c:pt>
                <c:pt idx="84">
                  <c:v>336.48779999999999</c:v>
                </c:pt>
                <c:pt idx="85">
                  <c:v>341.43615</c:v>
                </c:pt>
                <c:pt idx="86">
                  <c:v>346.3845</c:v>
                </c:pt>
                <c:pt idx="87">
                  <c:v>351.33285000000001</c:v>
                </c:pt>
                <c:pt idx="88">
                  <c:v>356.28120000000001</c:v>
                </c:pt>
                <c:pt idx="89">
                  <c:v>361.22955000000002</c:v>
                </c:pt>
                <c:pt idx="90">
                  <c:v>366.17790000000002</c:v>
                </c:pt>
                <c:pt idx="91">
                  <c:v>371.12624999999997</c:v>
                </c:pt>
                <c:pt idx="92">
                  <c:v>376.07459999999998</c:v>
                </c:pt>
                <c:pt idx="93">
                  <c:v>381.02294999999998</c:v>
                </c:pt>
                <c:pt idx="94">
                  <c:v>385.97129999999999</c:v>
                </c:pt>
                <c:pt idx="95">
                  <c:v>390.91964999999999</c:v>
                </c:pt>
                <c:pt idx="96">
                  <c:v>395.86799999999999</c:v>
                </c:pt>
                <c:pt idx="97">
                  <c:v>400.81635</c:v>
                </c:pt>
                <c:pt idx="98">
                  <c:v>405.7647</c:v>
                </c:pt>
                <c:pt idx="99">
                  <c:v>410.71305000000001</c:v>
                </c:pt>
                <c:pt idx="100">
                  <c:v>415.66140000000001</c:v>
                </c:pt>
                <c:pt idx="101">
                  <c:v>420.60975000000002</c:v>
                </c:pt>
                <c:pt idx="102">
                  <c:v>425.55810000000002</c:v>
                </c:pt>
                <c:pt idx="103">
                  <c:v>430.50644999999997</c:v>
                </c:pt>
                <c:pt idx="104">
                  <c:v>435.45479999999998</c:v>
                </c:pt>
                <c:pt idx="105">
                  <c:v>440.40314999999998</c:v>
                </c:pt>
                <c:pt idx="106">
                  <c:v>445.35149999999999</c:v>
                </c:pt>
                <c:pt idx="107">
                  <c:v>450.29984999999999</c:v>
                </c:pt>
                <c:pt idx="108">
                  <c:v>455.2482</c:v>
                </c:pt>
                <c:pt idx="109">
                  <c:v>460.19655</c:v>
                </c:pt>
                <c:pt idx="110">
                  <c:v>465.14490000000001</c:v>
                </c:pt>
                <c:pt idx="111">
                  <c:v>470.09325000000001</c:v>
                </c:pt>
                <c:pt idx="112">
                  <c:v>475.04160000000002</c:v>
                </c:pt>
                <c:pt idx="113">
                  <c:v>479.98995000000002</c:v>
                </c:pt>
                <c:pt idx="114">
                  <c:v>484.93829999999997</c:v>
                </c:pt>
                <c:pt idx="115">
                  <c:v>989.67</c:v>
                </c:pt>
                <c:pt idx="116">
                  <c:v>1979.34</c:v>
                </c:pt>
                <c:pt idx="117">
                  <c:v>2969.0099999999998</c:v>
                </c:pt>
                <c:pt idx="118">
                  <c:v>3958.68</c:v>
                </c:pt>
                <c:pt idx="119">
                  <c:v>4948.3500000000004</c:v>
                </c:pt>
                <c:pt idx="120">
                  <c:v>5938.0199999999995</c:v>
                </c:pt>
                <c:pt idx="121">
                  <c:v>6927.69</c:v>
                </c:pt>
                <c:pt idx="122">
                  <c:v>7917.36</c:v>
                </c:pt>
                <c:pt idx="123">
                  <c:v>8907.0300000000007</c:v>
                </c:pt>
                <c:pt idx="124">
                  <c:v>9896.7000000000007</c:v>
                </c:pt>
                <c:pt idx="125">
                  <c:v>19793.400000000001</c:v>
                </c:pt>
                <c:pt idx="126">
                  <c:v>29690.1</c:v>
                </c:pt>
                <c:pt idx="127">
                  <c:v>39586.800000000003</c:v>
                </c:pt>
                <c:pt idx="128">
                  <c:v>49483.5</c:v>
                </c:pt>
                <c:pt idx="129">
                  <c:v>59380.2</c:v>
                </c:pt>
                <c:pt idx="130">
                  <c:v>69276.899999999994</c:v>
                </c:pt>
                <c:pt idx="131">
                  <c:v>79173.600000000006</c:v>
                </c:pt>
                <c:pt idx="132">
                  <c:v>89070.3</c:v>
                </c:pt>
                <c:pt idx="133">
                  <c:v>98967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36-4D4F-8280-5047BE33A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412712"/>
        <c:axId val="1"/>
      </c:scatterChart>
      <c:scatterChart>
        <c:scatterStyle val="lineMarker"/>
        <c:varyColors val="0"/>
        <c:ser>
          <c:idx val="3"/>
          <c:order val="2"/>
          <c:tx>
            <c:v>k drying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SWR_ELTz015!$C$14:$C$154</c:f>
              <c:numCache>
                <c:formatCode>General</c:formatCode>
                <c:ptCount val="141"/>
                <c:pt idx="0">
                  <c:v>0.50949703189264695</c:v>
                </c:pt>
                <c:pt idx="1">
                  <c:v>0.50872375131524294</c:v>
                </c:pt>
                <c:pt idx="2">
                  <c:v>0.50678415133466559</c:v>
                </c:pt>
                <c:pt idx="3">
                  <c:v>0.50568231635543637</c:v>
                </c:pt>
                <c:pt idx="4">
                  <c:v>0.50451607278891286</c:v>
                </c:pt>
                <c:pt idx="5">
                  <c:v>0.50203442034808332</c:v>
                </c:pt>
                <c:pt idx="6">
                  <c:v>0.49940617516203523</c:v>
                </c:pt>
                <c:pt idx="7">
                  <c:v>0.49805179245896203</c:v>
                </c:pt>
                <c:pt idx="8">
                  <c:v>0.49528458571586997</c:v>
                </c:pt>
                <c:pt idx="9">
                  <c:v>0.4924623871764322</c:v>
                </c:pt>
                <c:pt idx="10">
                  <c:v>0.48960712950637453</c:v>
                </c:pt>
                <c:pt idx="11">
                  <c:v>0.48673595818208393</c:v>
                </c:pt>
                <c:pt idx="12">
                  <c:v>0.48386242481716157</c:v>
                </c:pt>
                <c:pt idx="13">
                  <c:v>0.48099730464200208</c:v>
                </c:pt>
                <c:pt idx="14">
                  <c:v>0.47814918438573906</c:v>
                </c:pt>
                <c:pt idx="15">
                  <c:v>0.47532490062850297</c:v>
                </c:pt>
                <c:pt idx="16">
                  <c:v>0.47114470883212189</c:v>
                </c:pt>
                <c:pt idx="17">
                  <c:v>0.45782916054848255</c:v>
                </c:pt>
                <c:pt idx="18">
                  <c:v>0.44559698022072025</c:v>
                </c:pt>
                <c:pt idx="19">
                  <c:v>0.43445746096338078</c:v>
                </c:pt>
                <c:pt idx="20">
                  <c:v>0.42433340590017099</c:v>
                </c:pt>
                <c:pt idx="21">
                  <c:v>0.4151214987646652</c:v>
                </c:pt>
                <c:pt idx="22">
                  <c:v>0.40671696456894812</c:v>
                </c:pt>
                <c:pt idx="23">
                  <c:v>0.39902306671186272</c:v>
                </c:pt>
                <c:pt idx="24">
                  <c:v>0.39195406501335461</c:v>
                </c:pt>
                <c:pt idx="25">
                  <c:v>0.37940280068257837</c:v>
                </c:pt>
                <c:pt idx="26">
                  <c:v>0.3685825143945326</c:v>
                </c:pt>
                <c:pt idx="27">
                  <c:v>0.35913735151432358</c:v>
                </c:pt>
                <c:pt idx="28">
                  <c:v>0.34698525631774646</c:v>
                </c:pt>
                <c:pt idx="29">
                  <c:v>0.33670187091172665</c:v>
                </c:pt>
                <c:pt idx="30">
                  <c:v>0.32784981235616978</c:v>
                </c:pt>
                <c:pt idx="31">
                  <c:v>0.3201214806317616</c:v>
                </c:pt>
                <c:pt idx="32">
                  <c:v>0.31329406663446113</c:v>
                </c:pt>
                <c:pt idx="33">
                  <c:v>0.30720196482646234</c:v>
                </c:pt>
                <c:pt idx="34">
                  <c:v>0.30171929693206018</c:v>
                </c:pt>
                <c:pt idx="35">
                  <c:v>0.3000096536288715</c:v>
                </c:pt>
                <c:pt idx="36">
                  <c:v>0.29835366214696946</c:v>
                </c:pt>
                <c:pt idx="37">
                  <c:v>0.28421101548007055</c:v>
                </c:pt>
                <c:pt idx="38">
                  <c:v>0.27327267432184699</c:v>
                </c:pt>
                <c:pt idx="39">
                  <c:v>0.26446157912805307</c:v>
                </c:pt>
                <c:pt idx="40">
                  <c:v>0.25392904693869472</c:v>
                </c:pt>
                <c:pt idx="41">
                  <c:v>0.25094668052859104</c:v>
                </c:pt>
                <c:pt idx="42">
                  <c:v>0.2481744285917139</c:v>
                </c:pt>
                <c:pt idx="43">
                  <c:v>0.24558788501797385</c:v>
                </c:pt>
                <c:pt idx="44">
                  <c:v>0.24316648455988729</c:v>
                </c:pt>
                <c:pt idx="45">
                  <c:v>0.24089275475654423</c:v>
                </c:pt>
                <c:pt idx="46">
                  <c:v>0.23875173906775682</c:v>
                </c:pt>
                <c:pt idx="47">
                  <c:v>0.23673054668657875</c:v>
                </c:pt>
                <c:pt idx="48">
                  <c:v>0.23481799736007961</c:v>
                </c:pt>
                <c:pt idx="49">
                  <c:v>0.23300433835435325</c:v>
                </c:pt>
                <c:pt idx="50">
                  <c:v>0.23128101682857577</c:v>
                </c:pt>
                <c:pt idx="51">
                  <c:v>0.22964049521299401</c:v>
                </c:pt>
                <c:pt idx="52">
                  <c:v>0.22807610028754305</c:v>
                </c:pt>
                <c:pt idx="53">
                  <c:v>0.2265818989083121</c:v>
                </c:pt>
                <c:pt idx="54">
                  <c:v>0.2251525949813768</c:v>
                </c:pt>
                <c:pt idx="55">
                  <c:v>0.22378344351001106</c:v>
                </c:pt>
                <c:pt idx="56">
                  <c:v>0.22247017846108719</c:v>
                </c:pt>
                <c:pt idx="57">
                  <c:v>0.22120895189288051</c:v>
                </c:pt>
                <c:pt idx="58">
                  <c:v>0.21999628231851287</c:v>
                </c:pt>
                <c:pt idx="59">
                  <c:v>0.2188290106891172</c:v>
                </c:pt>
                <c:pt idx="60">
                  <c:v>0.21770426269904564</c:v>
                </c:pt>
                <c:pt idx="61">
                  <c:v>0.21661941636438356</c:v>
                </c:pt>
                <c:pt idx="62">
                  <c:v>0.21557207402213568</c:v>
                </c:pt>
                <c:pt idx="63">
                  <c:v>0.21456003805295459</c:v>
                </c:pt>
                <c:pt idx="64">
                  <c:v>0.2135812897543653</c:v>
                </c:pt>
                <c:pt idx="65">
                  <c:v>0.21263397089104041</c:v>
                </c:pt>
                <c:pt idx="66">
                  <c:v>0.21171636752907907</c:v>
                </c:pt>
                <c:pt idx="67">
                  <c:v>0.21082689582649072</c:v>
                </c:pt>
                <c:pt idx="68">
                  <c:v>0.2099640895053036</c:v>
                </c:pt>
                <c:pt idx="69">
                  <c:v>0.20912658877434093</c:v>
                </c:pt>
                <c:pt idx="70">
                  <c:v>0.20831313050762451</c:v>
                </c:pt>
                <c:pt idx="71">
                  <c:v>0.20752253951307476</c:v>
                </c:pt>
                <c:pt idx="72">
                  <c:v>0.20675372075084877</c:v>
                </c:pt>
                <c:pt idx="73">
                  <c:v>0.20600565238123242</c:v>
                </c:pt>
                <c:pt idx="74">
                  <c:v>0.20527737953922937</c:v>
                </c:pt>
                <c:pt idx="75">
                  <c:v>0.20456800874746034</c:v>
                </c:pt>
                <c:pt idx="76">
                  <c:v>0.20387670289119059</c:v>
                </c:pt>
                <c:pt idx="77">
                  <c:v>0.20320267668962855</c:v>
                </c:pt>
                <c:pt idx="78">
                  <c:v>0.20254519260640413</c:v>
                </c:pt>
                <c:pt idx="79">
                  <c:v>0.20190355714959859</c:v>
                </c:pt>
                <c:pt idx="80">
                  <c:v>0.20127711751807237</c:v>
                </c:pt>
                <c:pt idx="81">
                  <c:v>0.20066525855630016</c:v>
                </c:pt>
                <c:pt idx="82">
                  <c:v>0.20006739998461154</c:v>
                </c:pt>
                <c:pt idx="83">
                  <c:v>0.19948299387577795</c:v>
                </c:pt>
                <c:pt idx="84">
                  <c:v>0.19891152235237597</c:v>
                </c:pt>
                <c:pt idx="85">
                  <c:v>0.19835249548237799</c:v>
                </c:pt>
                <c:pt idx="86">
                  <c:v>0.19780544935304556</c:v>
                </c:pt>
                <c:pt idx="87">
                  <c:v>0.19726994430547959</c:v>
                </c:pt>
                <c:pt idx="88">
                  <c:v>0.19674556331417248</c:v>
                </c:pt>
                <c:pt idx="89">
                  <c:v>0.19623191049764657</c:v>
                </c:pt>
                <c:pt idx="90">
                  <c:v>0.19572860974778322</c:v>
                </c:pt>
                <c:pt idx="91">
                  <c:v>0.19523530346678547</c:v>
                </c:pt>
                <c:pt idx="92">
                  <c:v>0.19475165140189038</c:v>
                </c:pt>
                <c:pt idx="93">
                  <c:v>0.19427732956898339</c:v>
                </c:pt>
                <c:pt idx="94">
                  <c:v>0.19381202925718027</c:v>
                </c:pt>
                <c:pt idx="95">
                  <c:v>0.19335545610724986</c:v>
                </c:pt>
                <c:pt idx="96">
                  <c:v>0.19290732925746759</c:v>
                </c:pt>
                <c:pt idx="97">
                  <c:v>0.19246738055112492</c:v>
                </c:pt>
                <c:pt idx="98">
                  <c:v>0.19203535380048292</c:v>
                </c:pt>
                <c:pt idx="99">
                  <c:v>0.19161100410246429</c:v>
                </c:pt>
                <c:pt idx="100">
                  <c:v>0.19119409720182287</c:v>
                </c:pt>
                <c:pt idx="101">
                  <c:v>0.19078440889793308</c:v>
                </c:pt>
                <c:pt idx="102">
                  <c:v>0.19038172449169871</c:v>
                </c:pt>
                <c:pt idx="103">
                  <c:v>0.18998583826940169</c:v>
                </c:pt>
                <c:pt idx="104">
                  <c:v>0.18959655302059897</c:v>
                </c:pt>
                <c:pt idx="105">
                  <c:v>0.18921367958743596</c:v>
                </c:pt>
                <c:pt idx="106">
                  <c:v>0.18883703644297581</c:v>
                </c:pt>
                <c:pt idx="107">
                  <c:v>0.18846644929635342</c:v>
                </c:pt>
                <c:pt idx="108">
                  <c:v>0.18810175072275526</c:v>
                </c:pt>
                <c:pt idx="109">
                  <c:v>0.18774277981639176</c:v>
                </c:pt>
                <c:pt idx="110">
                  <c:v>0.18738938186478873</c:v>
                </c:pt>
                <c:pt idx="111">
                  <c:v>0.18704140804285924</c:v>
                </c:pt>
                <c:pt idx="112">
                  <c:v>0.18669871512534822</c:v>
                </c:pt>
                <c:pt idx="113">
                  <c:v>0.18636116521635393</c:v>
                </c:pt>
                <c:pt idx="114">
                  <c:v>0.18602862549473659</c:v>
                </c:pt>
                <c:pt idx="115">
                  <c:v>0.18570096797431881</c:v>
                </c:pt>
                <c:pt idx="116">
                  <c:v>0.18537806927786862</c:v>
                </c:pt>
                <c:pt idx="117">
                  <c:v>0.18505981042393571</c:v>
                </c:pt>
                <c:pt idx="118">
                  <c:v>0.18474607662568221</c:v>
                </c:pt>
                <c:pt idx="119">
                  <c:v>0.18443675710091517</c:v>
                </c:pt>
                <c:pt idx="120">
                  <c:v>0.18413174489258921</c:v>
                </c:pt>
                <c:pt idx="121">
                  <c:v>0.18383093669910017</c:v>
                </c:pt>
                <c:pt idx="122">
                  <c:v>0.16533195979618437</c:v>
                </c:pt>
                <c:pt idx="123">
                  <c:v>0.15126518773057512</c:v>
                </c:pt>
                <c:pt idx="124">
                  <c:v>0.1444842452108519</c:v>
                </c:pt>
                <c:pt idx="125">
                  <c:v>0.14022393601683206</c:v>
                </c:pt>
                <c:pt idx="126">
                  <c:v>0.1372023043047266</c:v>
                </c:pt>
                <c:pt idx="127">
                  <c:v>0.13490267802853734</c:v>
                </c:pt>
                <c:pt idx="128">
                  <c:v>0.13306960093966663</c:v>
                </c:pt>
                <c:pt idx="129">
                  <c:v>0.13155970238404846</c:v>
                </c:pt>
                <c:pt idx="130">
                  <c:v>0.13028519361015051</c:v>
                </c:pt>
                <c:pt idx="131">
                  <c:v>0.12918877558660252</c:v>
                </c:pt>
                <c:pt idx="132">
                  <c:v>0.12290118435624681</c:v>
                </c:pt>
                <c:pt idx="133">
                  <c:v>0.11987131920993147</c:v>
                </c:pt>
                <c:pt idx="134">
                  <c:v>0.11796794668055402</c:v>
                </c:pt>
                <c:pt idx="135">
                  <c:v>0.11661805203384375</c:v>
                </c:pt>
                <c:pt idx="136">
                  <c:v>0.11559074194266887</c:v>
                </c:pt>
                <c:pt idx="137">
                  <c:v>0.11477187001312165</c:v>
                </c:pt>
                <c:pt idx="138">
                  <c:v>0.1140973780450045</c:v>
                </c:pt>
                <c:pt idx="139">
                  <c:v>0.11352804380343723</c:v>
                </c:pt>
                <c:pt idx="140">
                  <c:v>0.1130382681281465</c:v>
                </c:pt>
              </c:numCache>
            </c:numRef>
          </c:xVal>
          <c:yVal>
            <c:numRef>
              <c:f>SWR_ELTz015!$E$14:$E$154</c:f>
              <c:numCache>
                <c:formatCode>General</c:formatCode>
                <c:ptCount val="141"/>
                <c:pt idx="0">
                  <c:v>3.9405732376590119E-5</c:v>
                </c:pt>
                <c:pt idx="1">
                  <c:v>3.2567745366347231E-5</c:v>
                </c:pt>
                <c:pt idx="2">
                  <c:v>2.4884589610294E-5</c:v>
                </c:pt>
                <c:pt idx="3">
                  <c:v>2.2297411858024051E-5</c:v>
                </c:pt>
                <c:pt idx="4">
                  <c:v>2.0170750780928555E-5</c:v>
                </c:pt>
                <c:pt idx="5">
                  <c:v>1.6838039469636944E-5</c:v>
                </c:pt>
                <c:pt idx="6">
                  <c:v>1.4319225718378482E-5</c:v>
                </c:pt>
                <c:pt idx="7">
                  <c:v>1.3273356481166839E-5</c:v>
                </c:pt>
                <c:pt idx="8">
                  <c:v>1.1498953319535626E-5</c:v>
                </c:pt>
                <c:pt idx="9">
                  <c:v>1.005183075915122E-5</c:v>
                </c:pt>
                <c:pt idx="10">
                  <c:v>8.8519109947222537E-6</c:v>
                </c:pt>
                <c:pt idx="11">
                  <c:v>7.8440201113929127E-6</c:v>
                </c:pt>
                <c:pt idx="12">
                  <c:v>6.9885238679930593E-6</c:v>
                </c:pt>
                <c:pt idx="13">
                  <c:v>6.2560274529019935E-6</c:v>
                </c:pt>
                <c:pt idx="14">
                  <c:v>5.6241752426680007E-6</c:v>
                </c:pt>
                <c:pt idx="15">
                  <c:v>5.0756171270268206E-6</c:v>
                </c:pt>
                <c:pt idx="16">
                  <c:v>4.3797731712997922E-6</c:v>
                </c:pt>
                <c:pt idx="17">
                  <c:v>2.8068814812923338E-6</c:v>
                </c:pt>
                <c:pt idx="18">
                  <c:v>1.9030164394340723E-6</c:v>
                </c:pt>
                <c:pt idx="19">
                  <c:v>1.3470903191954763E-6</c:v>
                </c:pt>
                <c:pt idx="20">
                  <c:v>9.8701986010902317E-7</c:v>
                </c:pt>
                <c:pt idx="21">
                  <c:v>7.4395805169957126E-7</c:v>
                </c:pt>
                <c:pt idx="22">
                  <c:v>5.7419385022385903E-7</c:v>
                </c:pt>
                <c:pt idx="23">
                  <c:v>4.5217537292862626E-7</c:v>
                </c:pt>
                <c:pt idx="24">
                  <c:v>3.6230019781622803E-7</c:v>
                </c:pt>
                <c:pt idx="25">
                  <c:v>2.4286552322521019E-7</c:v>
                </c:pt>
                <c:pt idx="26">
                  <c:v>1.7060145516158677E-7</c:v>
                </c:pt>
                <c:pt idx="27">
                  <c:v>1.2438131292882502E-7</c:v>
                </c:pt>
                <c:pt idx="28">
                  <c:v>8.1812669473552586E-8</c:v>
                </c:pt>
                <c:pt idx="29">
                  <c:v>5.667783739271071E-8</c:v>
                </c:pt>
                <c:pt idx="30">
                  <c:v>4.0892078997152562E-8</c:v>
                </c:pt>
                <c:pt idx="31">
                  <c:v>3.0481055609062344E-8</c:v>
                </c:pt>
                <c:pt idx="32">
                  <c:v>2.3336806256970589E-8</c:v>
                </c:pt>
                <c:pt idx="33">
                  <c:v>1.8270627072734007E-8</c:v>
                </c:pt>
                <c:pt idx="34">
                  <c:v>1.4577485466962118E-8</c:v>
                </c:pt>
                <c:pt idx="35">
                  <c:v>1.3570909287300856E-8</c:v>
                </c:pt>
                <c:pt idx="36">
                  <c:v>1.265550343213327E-8</c:v>
                </c:pt>
                <c:pt idx="37">
                  <c:v>6.8129008017007828E-9</c:v>
                </c:pt>
                <c:pt idx="38">
                  <c:v>4.0903139041489714E-9</c:v>
                </c:pt>
                <c:pt idx="39">
                  <c:v>2.6509539359760745E-9</c:v>
                </c:pt>
                <c:pt idx="40">
                  <c:v>1.531469925136056E-9</c:v>
                </c:pt>
                <c:pt idx="41">
                  <c:v>1.3024699945879464E-9</c:v>
                </c:pt>
                <c:pt idx="42">
                  <c:v>1.1172801340811493E-9</c:v>
                </c:pt>
                <c:pt idx="43">
                  <c:v>9.6586369550361509E-10</c:v>
                </c:pt>
                <c:pt idx="44">
                  <c:v>8.408280847902689E-10</c:v>
                </c:pt>
                <c:pt idx="45">
                  <c:v>7.3664528721156345E-10</c:v>
                </c:pt>
                <c:pt idx="46">
                  <c:v>6.491246001236561E-10</c:v>
                </c:pt>
                <c:pt idx="47">
                  <c:v>5.7504929320387093E-10</c:v>
                </c:pt>
                <c:pt idx="48">
                  <c:v>5.1192197474779536E-10</c:v>
                </c:pt>
                <c:pt idx="49">
                  <c:v>4.5778337291213475E-10</c:v>
                </c:pt>
                <c:pt idx="50">
                  <c:v>4.1108153260565986E-10</c:v>
                </c:pt>
                <c:pt idx="51">
                  <c:v>3.7057616856656349E-10</c:v>
                </c:pt>
                <c:pt idx="52">
                  <c:v>3.3526788237011465E-10</c:v>
                </c:pt>
                <c:pt idx="53">
                  <c:v>3.0434519523159867E-10</c:v>
                </c:pt>
                <c:pt idx="54">
                  <c:v>2.7714450177544757E-10</c:v>
                </c:pt>
                <c:pt idx="55">
                  <c:v>2.5311950077784813E-10</c:v>
                </c:pt>
                <c:pt idx="56">
                  <c:v>2.3181765012247625E-10</c:v>
                </c:pt>
                <c:pt idx="57">
                  <c:v>2.1286187926697343E-10</c:v>
                </c:pt>
                <c:pt idx="58">
                  <c:v>1.9593627313925693E-10</c:v>
                </c:pt>
                <c:pt idx="59">
                  <c:v>1.8077478192028359E-10</c:v>
                </c:pt>
                <c:pt idx="60">
                  <c:v>1.6715225503012222E-10</c:v>
                </c:pt>
                <c:pt idx="61">
                  <c:v>1.5487727401710349E-10</c:v>
                </c:pt>
                <c:pt idx="62">
                  <c:v>1.4378638783067725E-10</c:v>
                </c:pt>
                <c:pt idx="63">
                  <c:v>1.3373944882355067E-10</c:v>
                </c:pt>
                <c:pt idx="64">
                  <c:v>1.2461581829694808E-10</c:v>
                </c:pt>
                <c:pt idx="65">
                  <c:v>1.1631126316607652E-10</c:v>
                </c:pt>
                <c:pt idx="66">
                  <c:v>1.08735405127586E-10</c:v>
                </c:pt>
                <c:pt idx="67">
                  <c:v>1.0180961395473318E-10</c:v>
                </c:pt>
                <c:pt idx="68">
                  <c:v>9.5465259681277317E-11</c:v>
                </c:pt>
                <c:pt idx="69">
                  <c:v>8.9642256248635742E-11</c:v>
                </c:pt>
                <c:pt idx="70">
                  <c:v>8.4287842989642073E-11</c:v>
                </c:pt>
                <c:pt idx="71">
                  <c:v>7.9355561075764498E-11</c:v>
                </c:pt>
                <c:pt idx="72">
                  <c:v>7.4804390480411756E-11</c:v>
                </c:pt>
                <c:pt idx="73">
                  <c:v>7.0598019649780325E-11</c:v>
                </c:pt>
                <c:pt idx="74">
                  <c:v>6.6704225329270516E-11</c:v>
                </c:pt>
                <c:pt idx="75">
                  <c:v>6.309434417687126E-11</c:v>
                </c:pt>
                <c:pt idx="76">
                  <c:v>5.9742821139402253E-11</c:v>
                </c:pt>
                <c:pt idx="77">
                  <c:v>5.6626822253802984E-11</c:v>
                </c:pt>
                <c:pt idx="78">
                  <c:v>5.3725901702432287E-11</c:v>
                </c:pt>
                <c:pt idx="79">
                  <c:v>5.1021714706408362E-11</c:v>
                </c:pt>
                <c:pt idx="80">
                  <c:v>4.8497769268507911E-11</c:v>
                </c:pt>
                <c:pt idx="81">
                  <c:v>4.6139210942235585E-11</c:v>
                </c:pt>
                <c:pt idx="82">
                  <c:v>4.3932635758938347E-11</c:v>
                </c:pt>
                <c:pt idx="83">
                  <c:v>4.1865927229785159E-11</c:v>
                </c:pt>
                <c:pt idx="84">
                  <c:v>3.9928113987672387E-11</c:v>
                </c:pt>
                <c:pt idx="85">
                  <c:v>3.8109245170809153E-11</c:v>
                </c:pt>
                <c:pt idx="86">
                  <c:v>3.6400281095276433E-11</c:v>
                </c:pt>
                <c:pt idx="87">
                  <c:v>3.4792997135352289E-11</c:v>
                </c:pt>
                <c:pt idx="88">
                  <c:v>3.327989904082718E-11</c:v>
                </c:pt>
                <c:pt idx="89">
                  <c:v>3.185414818076044E-11</c:v>
                </c:pt>
                <c:pt idx="90">
                  <c:v>3.0509495421729129E-11</c:v>
                </c:pt>
                <c:pt idx="91">
                  <c:v>2.924022253301463E-11</c:v>
                </c:pt>
                <c:pt idx="92">
                  <c:v>2.8041090167102236E-11</c:v>
                </c:pt>
                <c:pt idx="93">
                  <c:v>2.6907291595626804E-11</c:v>
                </c:pt>
                <c:pt idx="94">
                  <c:v>2.583441149323976E-11</c:v>
                </c:pt>
                <c:pt idx="95">
                  <c:v>2.4818389157193984E-11</c:v>
                </c:pt>
                <c:pt idx="96">
                  <c:v>2.3855485632000646E-11</c:v>
                </c:pt>
                <c:pt idx="97">
                  <c:v>2.2942254278157872E-11</c:v>
                </c:pt>
                <c:pt idx="98">
                  <c:v>2.2075514383750394E-11</c:v>
                </c:pt>
                <c:pt idx="99">
                  <c:v>2.1252327468958116E-11</c:v>
                </c:pt>
                <c:pt idx="100">
                  <c:v>2.0469975977817194E-11</c:v>
                </c:pt>
                <c:pt idx="101">
                  <c:v>1.9725944089625194E-11</c:v>
                </c:pt>
                <c:pt idx="102">
                  <c:v>1.9017900415337743E-11</c:v>
                </c:pt>
                <c:pt idx="103">
                  <c:v>1.8343682372911568E-11</c:v>
                </c:pt>
                <c:pt idx="104">
                  <c:v>1.770128206018994E-11</c:v>
                </c:pt>
                <c:pt idx="105">
                  <c:v>1.7088833465601863E-11</c:v>
                </c:pt>
                <c:pt idx="106">
                  <c:v>1.6504600875574844E-11</c:v>
                </c:pt>
                <c:pt idx="107">
                  <c:v>1.594696835396458E-11</c:v>
                </c:pt>
                <c:pt idx="108">
                  <c:v>1.5414430183091372E-11</c:v>
                </c:pt>
                <c:pt idx="109">
                  <c:v>1.4905582168494861E-11</c:v>
                </c:pt>
                <c:pt idx="110">
                  <c:v>1.4419113720398173E-11</c:v>
                </c:pt>
                <c:pt idx="111">
                  <c:v>1.3953800634660568E-11</c:v>
                </c:pt>
                <c:pt idx="112">
                  <c:v>1.3508498504306341E-11</c:v>
                </c:pt>
                <c:pt idx="113">
                  <c:v>1.3082136700259818E-11</c:v>
                </c:pt>
                <c:pt idx="114">
                  <c:v>1.2673712866462768E-11</c:v>
                </c:pt>
                <c:pt idx="115">
                  <c:v>1.2282287880371942E-11</c:v>
                </c:pt>
                <c:pt idx="116">
                  <c:v>1.1906981235020694E-11</c:v>
                </c:pt>
                <c:pt idx="117">
                  <c:v>1.1546966803220505E-11</c:v>
                </c:pt>
                <c:pt idx="118">
                  <c:v>1.1201468948770094E-11</c:v>
                </c:pt>
                <c:pt idx="119">
                  <c:v>1.0869758952824248E-11</c:v>
                </c:pt>
                <c:pt idx="120">
                  <c:v>1.0551151727076508E-11</c:v>
                </c:pt>
                <c:pt idx="121">
                  <c:v>1.0245002787950191E-11</c:v>
                </c:pt>
                <c:pt idx="122">
                  <c:v>1.3202135811633259E-12</c:v>
                </c:pt>
                <c:pt idx="123">
                  <c:v>1.8009028609875214E-13</c:v>
                </c:pt>
                <c:pt idx="124">
                  <c:v>5.6145062616181353E-14</c:v>
                </c:pt>
                <c:pt idx="125">
                  <c:v>2.4555549173873124E-14</c:v>
                </c:pt>
                <c:pt idx="126">
                  <c:v>1.2928663004108297E-14</c:v>
                </c:pt>
                <c:pt idx="127">
                  <c:v>7.6545577213749458E-15</c:v>
                </c:pt>
                <c:pt idx="128" formatCode="0.000">
                  <c:v>4.9142420552423156E-15</c:v>
                </c:pt>
                <c:pt idx="129">
                  <c:v>3.3476167365080807E-15</c:v>
                </c:pt>
                <c:pt idx="130">
                  <c:v>2.3860344999214099E-15</c:v>
                </c:pt>
                <c:pt idx="131">
                  <c:v>1.7624929480965932E-15</c:v>
                </c:pt>
                <c:pt idx="132">
                  <c:v>2.4025912173353564E-16</c:v>
                </c:pt>
                <c:pt idx="133">
                  <c:v>7.4889555492384816E-17</c:v>
                </c:pt>
                <c:pt idx="134">
                  <c:v>3.2750960085015061E-17</c:v>
                </c:pt>
                <c:pt idx="135">
                  <c:v>1.7242834230398633E-17</c:v>
                </c:pt>
                <c:pt idx="136">
                  <c:v>1.0208528184107431E-17</c:v>
                </c:pt>
                <c:pt idx="137">
                  <c:v>6.5537744345502644E-18</c:v>
                </c:pt>
                <c:pt idx="138">
                  <c:v>4.4644186322681956E-18</c:v>
                </c:pt>
                <c:pt idx="139">
                  <c:v>3.1820105157864976E-18</c:v>
                </c:pt>
                <c:pt idx="140">
                  <c:v>2.3504389723529441E-18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A36-4D4F-8280-5047BE33A919}"/>
            </c:ext>
          </c:extLst>
        </c:ser>
        <c:ser>
          <c:idx val="4"/>
          <c:order val="3"/>
          <c:tx>
            <c:v>k wetting</c:v>
          </c:tx>
          <c:spPr>
            <a:ln w="25400">
              <a:solidFill>
                <a:srgbClr val="003300"/>
              </a:solidFill>
              <a:prstDash val="sysDash"/>
            </a:ln>
          </c:spPr>
          <c:marker>
            <c:symbol val="none"/>
          </c:marker>
          <c:xVal>
            <c:numRef>
              <c:f>SWR_ELTz015!$K$14:$K$147</c:f>
              <c:numCache>
                <c:formatCode>0.00E+00</c:formatCode>
                <c:ptCount val="134"/>
                <c:pt idx="0">
                  <c:v>0.45956189637068012</c:v>
                </c:pt>
                <c:pt idx="1">
                  <c:v>0.4588569591571684</c:v>
                </c:pt>
                <c:pt idx="2" formatCode="General">
                  <c:v>0.45703893859904288</c:v>
                </c:pt>
                <c:pt idx="3">
                  <c:v>0.45598928108792636</c:v>
                </c:pt>
                <c:pt idx="4" formatCode="General">
                  <c:v>0.4548696714401218</c:v>
                </c:pt>
                <c:pt idx="5" formatCode="General">
                  <c:v>0.45246604158107362</c:v>
                </c:pt>
                <c:pt idx="6" formatCode="General">
                  <c:v>0.44989807482432875</c:v>
                </c:pt>
                <c:pt idx="7" formatCode="General">
                  <c:v>0.44856814213825225</c:v>
                </c:pt>
                <c:pt idx="8" formatCode="General">
                  <c:v>0.44584026416335676</c:v>
                </c:pt>
                <c:pt idx="9" formatCode="General">
                  <c:v>0.44304681535482682</c:v>
                </c:pt>
                <c:pt idx="10" formatCode="General">
                  <c:v>0.44021205731274193</c:v>
                </c:pt>
                <c:pt idx="11" formatCode="General">
                  <c:v>0.43735514033699863</c:v>
                </c:pt>
                <c:pt idx="12" formatCode="General">
                  <c:v>0.43449131942607977</c:v>
                </c:pt>
                <c:pt idx="13" formatCode="General">
                  <c:v>0.43163280117281866</c:v>
                </c:pt>
                <c:pt idx="14" formatCode="General">
                  <c:v>0.42878936290803571</c:v>
                </c:pt>
                <c:pt idx="15" formatCode="General">
                  <c:v>0.42596882164603322</c:v>
                </c:pt>
                <c:pt idx="16" formatCode="General">
                  <c:v>0.42179418647535227</c:v>
                </c:pt>
                <c:pt idx="17" formatCode="General">
                  <c:v>0.40851677495061589</c:v>
                </c:pt>
                <c:pt idx="18" formatCode="General">
                  <c:v>0.39637450887108228</c:v>
                </c:pt>
                <c:pt idx="19" formatCode="General">
                  <c:v>0.38538087237531837</c:v>
                </c:pt>
                <c:pt idx="20" formatCode="General">
                  <c:v>0.37545081546347758</c:v>
                </c:pt>
                <c:pt idx="21" formatCode="General">
                  <c:v>0.36647037590901255</c:v>
                </c:pt>
                <c:pt idx="22" formatCode="General">
                  <c:v>0.35832476714395844</c:v>
                </c:pt>
                <c:pt idx="23" formatCode="General">
                  <c:v>0.35090889647333245</c:v>
                </c:pt>
                <c:pt idx="24" formatCode="General">
                  <c:v>0.32196150455220118</c:v>
                </c:pt>
                <c:pt idx="25" formatCode="General">
                  <c:v>0.3018072525910076</c:v>
                </c:pt>
                <c:pt idx="26" formatCode="General">
                  <c:v>0.2867855395573804</c:v>
                </c:pt>
                <c:pt idx="27" formatCode="General">
                  <c:v>0.27503416818069087</c:v>
                </c:pt>
                <c:pt idx="28" formatCode="General">
                  <c:v>0.26551044859080009</c:v>
                </c:pt>
                <c:pt idx="29" formatCode="General">
                  <c:v>0.25758305586002606</c:v>
                </c:pt>
                <c:pt idx="30" formatCode="General">
                  <c:v>0.24502301222488587</c:v>
                </c:pt>
                <c:pt idx="31" formatCode="General">
                  <c:v>0.23540313116105879</c:v>
                </c:pt>
                <c:pt idx="32" formatCode="General">
                  <c:v>0.2277149979971006</c:v>
                </c:pt>
                <c:pt idx="33" formatCode="General">
                  <c:v>0.22137795132899801</c:v>
                </c:pt>
                <c:pt idx="34" formatCode="General">
                  <c:v>0.21603069383297435</c:v>
                </c:pt>
                <c:pt idx="35" formatCode="General">
                  <c:v>0.21365049032478373</c:v>
                </c:pt>
                <c:pt idx="36" formatCode="General">
                  <c:v>0.21143491211022883</c:v>
                </c:pt>
                <c:pt idx="37" formatCode="General">
                  <c:v>0.20936536437978362</c:v>
                </c:pt>
                <c:pt idx="38" formatCode="General">
                  <c:v>0.20742609053826083</c:v>
                </c:pt>
                <c:pt idx="39" formatCode="General">
                  <c:v>0.2056036363722421</c:v>
                </c:pt>
                <c:pt idx="40" formatCode="General">
                  <c:v>0.203886433113486</c:v>
                </c:pt>
                <c:pt idx="41" formatCode="General">
                  <c:v>0.20226446939953879</c:v>
                </c:pt>
                <c:pt idx="42" formatCode="General">
                  <c:v>0.20072903054363275</c:v>
                </c:pt>
                <c:pt idx="43" formatCode="General">
                  <c:v>0.19927248936018793</c:v>
                </c:pt>
                <c:pt idx="44" formatCode="General">
                  <c:v>0.19788813690129436</c:v>
                </c:pt>
                <c:pt idx="45" formatCode="General">
                  <c:v>0.19657004439442977</c:v>
                </c:pt>
                <c:pt idx="46" formatCode="General">
                  <c:v>0.19531294979519032</c:v>
                </c:pt>
                <c:pt idx="47" formatCode="General">
                  <c:v>0.19411216392380937</c:v>
                </c:pt>
                <c:pt idx="48" formatCode="General">
                  <c:v>0.19296349230566306</c:v>
                </c:pt>
                <c:pt idx="49" formatCode="General">
                  <c:v>0.19186316969743189</c:v>
                </c:pt>
                <c:pt idx="50" formatCode="General">
                  <c:v>0.19080780493138944</c:v>
                </c:pt>
                <c:pt idx="51" formatCode="General">
                  <c:v>0.18979433420640662</c:v>
                </c:pt>
                <c:pt idx="52" formatCode="General">
                  <c:v>0.18881998133568012</c:v>
                </c:pt>
                <c:pt idx="53" formatCode="General">
                  <c:v>0.18788222375678526</c:v>
                </c:pt>
                <c:pt idx="54" formatCode="General">
                  <c:v>0.18697876334044652</c:v>
                </c:pt>
                <c:pt idx="55" formatCode="General">
                  <c:v>0.18610750121590541</c:v>
                </c:pt>
                <c:pt idx="56" formatCode="General">
                  <c:v>0.18526651597443014</c:v>
                </c:pt>
                <c:pt idx="57" formatCode="General">
                  <c:v>0.18445404472695984</c:v>
                </c:pt>
                <c:pt idx="58" formatCode="General">
                  <c:v>0.18366846658359728</c:v>
                </c:pt>
                <c:pt idx="59" formatCode="General">
                  <c:v>0.18290828819658844</c:v>
                </c:pt>
                <c:pt idx="60" formatCode="General">
                  <c:v>0.18217213106833069</c:v>
                </c:pt>
                <c:pt idx="61" formatCode="General">
                  <c:v>0.18145872037474658</c:v>
                </c:pt>
                <c:pt idx="62" formatCode="General">
                  <c:v>0.18076687509429273</c:v>
                </c:pt>
                <c:pt idx="63" formatCode="General">
                  <c:v>0.18009549926571888</c:v>
                </c:pt>
                <c:pt idx="64" formatCode="General">
                  <c:v>0.17944357422481461</c:v>
                </c:pt>
                <c:pt idx="65" formatCode="General">
                  <c:v>0.17881015169288503</c:v>
                </c:pt>
                <c:pt idx="66" formatCode="General">
                  <c:v>0.17819434760843722</c:v>
                </c:pt>
                <c:pt idx="67" formatCode="General">
                  <c:v>0.17759533660922974</c:v>
                </c:pt>
                <c:pt idx="68" formatCode="General">
                  <c:v>0.17701234708498853</c:v>
                </c:pt>
                <c:pt idx="69" formatCode="General">
                  <c:v>0.17644465673217097</c:v>
                </c:pt>
                <c:pt idx="70" formatCode="General">
                  <c:v>0.17589158855152009</c:v>
                </c:pt>
                <c:pt idx="71" formatCode="General">
                  <c:v>0.17535250723709189</c:v>
                </c:pt>
                <c:pt idx="72" formatCode="General">
                  <c:v>0.17482681591218996</c:v>
                </c:pt>
                <c:pt idx="73" formatCode="General">
                  <c:v>0.17431395317340492</c:v>
                </c:pt>
                <c:pt idx="74" formatCode="General">
                  <c:v>0.17381339040888771</c:v>
                </c:pt>
                <c:pt idx="75" formatCode="General">
                  <c:v>0.17332462936121668</c:v>
                </c:pt>
                <c:pt idx="76" formatCode="General">
                  <c:v>0.1728471999088611</c:v>
                </c:pt>
                <c:pt idx="77" formatCode="General">
                  <c:v>0.17238065804338587</c:v>
                </c:pt>
                <c:pt idx="78" formatCode="General">
                  <c:v>0.1719245840222603</c:v>
                </c:pt>
                <c:pt idx="79" formatCode="General">
                  <c:v>0.17147858067949071</c:v>
                </c:pt>
                <c:pt idx="80" formatCode="General">
                  <c:v>0.17104227187834625</c:v>
                </c:pt>
                <c:pt idx="81" formatCode="General">
                  <c:v>0.17061530109223083</c:v>
                </c:pt>
                <c:pt idx="82" formatCode="General">
                  <c:v>0.1701973301013143</c:v>
                </c:pt>
                <c:pt idx="83" formatCode="General">
                  <c:v>0.16978803779389873</c:v>
                </c:pt>
                <c:pt idx="84" formatCode="General">
                  <c:v>0.16938711906269185</c:v>
                </c:pt>
                <c:pt idx="85" formatCode="General">
                  <c:v>0.16899428378721063</c:v>
                </c:pt>
                <c:pt idx="86" formatCode="General">
                  <c:v>0.16860925589446296</c:v>
                </c:pt>
                <c:pt idx="87" formatCode="General">
                  <c:v>0.16823177249087123</c:v>
                </c:pt>
                <c:pt idx="88" formatCode="General">
                  <c:v>0.16786158305912341</c:v>
                </c:pt>
                <c:pt idx="89" formatCode="General">
                  <c:v>0.16749844871427391</c:v>
                </c:pt>
                <c:pt idx="90" formatCode="General">
                  <c:v>0.16714214151398454</c:v>
                </c:pt>
                <c:pt idx="91" formatCode="General">
                  <c:v>0.16679244381829805</c:v>
                </c:pt>
                <c:pt idx="92" formatCode="General">
                  <c:v>0.16644914769478256</c:v>
                </c:pt>
                <c:pt idx="93" formatCode="General">
                  <c:v>0.16611205436528753</c:v>
                </c:pt>
                <c:pt idx="94" formatCode="General">
                  <c:v>0.16578097369090383</c:v>
                </c:pt>
                <c:pt idx="95" formatCode="General">
                  <c:v>0.16545572369204142</c:v>
                </c:pt>
                <c:pt idx="96" formatCode="General">
                  <c:v>0.16513613010082223</c:v>
                </c:pt>
                <c:pt idx="97" formatCode="General">
                  <c:v>0.1648220259432408</c:v>
                </c:pt>
                <c:pt idx="98" formatCode="General">
                  <c:v>0.16451325114877507</c:v>
                </c:pt>
                <c:pt idx="99" formatCode="General">
                  <c:v>0.16420965218533529</c:v>
                </c:pt>
                <c:pt idx="100" formatCode="General">
                  <c:v>0.16391108171762597</c:v>
                </c:pt>
                <c:pt idx="101" formatCode="General">
                  <c:v>0.16361739828716065</c:v>
                </c:pt>
                <c:pt idx="102" formatCode="General">
                  <c:v>0.16332846601232309</c:v>
                </c:pt>
                <c:pt idx="103" formatCode="General">
                  <c:v>0.16304415430700286</c:v>
                </c:pt>
                <c:pt idx="104" formatCode="General">
                  <c:v>0.16276433761645709</c:v>
                </c:pt>
                <c:pt idx="105" formatCode="General">
                  <c:v>0.16248889516916348</c:v>
                </c:pt>
                <c:pt idx="106" formatCode="General">
                  <c:v>0.16221771074352875</c:v>
                </c:pt>
                <c:pt idx="107" formatCode="General">
                  <c:v>0.16195067244841033</c:v>
                </c:pt>
                <c:pt idx="108" formatCode="General">
                  <c:v>0.16168767251649296</c:v>
                </c:pt>
                <c:pt idx="109" formatCode="General">
                  <c:v>0.16142860710963641</c:v>
                </c:pt>
                <c:pt idx="110" formatCode="General">
                  <c:v>0.16117337613538196</c:v>
                </c:pt>
                <c:pt idx="111" formatCode="General">
                  <c:v>0.16092188307386651</c:v>
                </c:pt>
                <c:pt idx="112" formatCode="General">
                  <c:v>0.16067403481445272</c:v>
                </c:pt>
                <c:pt idx="113" formatCode="General">
                  <c:v>0.16042974150143477</c:v>
                </c:pt>
                <c:pt idx="114" formatCode="General">
                  <c:v>0.16018891638822852</c:v>
                </c:pt>
                <c:pt idx="115" formatCode="General">
                  <c:v>0.14558517906048923</c:v>
                </c:pt>
                <c:pt idx="116" formatCode="General">
                  <c:v>0.13479122058885218</c:v>
                </c:pt>
                <c:pt idx="117" formatCode="General">
                  <c:v>0.12970344057793731</c:v>
                </c:pt>
                <c:pt idx="118" formatCode="General">
                  <c:v>0.12655132338183939</c:v>
                </c:pt>
                <c:pt idx="119" formatCode="General">
                  <c:v>0.12433852544214086</c:v>
                </c:pt>
                <c:pt idx="120" formatCode="General">
                  <c:v>0.12266811571731623</c:v>
                </c:pt>
                <c:pt idx="121" formatCode="General">
                  <c:v>0.12134555278394839</c:v>
                </c:pt>
                <c:pt idx="122" formatCode="General">
                  <c:v>0.12026242503333634</c:v>
                </c:pt>
                <c:pt idx="123" formatCode="General">
                  <c:v>0.11935274546493875</c:v>
                </c:pt>
                <c:pt idx="124" formatCode="General">
                  <c:v>0.11857366717503115</c:v>
                </c:pt>
                <c:pt idx="125" formatCode="General">
                  <c:v>0.11417417873062941</c:v>
                </c:pt>
                <c:pt idx="126" formatCode="General">
                  <c:v>0.11210104373256079</c:v>
                </c:pt>
                <c:pt idx="127" formatCode="General">
                  <c:v>0.1108167538831039</c:v>
                </c:pt>
                <c:pt idx="128" formatCode="General">
                  <c:v>0.10991521566985168</c:v>
                </c:pt>
                <c:pt idx="129" formatCode="General">
                  <c:v>0.10923467369447326</c:v>
                </c:pt>
                <c:pt idx="130" formatCode="General">
                  <c:v>0.10869585634485186</c:v>
                </c:pt>
                <c:pt idx="131" formatCode="General">
                  <c:v>0.10825459049208942</c:v>
                </c:pt>
                <c:pt idx="132" formatCode="General">
                  <c:v>0.10788399019554849</c:v>
                </c:pt>
                <c:pt idx="133" formatCode="General">
                  <c:v>0.10756659822859822</c:v>
                </c:pt>
              </c:numCache>
            </c:numRef>
          </c:xVal>
          <c:yVal>
            <c:numRef>
              <c:f>SWR_ELTz015!$M$14:$M$147</c:f>
              <c:numCache>
                <c:formatCode>0.00E+00</c:formatCode>
                <c:ptCount val="134"/>
                <c:pt idx="0">
                  <c:v>4.5929449732119489E-6</c:v>
                </c:pt>
                <c:pt idx="1">
                  <c:v>3.838082309125071E-6</c:v>
                </c:pt>
                <c:pt idx="2">
                  <c:v>2.9611428840433923E-6</c:v>
                </c:pt>
                <c:pt idx="3">
                  <c:v>2.6595454641536017E-6</c:v>
                </c:pt>
                <c:pt idx="4">
                  <c:v>2.409415300330188E-6</c:v>
                </c:pt>
                <c:pt idx="5">
                  <c:v>2.0136585248439182E-6</c:v>
                </c:pt>
                <c:pt idx="6">
                  <c:v>1.7117647494148473E-6</c:v>
                </c:pt>
                <c:pt idx="7">
                  <c:v>1.5857882976270652E-6</c:v>
                </c:pt>
                <c:pt idx="8">
                  <c:v>1.371343043612443E-6</c:v>
                </c:pt>
                <c:pt idx="9">
                  <c:v>1.1959078432293554E-6</c:v>
                </c:pt>
                <c:pt idx="10">
                  <c:v>1.050187038622686E-6</c:v>
                </c:pt>
                <c:pt idx="11">
                  <c:v>9.2770015389033841E-7</c:v>
                </c:pt>
                <c:pt idx="12">
                  <c:v>8.2374448493215876E-7</c:v>
                </c:pt>
                <c:pt idx="13">
                  <c:v>7.3480184824110303E-7</c:v>
                </c:pt>
                <c:pt idx="14">
                  <c:v>6.5817678615644071E-7</c:v>
                </c:pt>
                <c:pt idx="15">
                  <c:v>5.9176440753475334E-7</c:v>
                </c:pt>
                <c:pt idx="16">
                  <c:v>5.0773440728002317E-7</c:v>
                </c:pt>
                <c:pt idx="17">
                  <c:v>3.192612679850971E-7</c:v>
                </c:pt>
                <c:pt idx="18">
                  <c:v>2.1256302921382107E-7</c:v>
                </c:pt>
                <c:pt idx="19">
                  <c:v>1.4796366585859952E-7</c:v>
                </c:pt>
                <c:pt idx="20">
                  <c:v>1.0676202051673678E-7</c:v>
                </c:pt>
                <c:pt idx="21">
                  <c:v>7.9351586265618311E-8</c:v>
                </c:pt>
                <c:pt idx="22">
                  <c:v>6.0465706081124103E-8</c:v>
                </c:pt>
                <c:pt idx="23">
                  <c:v>4.706177567249437E-8</c:v>
                </c:pt>
                <c:pt idx="24">
                  <c:v>1.6949814015874876E-8</c:v>
                </c:pt>
                <c:pt idx="25">
                  <c:v>7.8621832760744692E-9</c:v>
                </c:pt>
                <c:pt idx="26">
                  <c:v>4.2538770361216117E-9</c:v>
                </c:pt>
                <c:pt idx="27">
                  <c:v>2.5516692239525175E-9</c:v>
                </c:pt>
                <c:pt idx="28">
                  <c:v>1.6478000833010702E-9</c:v>
                </c:pt>
                <c:pt idx="29">
                  <c:v>1.1246282043865865E-9</c:v>
                </c:pt>
                <c:pt idx="30">
                  <c:v>5.9083732601767677E-10</c:v>
                </c:pt>
                <c:pt idx="31">
                  <c:v>3.478209019230702E-10</c:v>
                </c:pt>
                <c:pt idx="32">
                  <c:v>2.2174744790041594E-10</c:v>
                </c:pt>
                <c:pt idx="33">
                  <c:v>1.4994980193079723E-10</c:v>
                </c:pt>
                <c:pt idx="34">
                  <c:v>1.0609833742910195E-10</c:v>
                </c:pt>
                <c:pt idx="35">
                  <c:v>9.0499056139610312E-11</c:v>
                </c:pt>
                <c:pt idx="36">
                  <c:v>7.781630169842279E-11</c:v>
                </c:pt>
                <c:pt idx="37">
                  <c:v>6.7398936626952732E-11</c:v>
                </c:pt>
                <c:pt idx="38">
                  <c:v>5.8762768614583363E-11</c:v>
                </c:pt>
                <c:pt idx="39">
                  <c:v>5.1542676713327522E-11</c:v>
                </c:pt>
                <c:pt idx="40">
                  <c:v>4.5459804078592595E-11</c:v>
                </c:pt>
                <c:pt idx="41">
                  <c:v>4.0298686755819214E-11</c:v>
                </c:pt>
                <c:pt idx="42">
                  <c:v>3.5891057719970587E-11</c:v>
                </c:pt>
                <c:pt idx="43">
                  <c:v>3.2104212178463195E-11</c:v>
                </c:pt>
                <c:pt idx="44">
                  <c:v>2.8832538508066608E-11</c:v>
                </c:pt>
                <c:pt idx="45">
                  <c:v>2.5991277940892039E-11</c:v>
                </c:pt>
                <c:pt idx="46">
                  <c:v>2.3511874313742082E-11</c:v>
                </c:pt>
                <c:pt idx="47">
                  <c:v>2.1338472236184878E-11</c:v>
                </c:pt>
                <c:pt idx="48">
                  <c:v>1.9425254222225847E-11</c:v>
                </c:pt>
                <c:pt idx="49">
                  <c:v>1.773439727138713E-11</c:v>
                </c:pt>
                <c:pt idx="50">
                  <c:v>1.623449138889638E-11</c:v>
                </c:pt>
                <c:pt idx="51">
                  <c:v>1.4899305806214147E-11</c:v>
                </c:pt>
                <c:pt idx="52">
                  <c:v>1.3706819210055339E-11</c:v>
                </c:pt>
                <c:pt idx="53">
                  <c:v>1.2638452085338504E-11</c:v>
                </c:pt>
                <c:pt idx="54">
                  <c:v>1.1678454989431584E-11</c:v>
                </c:pt>
                <c:pt idx="55">
                  <c:v>1.0813418008794549E-11</c:v>
                </c:pt>
                <c:pt idx="56">
                  <c:v>1.0031875044686125E-11</c:v>
                </c:pt>
                <c:pt idx="57">
                  <c:v>9.3239827916829478E-12</c:v>
                </c:pt>
                <c:pt idx="58">
                  <c:v>8.6812589138667919E-12</c:v>
                </c:pt>
                <c:pt idx="59">
                  <c:v>8.0963674145700125E-12</c:v>
                </c:pt>
                <c:pt idx="60">
                  <c:v>7.5629418404928153E-12</c:v>
                </c:pt>
                <c:pt idx="61">
                  <c:v>7.0754389788226708E-12</c:v>
                </c:pt>
                <c:pt idx="62">
                  <c:v>6.6290172553323588E-12</c:v>
                </c:pt>
                <c:pt idx="63">
                  <c:v>6.2194352385455657E-12</c:v>
                </c:pt>
                <c:pt idx="64">
                  <c:v>5.8429665855946853E-12</c:v>
                </c:pt>
                <c:pt idx="65">
                  <c:v>5.4963284926691286E-12</c:v>
                </c:pt>
                <c:pt idx="66">
                  <c:v>5.1766212846233762E-12</c:v>
                </c:pt>
                <c:pt idx="67">
                  <c:v>4.8812772298685847E-12</c:v>
                </c:pt>
                <c:pt idx="68">
                  <c:v>4.6080170252218321E-12</c:v>
                </c:pt>
                <c:pt idx="69">
                  <c:v>4.3548126813862229E-12</c:v>
                </c:pt>
                <c:pt idx="70">
                  <c:v>4.1198557689404644E-12</c:v>
                </c:pt>
                <c:pt idx="71">
                  <c:v>3.9015301691819851E-12</c:v>
                </c:pt>
                <c:pt idx="72">
                  <c:v>3.6983886233167775E-12</c:v>
                </c:pt>
                <c:pt idx="73">
                  <c:v>3.5091324944717991E-12</c:v>
                </c:pt>
                <c:pt idx="74">
                  <c:v>3.3325942556283736E-12</c:v>
                </c:pt>
                <c:pt idx="75">
                  <c:v>3.1677222972111455E-12</c:v>
                </c:pt>
                <c:pt idx="76">
                  <c:v>3.0135677142433752E-12</c:v>
                </c:pt>
                <c:pt idx="77">
                  <c:v>2.8692727875084026E-12</c:v>
                </c:pt>
                <c:pt idx="78">
                  <c:v>2.7340609181967071E-12</c:v>
                </c:pt>
                <c:pt idx="79">
                  <c:v>2.6072278128898993E-12</c:v>
                </c:pt>
                <c:pt idx="80">
                  <c:v>2.4881337467866759E-12</c:v>
                </c:pt>
                <c:pt idx="81">
                  <c:v>2.3761967590124281E-12</c:v>
                </c:pt>
                <c:pt idx="82">
                  <c:v>2.2708866555381474E-12</c:v>
                </c:pt>
                <c:pt idx="83">
                  <c:v>2.1717197134348593E-12</c:v>
                </c:pt>
                <c:pt idx="84">
                  <c:v>2.0782539955098292E-12</c:v>
                </c:pt>
                <c:pt idx="85">
                  <c:v>1.9900851972867144E-12</c:v>
                </c:pt>
                <c:pt idx="86">
                  <c:v>1.9068429592308385E-12</c:v>
                </c:pt>
                <c:pt idx="87">
                  <c:v>1.8281875863794182E-12</c:v>
                </c:pt>
                <c:pt idx="88">
                  <c:v>1.7538071254279251E-12</c:v>
                </c:pt>
                <c:pt idx="89">
                  <c:v>1.683414756034937E-12</c:v>
                </c:pt>
                <c:pt idx="90">
                  <c:v>1.6167464588339767E-12</c:v>
                </c:pt>
                <c:pt idx="91">
                  <c:v>1.5535589275679849E-12</c:v>
                </c:pt>
                <c:pt idx="92">
                  <c:v>1.4936276969538101E-12</c:v>
                </c:pt>
                <c:pt idx="93">
                  <c:v>1.4367454615226981E-12</c:v>
                </c:pt>
                <c:pt idx="94">
                  <c:v>1.3827205637833846E-12</c:v>
                </c:pt>
                <c:pt idx="95">
                  <c:v>1.3313756327678439E-12</c:v>
                </c:pt>
                <c:pt idx="96">
                  <c:v>1.2825463563224598E-12</c:v>
                </c:pt>
                <c:pt idx="97">
                  <c:v>1.2360803725522461E-12</c:v>
                </c:pt>
                <c:pt idx="98">
                  <c:v>1.1918362675488083E-12</c:v>
                </c:pt>
                <c:pt idx="99">
                  <c:v>1.1496826680847224E-12</c:v>
                </c:pt>
                <c:pt idx="100">
                  <c:v>1.1094974192582805E-12</c:v>
                </c:pt>
                <c:pt idx="101">
                  <c:v>1.071166838245009E-12</c:v>
                </c:pt>
                <c:pt idx="102">
                  <c:v>1.0345850363229045E-12</c:v>
                </c:pt>
                <c:pt idx="103">
                  <c:v>9.9965330222086057E-13</c:v>
                </c:pt>
                <c:pt idx="104">
                  <c:v>9.6627954061608462E-13</c:v>
                </c:pt>
                <c:pt idx="105">
                  <c:v>9.343777602986745E-13</c:v>
                </c:pt>
                <c:pt idx="106">
                  <c:v>9.0386760710444172E-13</c:v>
                </c:pt>
                <c:pt idx="107">
                  <c:v>8.7467393726841356E-13</c:v>
                </c:pt>
                <c:pt idx="108">
                  <c:v>8.4672642729333505E-13</c:v>
                </c:pt>
                <c:pt idx="109">
                  <c:v>8.1995921686634569E-13</c:v>
                </c:pt>
                <c:pt idx="110">
                  <c:v>7.943105816922163E-13</c:v>
                </c:pt>
                <c:pt idx="111">
                  <c:v>7.6972263346712836E-13</c:v>
                </c:pt>
                <c:pt idx="112">
                  <c:v>7.4614104447462616E-13</c:v>
                </c:pt>
                <c:pt idx="113">
                  <c:v>7.2351479455525725E-13</c:v>
                </c:pt>
                <c:pt idx="114">
                  <c:v>7.017959384296902E-13</c:v>
                </c:pt>
                <c:pt idx="115">
                  <c:v>8.4179432733507383E-14</c:v>
                </c:pt>
                <c:pt idx="116">
                  <c:v>1.0712314642810182E-14</c:v>
                </c:pt>
                <c:pt idx="117">
                  <c:v>3.2068308403792282E-15</c:v>
                </c:pt>
                <c:pt idx="118">
                  <c:v>1.3627345823998388E-15</c:v>
                </c:pt>
                <c:pt idx="119">
                  <c:v>7.0164778563152455E-16</c:v>
                </c:pt>
                <c:pt idx="120">
                  <c:v>4.0790994232369769E-16</c:v>
                </c:pt>
                <c:pt idx="121">
                  <c:v>2.578717909621495E-16</c:v>
                </c:pt>
                <c:pt idx="122">
                  <c:v>1.7333338619952644E-16</c:v>
                </c:pt>
                <c:pt idx="123">
                  <c:v>1.2209749257076626E-16</c:v>
                </c:pt>
                <c:pt idx="124">
                  <c:v>8.9244348079950646E-17</c:v>
                </c:pt>
                <c:pt idx="125">
                  <c:v>1.1350796269873843E-17</c:v>
                </c:pt>
                <c:pt idx="126">
                  <c:v>3.3974842336194549E-18</c:v>
                </c:pt>
                <c:pt idx="127">
                  <c:v>1.443663073389972E-18</c:v>
                </c:pt>
                <c:pt idx="128">
                  <c:v>7.4329151870103305E-19</c:v>
                </c:pt>
                <c:pt idx="129">
                  <c:v>4.3211102863562055E-19</c:v>
                </c:pt>
                <c:pt idx="130">
                  <c:v>2.7316742324961744E-19</c:v>
                </c:pt>
                <c:pt idx="131">
                  <c:v>1.8361283841076439E-19</c:v>
                </c:pt>
                <c:pt idx="132">
                  <c:v>1.2933748848466155E-19</c:v>
                </c:pt>
                <c:pt idx="133">
                  <c:v>9.453573196598207E-20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36-4D4F-8280-5047BE33A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480412712"/>
        <c:scaling>
          <c:orientation val="minMax"/>
          <c:max val="0.60000000000000009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Volumetric water content</a:t>
                </a:r>
              </a:p>
            </c:rich>
          </c:tx>
          <c:layout>
            <c:manualLayout>
              <c:xMode val="edge"/>
              <c:yMode val="edge"/>
              <c:x val="0.35504200621210558"/>
              <c:y val="0.884237513789037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.1"/>
        <c:crossBetween val="midCat"/>
        <c:minorUnit val="0.02"/>
      </c:valAx>
      <c:valAx>
        <c:axId val="1"/>
        <c:scaling>
          <c:logBase val="10"/>
          <c:orientation val="minMax"/>
          <c:max val="100000"/>
          <c:min val="0.1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Matric suction (kPa)</a:t>
                </a:r>
              </a:p>
            </c:rich>
          </c:tx>
          <c:layout>
            <c:manualLayout>
              <c:xMode val="edge"/>
              <c:yMode val="edge"/>
              <c:x val="3.2751091703056769E-2"/>
              <c:y val="0.35265776560538631"/>
            </c:manualLayout>
          </c:layout>
          <c:overlay val="0"/>
          <c:spPr>
            <a:noFill/>
            <a:ln w="25400">
              <a:noFill/>
            </a:ln>
          </c:spPr>
        </c:title>
        <c:numFmt formatCode="0E+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412712"/>
        <c:crosses val="autoZero"/>
        <c:crossBetween val="midCat"/>
        <c:minorUnit val="10"/>
      </c:valAx>
      <c:val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logBase val="10"/>
          <c:orientation val="minMax"/>
          <c:max val="1.0000000000000002E-2"/>
          <c:min val="1.0000000000000005E-9"/>
        </c:scaling>
        <c:delete val="0"/>
        <c:axPos val="r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Conductivity k (cm/s)</a:t>
                </a:r>
              </a:p>
            </c:rich>
          </c:tx>
          <c:layout>
            <c:manualLayout>
              <c:xMode val="edge"/>
              <c:yMode val="edge"/>
              <c:x val="0.92358078602620086"/>
              <c:y val="0.28502491536384039"/>
            </c:manualLayout>
          </c:layout>
          <c:overlay val="0"/>
          <c:spPr>
            <a:noFill/>
            <a:ln w="25400">
              <a:noFill/>
            </a:ln>
          </c:spPr>
        </c:title>
        <c:numFmt formatCode="0.0E+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10"/>
        <c:minorUnit val="1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1528384279475981"/>
          <c:y val="6.5217644895837298E-2"/>
          <c:w val="0.29694323144104806"/>
          <c:h val="0.1312404427707406"/>
        </c:manualLayout>
      </c:layout>
      <c:overlay val="0"/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03056768558952"/>
          <c:y val="6.2802080507624994E-2"/>
          <c:w val="0.64410480349344978"/>
          <c:h val="0.74879403682168255"/>
        </c:manualLayout>
      </c:layout>
      <c:scatterChart>
        <c:scatterStyle val="lineMarker"/>
        <c:varyColors val="0"/>
        <c:ser>
          <c:idx val="1"/>
          <c:order val="0"/>
          <c:tx>
            <c:v>Drying</c:v>
          </c:tx>
          <c:spPr>
            <a:ln w="25400">
              <a:solidFill>
                <a:srgbClr val="FF0000"/>
              </a:solidFill>
              <a:prstDash val="lgDashDotDot"/>
            </a:ln>
          </c:spPr>
          <c:marker>
            <c:symbol val="none"/>
          </c:marker>
          <c:xVal>
            <c:numRef>
              <c:f>SWR_ELTz042!$C$14:$C$154</c:f>
              <c:numCache>
                <c:formatCode>General</c:formatCode>
                <c:ptCount val="141"/>
                <c:pt idx="0">
                  <c:v>0.49979942174483805</c:v>
                </c:pt>
                <c:pt idx="1">
                  <c:v>0.49939309321313863</c:v>
                </c:pt>
                <c:pt idx="2">
                  <c:v>0.49817052307356957</c:v>
                </c:pt>
                <c:pt idx="3">
                  <c:v>0.49739487828120155</c:v>
                </c:pt>
                <c:pt idx="4">
                  <c:v>0.49652645857039057</c:v>
                </c:pt>
                <c:pt idx="5">
                  <c:v>0.4945464865971263</c:v>
                </c:pt>
                <c:pt idx="6">
                  <c:v>0.49228845369658913</c:v>
                </c:pt>
                <c:pt idx="7">
                  <c:v>0.49106946790086436</c:v>
                </c:pt>
                <c:pt idx="8">
                  <c:v>0.48847551653788313</c:v>
                </c:pt>
                <c:pt idx="9">
                  <c:v>0.48570120104985559</c:v>
                </c:pt>
                <c:pt idx="10">
                  <c:v>0.48277568585126329</c:v>
                </c:pt>
                <c:pt idx="11">
                  <c:v>0.47972446919466993</c:v>
                </c:pt>
                <c:pt idx="12">
                  <c:v>0.47657002367675994</c:v>
                </c:pt>
                <c:pt idx="13">
                  <c:v>0.47333223648868172</c:v>
                </c:pt>
                <c:pt idx="14">
                  <c:v>0.47002873522413313</c:v>
                </c:pt>
                <c:pt idx="15">
                  <c:v>0.46667514441276303</c:v>
                </c:pt>
                <c:pt idx="16">
                  <c:v>0.46158065690064354</c:v>
                </c:pt>
                <c:pt idx="17">
                  <c:v>0.44447136806752197</c:v>
                </c:pt>
                <c:pt idx="18">
                  <c:v>0.4278426353524637</c:v>
                </c:pt>
                <c:pt idx="19">
                  <c:v>0.412180334510725</c:v>
                </c:pt>
                <c:pt idx="20">
                  <c:v>0.39767332151571111</c:v>
                </c:pt>
                <c:pt idx="21">
                  <c:v>0.38435134096495194</c:v>
                </c:pt>
                <c:pt idx="22">
                  <c:v>0.37216458106806283</c:v>
                </c:pt>
                <c:pt idx="23">
                  <c:v>0.36102779411486563</c:v>
                </c:pt>
                <c:pt idx="24">
                  <c:v>0.35084388610136674</c:v>
                </c:pt>
                <c:pt idx="25">
                  <c:v>0.33295315166231182</c:v>
                </c:pt>
                <c:pt idx="26">
                  <c:v>0.31780112886574396</c:v>
                </c:pt>
                <c:pt idx="27">
                  <c:v>0.30483121547760728</c:v>
                </c:pt>
                <c:pt idx="28">
                  <c:v>0.28855140688272318</c:v>
                </c:pt>
                <c:pt idx="29">
                  <c:v>0.27517144959768758</c:v>
                </c:pt>
                <c:pt idx="30">
                  <c:v>0.26396696131245356</c:v>
                </c:pt>
                <c:pt idx="31">
                  <c:v>0.2544331487237268</c:v>
                </c:pt>
                <c:pt idx="32">
                  <c:v>0.24620962048357373</c:v>
                </c:pt>
                <c:pt idx="33">
                  <c:v>0.23903297182949035</c:v>
                </c:pt>
                <c:pt idx="34">
                  <c:v>0.23270648456979309</c:v>
                </c:pt>
                <c:pt idx="35">
                  <c:v>0.23075961644527437</c:v>
                </c:pt>
                <c:pt idx="36">
                  <c:v>0.22888566159347823</c:v>
                </c:pt>
                <c:pt idx="37">
                  <c:v>0.21336064573561708</c:v>
                </c:pt>
                <c:pt idx="38">
                  <c:v>0.20195013147463556</c:v>
                </c:pt>
                <c:pt idx="39">
                  <c:v>0.19314337783293939</c:v>
                </c:pt>
                <c:pt idx="40">
                  <c:v>0.18307195490652928</c:v>
                </c:pt>
                <c:pt idx="41">
                  <c:v>0.18031112587830767</c:v>
                </c:pt>
                <c:pt idx="42">
                  <c:v>0.17778103427639214</c:v>
                </c:pt>
                <c:pt idx="43">
                  <c:v>0.17545200990621757</c:v>
                </c:pt>
                <c:pt idx="44">
                  <c:v>0.1732994006909494</c:v>
                </c:pt>
                <c:pt idx="45">
                  <c:v>0.1713025396329953</c:v>
                </c:pt>
                <c:pt idx="46">
                  <c:v>0.16944395899481179</c:v>
                </c:pt>
                <c:pt idx="47">
                  <c:v>0.16770878497120362</c:v>
                </c:pt>
                <c:pt idx="48">
                  <c:v>0.16608426601147475</c:v>
                </c:pt>
                <c:pt idx="49">
                  <c:v>0.16455940139429176</c:v>
                </c:pt>
                <c:pt idx="50">
                  <c:v>0.16312464590192821</c:v>
                </c:pt>
                <c:pt idx="51">
                  <c:v>0.16177167289523467</c:v>
                </c:pt>
                <c:pt idx="52">
                  <c:v>0.16049318266249171</c:v>
                </c:pt>
                <c:pt idx="53">
                  <c:v>0.15928274619644872</c:v>
                </c:pt>
                <c:pt idx="54">
                  <c:v>0.15813467693763586</c:v>
                </c:pt>
                <c:pt idx="55">
                  <c:v>0.15704392477366239</c:v>
                </c:pt>
                <c:pt idx="56">
                  <c:v>0.15600598788501044</c:v>
                </c:pt>
                <c:pt idx="57">
                  <c:v>0.1550168390034328</c:v>
                </c:pt>
                <c:pt idx="58">
                  <c:v>0.1540728633875616</c:v>
                </c:pt>
                <c:pt idx="59">
                  <c:v>0.15317080638423031</c:v>
                </c:pt>
                <c:pt idx="60">
                  <c:v>0.15230772887811125</c:v>
                </c:pt>
                <c:pt idx="61">
                  <c:v>0.15148096926902538</c:v>
                </c:pt>
                <c:pt idx="62">
                  <c:v>0.15068811087942199</c:v>
                </c:pt>
                <c:pt idx="63">
                  <c:v>0.14992695390155567</c:v>
                </c:pt>
                <c:pt idx="64">
                  <c:v>0.14919549115782749</c:v>
                </c:pt>
                <c:pt idx="65">
                  <c:v>0.14849188707837879</c:v>
                </c:pt>
                <c:pt idx="66">
                  <c:v>0.14781445940470489</c:v>
                </c:pt>
                <c:pt idx="67">
                  <c:v>0.14716166321241142</c:v>
                </c:pt>
                <c:pt idx="68">
                  <c:v>0.14653207691457307</c:v>
                </c:pt>
                <c:pt idx="69">
                  <c:v>0.14592438996279283</c:v>
                </c:pt>
                <c:pt idx="70">
                  <c:v>0.1453373920085754</c:v>
                </c:pt>
                <c:pt idx="71">
                  <c:v>0.14476996332503533</c:v>
                </c:pt>
                <c:pt idx="72">
                  <c:v>0.14422106631983583</c:v>
                </c:pt>
                <c:pt idx="73">
                  <c:v>0.1436897379958457</c:v>
                </c:pt>
                <c:pt idx="74">
                  <c:v>0.14317508323729911</c:v>
                </c:pt>
                <c:pt idx="75">
                  <c:v>0.14267626881703391</c:v>
                </c:pt>
                <c:pt idx="76">
                  <c:v>0.14219251803530089</c:v>
                </c:pt>
                <c:pt idx="77">
                  <c:v>0.14172310591318849</c:v>
                </c:pt>
                <c:pt idx="78">
                  <c:v>0.14126735487430297</c:v>
                </c:pt>
                <c:pt idx="79">
                  <c:v>0.140824630857321</c:v>
                </c:pt>
                <c:pt idx="80">
                  <c:v>0.14039433980965765</c:v>
                </c:pt>
                <c:pt idx="81">
                  <c:v>0.13997592451899199</c:v>
                </c:pt>
                <c:pt idx="82">
                  <c:v>0.13956886174494942</c:v>
                </c:pt>
                <c:pt idx="83">
                  <c:v>0.1391726596180006</c:v>
                </c:pt>
                <c:pt idx="84">
                  <c:v>0.13878685527673032</c:v>
                </c:pt>
                <c:pt idx="85">
                  <c:v>0.13841101271815609</c:v>
                </c:pt>
                <c:pt idx="86">
                  <c:v>0.13804472083882346</c:v>
                </c:pt>
                <c:pt idx="87">
                  <c:v>0.13768759164704253</c:v>
                </c:pt>
                <c:pt idx="88">
                  <c:v>0.1373392586289226</c:v>
                </c:pt>
                <c:pt idx="89">
                  <c:v>0.1369993752528518</c:v>
                </c:pt>
                <c:pt idx="90">
                  <c:v>0.13666761359880911</c:v>
                </c:pt>
                <c:pt idx="91">
                  <c:v>0.13634366310041199</c:v>
                </c:pt>
                <c:pt idx="92">
                  <c:v>0.13602722938893463</c:v>
                </c:pt>
                <c:pt idx="93">
                  <c:v>0.13571803322969681</c:v>
                </c:pt>
                <c:pt idx="94">
                  <c:v>0.13541580954224955</c:v>
                </c:pt>
                <c:pt idx="95">
                  <c:v>0.1351203064966878</c:v>
                </c:pt>
                <c:pt idx="96">
                  <c:v>0.13483128467921635</c:v>
                </c:pt>
                <c:pt idx="97">
                  <c:v>0.13454851632080086</c:v>
                </c:pt>
                <c:pt idx="98">
                  <c:v>0.13427178458335948</c:v>
                </c:pt>
                <c:pt idx="99">
                  <c:v>0.13400088289850404</c:v>
                </c:pt>
                <c:pt idx="100">
                  <c:v>0.13373561435433232</c:v>
                </c:pt>
                <c:pt idx="101">
                  <c:v>0.13347579112620994</c:v>
                </c:pt>
                <c:pt idx="102">
                  <c:v>0.13322123394787033</c:v>
                </c:pt>
                <c:pt idx="103">
                  <c:v>0.13297177161951099</c:v>
                </c:pt>
                <c:pt idx="104">
                  <c:v>0.13272724054987339</c:v>
                </c:pt>
                <c:pt idx="105">
                  <c:v>0.13248748432957513</c:v>
                </c:pt>
                <c:pt idx="106">
                  <c:v>0.13225235333321045</c:v>
                </c:pt>
                <c:pt idx="107">
                  <c:v>0.13202170434796157</c:v>
                </c:pt>
                <c:pt idx="108">
                  <c:v>0.13179540022666336</c:v>
                </c:pt>
                <c:pt idx="109">
                  <c:v>0.13157330956344718</c:v>
                </c:pt>
                <c:pt idx="110">
                  <c:v>0.13135530639025145</c:v>
                </c:pt>
                <c:pt idx="111">
                  <c:v>0.1311412698926358</c:v>
                </c:pt>
                <c:pt idx="112">
                  <c:v>0.13093108414346788</c:v>
                </c:pt>
                <c:pt idx="113">
                  <c:v>0.1307246378531734</c:v>
                </c:pt>
                <c:pt idx="114">
                  <c:v>0.1305218241353488</c:v>
                </c:pt>
                <c:pt idx="115">
                  <c:v>0.13032254028663517</c:v>
                </c:pt>
                <c:pt idx="116">
                  <c:v>0.13012668757984225</c:v>
                </c:pt>
                <c:pt idx="117">
                  <c:v>0.12993417106939173</c:v>
                </c:pt>
                <c:pt idx="118">
                  <c:v>0.1297448994082262</c:v>
                </c:pt>
                <c:pt idx="119">
                  <c:v>0.12955878467539422</c:v>
                </c:pt>
                <c:pt idx="120">
                  <c:v>0.12937574221358644</c:v>
                </c:pt>
                <c:pt idx="121">
                  <c:v>0.12919569047595289</c:v>
                </c:pt>
                <c:pt idx="122">
                  <c:v>0.11903441644335384</c:v>
                </c:pt>
                <c:pt idx="123">
                  <c:v>0.1125589700617583</c:v>
                </c:pt>
                <c:pt idx="124">
                  <c:v>0.10984706707869718</c:v>
                </c:pt>
                <c:pt idx="125">
                  <c:v>0.1082860344693664</c:v>
                </c:pt>
                <c:pt idx="126">
                  <c:v>0.10724773507849009</c:v>
                </c:pt>
                <c:pt idx="127">
                  <c:v>0.10649672518328213</c:v>
                </c:pt>
                <c:pt idx="128">
                  <c:v>0.10592279941239824</c:v>
                </c:pt>
                <c:pt idx="129">
                  <c:v>0.10546678848070548</c:v>
                </c:pt>
                <c:pt idx="130">
                  <c:v>0.10509379022699458</c:v>
                </c:pt>
                <c:pt idx="131">
                  <c:v>0.10478174910141007</c:v>
                </c:pt>
                <c:pt idx="132">
                  <c:v>0.10315478380658191</c:v>
                </c:pt>
                <c:pt idx="133">
                  <c:v>0.1024735177948581</c:v>
                </c:pt>
                <c:pt idx="134">
                  <c:v>0.10208138238391198</c:v>
                </c:pt>
                <c:pt idx="135">
                  <c:v>0.10182056381461366</c:v>
                </c:pt>
                <c:pt idx="136">
                  <c:v>0.1016319136771958</c:v>
                </c:pt>
                <c:pt idx="137">
                  <c:v>0.1014877471385579</c:v>
                </c:pt>
                <c:pt idx="138">
                  <c:v>0.10137320054102135</c:v>
                </c:pt>
                <c:pt idx="139">
                  <c:v>0.10127950639220684</c:v>
                </c:pt>
                <c:pt idx="140">
                  <c:v>0.10120112434944825</c:v>
                </c:pt>
              </c:numCache>
            </c:numRef>
          </c:xVal>
          <c:yVal>
            <c:numRef>
              <c:f>SWR_ELTz042!$B$14:$B$154</c:f>
              <c:numCache>
                <c:formatCode>General</c:formatCode>
                <c:ptCount val="141"/>
                <c:pt idx="0">
                  <c:v>9.8966999999999999E-2</c:v>
                </c:pt>
                <c:pt idx="1">
                  <c:v>0.197934</c:v>
                </c:pt>
                <c:pt idx="2">
                  <c:v>0.395868</c:v>
                </c:pt>
                <c:pt idx="3">
                  <c:v>0.49483500000000002</c:v>
                </c:pt>
                <c:pt idx="4">
                  <c:v>0.59380199999999994</c:v>
                </c:pt>
                <c:pt idx="5">
                  <c:v>0.791736</c:v>
                </c:pt>
                <c:pt idx="6">
                  <c:v>0.98967000000000005</c:v>
                </c:pt>
                <c:pt idx="7">
                  <c:v>1.0886370000000001</c:v>
                </c:pt>
                <c:pt idx="8">
                  <c:v>1.2865709999999999</c:v>
                </c:pt>
                <c:pt idx="9">
                  <c:v>1.484505</c:v>
                </c:pt>
                <c:pt idx="10">
                  <c:v>1.682439</c:v>
                </c:pt>
                <c:pt idx="11">
                  <c:v>1.8803730000000001</c:v>
                </c:pt>
                <c:pt idx="12">
                  <c:v>2.0783070000000001</c:v>
                </c:pt>
                <c:pt idx="13">
                  <c:v>2.2762410000000002</c:v>
                </c:pt>
                <c:pt idx="14">
                  <c:v>2.4741749999999998</c:v>
                </c:pt>
                <c:pt idx="15">
                  <c:v>2.6721089999999998</c:v>
                </c:pt>
                <c:pt idx="16">
                  <c:v>2.9690099999999999</c:v>
                </c:pt>
                <c:pt idx="17">
                  <c:v>3.9586800000000002</c:v>
                </c:pt>
                <c:pt idx="18">
                  <c:v>4.9483499999999996</c:v>
                </c:pt>
                <c:pt idx="19">
                  <c:v>5.9380199999999999</c:v>
                </c:pt>
                <c:pt idx="20">
                  <c:v>6.9276900000000001</c:v>
                </c:pt>
                <c:pt idx="21">
                  <c:v>7.9173600000000004</c:v>
                </c:pt>
                <c:pt idx="22">
                  <c:v>8.9070300000000007</c:v>
                </c:pt>
                <c:pt idx="23">
                  <c:v>9.8966999999999992</c:v>
                </c:pt>
                <c:pt idx="24">
                  <c:v>10.886369999999999</c:v>
                </c:pt>
                <c:pt idx="25">
                  <c:v>12.86571</c:v>
                </c:pt>
                <c:pt idx="26">
                  <c:v>14.845050000000001</c:v>
                </c:pt>
                <c:pt idx="27">
                  <c:v>16.824390000000001</c:v>
                </c:pt>
                <c:pt idx="28">
                  <c:v>19.793399999999998</c:v>
                </c:pt>
                <c:pt idx="29">
                  <c:v>22.762409999999999</c:v>
                </c:pt>
                <c:pt idx="30">
                  <c:v>25.73142</c:v>
                </c:pt>
                <c:pt idx="31">
                  <c:v>28.700430000000001</c:v>
                </c:pt>
                <c:pt idx="32">
                  <c:v>31.669440000000002</c:v>
                </c:pt>
                <c:pt idx="33">
                  <c:v>34.638449999999999</c:v>
                </c:pt>
                <c:pt idx="34">
                  <c:v>37.607460000000003</c:v>
                </c:pt>
                <c:pt idx="35">
                  <c:v>38.59713</c:v>
                </c:pt>
                <c:pt idx="36">
                  <c:v>39.586799999999997</c:v>
                </c:pt>
                <c:pt idx="37">
                  <c:v>49.483499999999999</c:v>
                </c:pt>
                <c:pt idx="38">
                  <c:v>59.380200000000002</c:v>
                </c:pt>
                <c:pt idx="39">
                  <c:v>69.276899999999998</c:v>
                </c:pt>
                <c:pt idx="40">
                  <c:v>84.121949999999998</c:v>
                </c:pt>
                <c:pt idx="41">
                  <c:v>89.070300000000003</c:v>
                </c:pt>
                <c:pt idx="42">
                  <c:v>94.018649999999994</c:v>
                </c:pt>
                <c:pt idx="43">
                  <c:v>98.966999999999999</c:v>
                </c:pt>
                <c:pt idx="44">
                  <c:v>103.91535</c:v>
                </c:pt>
                <c:pt idx="45">
                  <c:v>108.86369999999999</c:v>
                </c:pt>
                <c:pt idx="46">
                  <c:v>113.81205</c:v>
                </c:pt>
                <c:pt idx="47">
                  <c:v>118.7604</c:v>
                </c:pt>
                <c:pt idx="48">
                  <c:v>123.70874999999999</c:v>
                </c:pt>
                <c:pt idx="49">
                  <c:v>128.65709999999999</c:v>
                </c:pt>
                <c:pt idx="50">
                  <c:v>133.60544999999999</c:v>
                </c:pt>
                <c:pt idx="51">
                  <c:v>138.5538</c:v>
                </c:pt>
                <c:pt idx="52">
                  <c:v>143.50215</c:v>
                </c:pt>
                <c:pt idx="53">
                  <c:v>148.45050000000001</c:v>
                </c:pt>
                <c:pt idx="54">
                  <c:v>153.39885000000001</c:v>
                </c:pt>
                <c:pt idx="55">
                  <c:v>158.34719999999999</c:v>
                </c:pt>
                <c:pt idx="56">
                  <c:v>163.29554999999999</c:v>
                </c:pt>
                <c:pt idx="57">
                  <c:v>168.2439</c:v>
                </c:pt>
                <c:pt idx="58">
                  <c:v>173.19225</c:v>
                </c:pt>
                <c:pt idx="59">
                  <c:v>178.14060000000001</c:v>
                </c:pt>
                <c:pt idx="60">
                  <c:v>183.08895000000001</c:v>
                </c:pt>
                <c:pt idx="61">
                  <c:v>188.03729999999999</c:v>
                </c:pt>
                <c:pt idx="62">
                  <c:v>192.98564999999999</c:v>
                </c:pt>
                <c:pt idx="63">
                  <c:v>197.934</c:v>
                </c:pt>
                <c:pt idx="64">
                  <c:v>202.88235</c:v>
                </c:pt>
                <c:pt idx="65">
                  <c:v>207.83070000000001</c:v>
                </c:pt>
                <c:pt idx="66">
                  <c:v>212.77905000000001</c:v>
                </c:pt>
                <c:pt idx="67">
                  <c:v>217.72739999999999</c:v>
                </c:pt>
                <c:pt idx="68">
                  <c:v>222.67574999999999</c:v>
                </c:pt>
                <c:pt idx="69">
                  <c:v>227.6241</c:v>
                </c:pt>
                <c:pt idx="70">
                  <c:v>232.57245</c:v>
                </c:pt>
                <c:pt idx="71">
                  <c:v>237.52080000000001</c:v>
                </c:pt>
                <c:pt idx="72">
                  <c:v>242.46914999999998</c:v>
                </c:pt>
                <c:pt idx="73">
                  <c:v>247.41749999999999</c:v>
                </c:pt>
                <c:pt idx="74">
                  <c:v>252.36584999999999</c:v>
                </c:pt>
                <c:pt idx="75">
                  <c:v>257.31419999999997</c:v>
                </c:pt>
                <c:pt idx="76">
                  <c:v>262.26254999999998</c:v>
                </c:pt>
                <c:pt idx="77">
                  <c:v>267.21089999999998</c:v>
                </c:pt>
                <c:pt idx="78">
                  <c:v>272.15924999999999</c:v>
                </c:pt>
                <c:pt idx="79">
                  <c:v>277.10759999999999</c:v>
                </c:pt>
                <c:pt idx="80">
                  <c:v>282.05595</c:v>
                </c:pt>
                <c:pt idx="81">
                  <c:v>287.0043</c:v>
                </c:pt>
                <c:pt idx="82">
                  <c:v>291.95265000000001</c:v>
                </c:pt>
                <c:pt idx="83">
                  <c:v>296.90100000000001</c:v>
                </c:pt>
                <c:pt idx="84">
                  <c:v>301.84935000000002</c:v>
                </c:pt>
                <c:pt idx="85">
                  <c:v>306.79770000000002</c:v>
                </c:pt>
                <c:pt idx="86">
                  <c:v>311.74605000000003</c:v>
                </c:pt>
                <c:pt idx="87">
                  <c:v>316.69439999999997</c:v>
                </c:pt>
                <c:pt idx="88">
                  <c:v>321.64274999999998</c:v>
                </c:pt>
                <c:pt idx="89">
                  <c:v>326.59109999999998</c:v>
                </c:pt>
                <c:pt idx="90">
                  <c:v>331.53944999999999</c:v>
                </c:pt>
                <c:pt idx="91">
                  <c:v>336.48779999999999</c:v>
                </c:pt>
                <c:pt idx="92">
                  <c:v>341.43615</c:v>
                </c:pt>
                <c:pt idx="93">
                  <c:v>346.3845</c:v>
                </c:pt>
                <c:pt idx="94">
                  <c:v>351.33285000000001</c:v>
                </c:pt>
                <c:pt idx="95">
                  <c:v>356.28120000000001</c:v>
                </c:pt>
                <c:pt idx="96">
                  <c:v>361.22955000000002</c:v>
                </c:pt>
                <c:pt idx="97">
                  <c:v>366.17790000000002</c:v>
                </c:pt>
                <c:pt idx="98">
                  <c:v>371.12624999999997</c:v>
                </c:pt>
                <c:pt idx="99">
                  <c:v>376.07459999999998</c:v>
                </c:pt>
                <c:pt idx="100">
                  <c:v>381.02294999999998</c:v>
                </c:pt>
                <c:pt idx="101">
                  <c:v>385.97129999999999</c:v>
                </c:pt>
                <c:pt idx="102">
                  <c:v>390.91964999999999</c:v>
                </c:pt>
                <c:pt idx="103">
                  <c:v>395.86799999999999</c:v>
                </c:pt>
                <c:pt idx="104">
                  <c:v>400.81635</c:v>
                </c:pt>
                <c:pt idx="105">
                  <c:v>405.7647</c:v>
                </c:pt>
                <c:pt idx="106">
                  <c:v>410.71305000000001</c:v>
                </c:pt>
                <c:pt idx="107">
                  <c:v>415.66140000000001</c:v>
                </c:pt>
                <c:pt idx="108">
                  <c:v>420.60975000000002</c:v>
                </c:pt>
                <c:pt idx="109">
                  <c:v>425.55810000000002</c:v>
                </c:pt>
                <c:pt idx="110">
                  <c:v>430.50644999999997</c:v>
                </c:pt>
                <c:pt idx="111">
                  <c:v>435.45479999999998</c:v>
                </c:pt>
                <c:pt idx="112">
                  <c:v>440.40314999999998</c:v>
                </c:pt>
                <c:pt idx="113">
                  <c:v>445.35149999999999</c:v>
                </c:pt>
                <c:pt idx="114">
                  <c:v>450.29984999999999</c:v>
                </c:pt>
                <c:pt idx="115">
                  <c:v>455.2482</c:v>
                </c:pt>
                <c:pt idx="116">
                  <c:v>460.19655</c:v>
                </c:pt>
                <c:pt idx="117">
                  <c:v>465.14490000000001</c:v>
                </c:pt>
                <c:pt idx="118">
                  <c:v>470.09325000000001</c:v>
                </c:pt>
                <c:pt idx="119">
                  <c:v>475.04160000000002</c:v>
                </c:pt>
                <c:pt idx="120">
                  <c:v>479.98995000000002</c:v>
                </c:pt>
                <c:pt idx="121">
                  <c:v>484.93829999999997</c:v>
                </c:pt>
                <c:pt idx="122">
                  <c:v>989.67</c:v>
                </c:pt>
                <c:pt idx="123">
                  <c:v>1979.34</c:v>
                </c:pt>
                <c:pt idx="124">
                  <c:v>2969.0099999999998</c:v>
                </c:pt>
                <c:pt idx="125">
                  <c:v>3958.68</c:v>
                </c:pt>
                <c:pt idx="126">
                  <c:v>4948.3500000000004</c:v>
                </c:pt>
                <c:pt idx="127">
                  <c:v>5938.0199999999995</c:v>
                </c:pt>
                <c:pt idx="128">
                  <c:v>6927.69</c:v>
                </c:pt>
                <c:pt idx="129">
                  <c:v>7917.36</c:v>
                </c:pt>
                <c:pt idx="130">
                  <c:v>8907.0300000000007</c:v>
                </c:pt>
                <c:pt idx="131">
                  <c:v>9896.7000000000007</c:v>
                </c:pt>
                <c:pt idx="132">
                  <c:v>19793.400000000001</c:v>
                </c:pt>
                <c:pt idx="133">
                  <c:v>29690.1</c:v>
                </c:pt>
                <c:pt idx="134">
                  <c:v>39586.800000000003</c:v>
                </c:pt>
                <c:pt idx="135">
                  <c:v>49483.5</c:v>
                </c:pt>
                <c:pt idx="136">
                  <c:v>59380.2</c:v>
                </c:pt>
                <c:pt idx="137">
                  <c:v>69276.899999999994</c:v>
                </c:pt>
                <c:pt idx="138">
                  <c:v>79173.600000000006</c:v>
                </c:pt>
                <c:pt idx="139">
                  <c:v>89070.3</c:v>
                </c:pt>
                <c:pt idx="140">
                  <c:v>98967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E2-471B-BC84-91EFC412EA83}"/>
            </c:ext>
          </c:extLst>
        </c:ser>
        <c:ser>
          <c:idx val="2"/>
          <c:order val="1"/>
          <c:tx>
            <c:v>Wetting</c:v>
          </c:tx>
          <c:spPr>
            <a:ln w="25400">
              <a:solidFill>
                <a:srgbClr val="0000FF"/>
              </a:solidFill>
              <a:prstDash val="lgDash"/>
            </a:ln>
          </c:spPr>
          <c:marker>
            <c:symbol val="none"/>
          </c:marker>
          <c:xVal>
            <c:numRef>
              <c:f>SWR_ELTz042!$K$14:$K$147</c:f>
              <c:numCache>
                <c:formatCode>0.00E+00</c:formatCode>
                <c:ptCount val="134"/>
                <c:pt idx="0">
                  <c:v>0.45753275183020359</c:v>
                </c:pt>
                <c:pt idx="1">
                  <c:v>0.4536921045369493</c:v>
                </c:pt>
                <c:pt idx="2" formatCode="General">
                  <c:v>0.44445008225706906</c:v>
                </c:pt>
                <c:pt idx="3">
                  <c:v>0.43949925051475092</c:v>
                </c:pt>
                <c:pt idx="4" formatCode="General">
                  <c:v>0.43449131942607977</c:v>
                </c:pt>
                <c:pt idx="5" formatCode="General">
                  <c:v>0.42456913553387898</c:v>
                </c:pt>
                <c:pt idx="6" formatCode="General">
                  <c:v>0.41502179450911225</c:v>
                </c:pt>
                <c:pt idx="7" formatCode="General">
                  <c:v>0.41043864776607575</c:v>
                </c:pt>
                <c:pt idx="8" formatCode="General">
                  <c:v>0.40169367668386402</c:v>
                </c:pt>
                <c:pt idx="9" formatCode="General">
                  <c:v>0.39352080683572921</c:v>
                </c:pt>
                <c:pt idx="10" formatCode="General">
                  <c:v>0.38590440065879639</c:v>
                </c:pt>
                <c:pt idx="11" formatCode="General">
                  <c:v>0.37881229513893144</c:v>
                </c:pt>
                <c:pt idx="12" formatCode="General">
                  <c:v>0.37220565314487009</c:v>
                </c:pt>
                <c:pt idx="13" formatCode="General">
                  <c:v>0.36604419007933575</c:v>
                </c:pt>
                <c:pt idx="14" formatCode="General">
                  <c:v>0.36028886099694102</c:v>
                </c:pt>
                <c:pt idx="15" formatCode="General">
                  <c:v>0.35490314748380658</c:v>
                </c:pt>
                <c:pt idx="16" formatCode="General">
                  <c:v>0.3474452469635812</c:v>
                </c:pt>
                <c:pt idx="17" formatCode="General">
                  <c:v>0.32687910405084453</c:v>
                </c:pt>
                <c:pt idx="18" formatCode="General">
                  <c:v>0.31107435523055627</c:v>
                </c:pt>
                <c:pt idx="19" formatCode="General">
                  <c:v>0.29846896972005738</c:v>
                </c:pt>
                <c:pt idx="20" formatCode="General">
                  <c:v>0.28811818098981057</c:v>
                </c:pt>
                <c:pt idx="21" formatCode="General">
                  <c:v>0.27942112544046649</c:v>
                </c:pt>
                <c:pt idx="22" formatCode="General">
                  <c:v>0.27197762958539168</c:v>
                </c:pt>
                <c:pt idx="23" formatCode="General">
                  <c:v>0.26551044859080003</c:v>
                </c:pt>
                <c:pt idx="24" formatCode="General">
                  <c:v>0.24239221514588122</c:v>
                </c:pt>
                <c:pt idx="25" formatCode="General">
                  <c:v>0.22771499799710054</c:v>
                </c:pt>
                <c:pt idx="26" formatCode="General">
                  <c:v>0.21728928435450853</c:v>
                </c:pt>
                <c:pt idx="27" formatCode="General">
                  <c:v>0.20936536437978362</c:v>
                </c:pt>
                <c:pt idx="28" formatCode="General">
                  <c:v>0.20306411870125662</c:v>
                </c:pt>
                <c:pt idx="29" formatCode="General">
                  <c:v>0.19788813690129436</c:v>
                </c:pt>
                <c:pt idx="30" formatCode="General">
                  <c:v>0.18979433420640662</c:v>
                </c:pt>
                <c:pt idx="31" formatCode="General">
                  <c:v>0.18366846658359728</c:v>
                </c:pt>
                <c:pt idx="32" formatCode="General">
                  <c:v>0.178810151692885</c:v>
                </c:pt>
                <c:pt idx="33" formatCode="General">
                  <c:v>0.17482681591218996</c:v>
                </c:pt>
                <c:pt idx="34" formatCode="General">
                  <c:v>0.17147858067949071</c:v>
                </c:pt>
                <c:pt idx="35" formatCode="General">
                  <c:v>0.16999161854415251</c:v>
                </c:pt>
                <c:pt idx="36" formatCode="General">
                  <c:v>0.16860925589446296</c:v>
                </c:pt>
                <c:pt idx="37" formatCode="General">
                  <c:v>0.16731945555783567</c:v>
                </c:pt>
                <c:pt idx="38" formatCode="General">
                  <c:v>0.16611205436528753</c:v>
                </c:pt>
                <c:pt idx="39" formatCode="General">
                  <c:v>0.16497840200463804</c:v>
                </c:pt>
                <c:pt idx="40" formatCode="General">
                  <c:v>0.16391108171762597</c:v>
                </c:pt>
                <c:pt idx="41" formatCode="General">
                  <c:v>0.16290369174240621</c:v>
                </c:pt>
                <c:pt idx="42" formatCode="General">
                  <c:v>0.16195067244841033</c:v>
                </c:pt>
                <c:pt idx="43" formatCode="General">
                  <c:v>0.16104716826299947</c:v>
                </c:pt>
                <c:pt idx="44" formatCode="General">
                  <c:v>0.16018891638822852</c:v>
                </c:pt>
                <c:pt idx="45" formatCode="General">
                  <c:v>0.15937215636016216</c:v>
                </c:pt>
                <c:pt idx="46" formatCode="General">
                  <c:v>0.15859355597878599</c:v>
                </c:pt>
                <c:pt idx="47" formatCode="General">
                  <c:v>0.15785015021005408</c:v>
                </c:pt>
                <c:pt idx="48" formatCode="General">
                  <c:v>0.1571392904517761</c:v>
                </c:pt>
                <c:pt idx="49" formatCode="General">
                  <c:v>0.15645860214301036</c:v>
                </c:pt>
                <c:pt idx="50" formatCode="General">
                  <c:v>0.15580594913858453</c:v>
                </c:pt>
                <c:pt idx="51" formatCode="General">
                  <c:v>0.15517940360572374</c:v>
                </c:pt>
                <c:pt idx="52" formatCode="General">
                  <c:v>0.1545772204564938</c:v>
                </c:pt>
                <c:pt idx="53" formatCode="General">
                  <c:v>0.15399781552794037</c:v>
                </c:pt>
                <c:pt idx="54" formatCode="General">
                  <c:v>0.15343974687596817</c:v>
                </c:pt>
                <c:pt idx="55" formatCode="General">
                  <c:v>0.15290169866981868</c:v>
                </c:pt>
                <c:pt idx="56" formatCode="General">
                  <c:v>0.15238246726933813</c:v>
                </c:pt>
                <c:pt idx="57" formatCode="General">
                  <c:v>0.15188094914294606</c:v>
                </c:pt>
                <c:pt idx="58" formatCode="General">
                  <c:v>0.15139613034473026</c:v>
                </c:pt>
                <c:pt idx="59" formatCode="General">
                  <c:v>0.15092707731773755</c:v>
                </c:pt>
                <c:pt idx="60" formatCode="General">
                  <c:v>0.15047292882985502</c:v>
                </c:pt>
                <c:pt idx="61" formatCode="General">
                  <c:v>0.15003288888062866</c:v>
                </c:pt>
                <c:pt idx="62" formatCode="General">
                  <c:v>0.14960622044346655</c:v>
                </c:pt>
                <c:pt idx="63" formatCode="General">
                  <c:v>0.1491922399290897</c:v>
                </c:pt>
                <c:pt idx="64" formatCode="General">
                  <c:v>0.14879031227375011</c:v>
                </c:pt>
                <c:pt idx="65" formatCode="General">
                  <c:v>0.1483998465703539</c:v>
                </c:pt>
                <c:pt idx="66" formatCode="General">
                  <c:v>0.14802029217278334</c:v>
                </c:pt>
                <c:pt idx="67" formatCode="General">
                  <c:v>0.14765113521385625</c:v>
                </c:pt>
                <c:pt idx="68" formatCode="General">
                  <c:v>0.14729189548586469</c:v>
                </c:pt>
                <c:pt idx="69" formatCode="General">
                  <c:v>0.14694212363978443</c:v>
                </c:pt>
                <c:pt idx="70" formatCode="General">
                  <c:v>0.14660139866528177</c:v>
                </c:pt>
                <c:pt idx="71" formatCode="General">
                  <c:v>0.14626932561875425</c:v>
                </c:pt>
                <c:pt idx="72" formatCode="General">
                  <c:v>0.14594553357098361</c:v>
                </c:pt>
                <c:pt idx="73" formatCode="General">
                  <c:v>0.14562967374967939</c:v>
                </c:pt>
                <c:pt idx="74" formatCode="General">
                  <c:v>0.14532141785535357</c:v>
                </c:pt>
                <c:pt idx="75" formatCode="General">
                  <c:v>0.14502045653167842</c:v>
                </c:pt>
                <c:pt idx="76" formatCode="General">
                  <c:v>0.14472649797380979</c:v>
                </c:pt>
                <c:pt idx="77" formatCode="General">
                  <c:v>0.14443926666016718</c:v>
                </c:pt>
                <c:pt idx="78" formatCode="General">
                  <c:v>0.14415850219489729</c:v>
                </c:pt>
                <c:pt idx="79" formatCode="General">
                  <c:v>0.14388395824975231</c:v>
                </c:pt>
                <c:pt idx="80" formatCode="General">
                  <c:v>0.14361540159542024</c:v>
                </c:pt>
                <c:pt idx="81" formatCode="General">
                  <c:v>0.14335261121348006</c:v>
                </c:pt>
                <c:pt idx="82" formatCode="General">
                  <c:v>0.14309537748114837</c:v>
                </c:pt>
                <c:pt idx="83" formatCode="General">
                  <c:v>0.14284350142184996</c:v>
                </c:pt>
                <c:pt idx="84" formatCode="General">
                  <c:v>0.14259679401540465</c:v>
                </c:pt>
                <c:pt idx="85" formatCode="General">
                  <c:v>0.14235507556229055</c:v>
                </c:pt>
                <c:pt idx="86" formatCode="General">
                  <c:v>0.14211817509703006</c:v>
                </c:pt>
                <c:pt idx="87" formatCode="General">
                  <c:v>0.14188592984626258</c:v>
                </c:pt>
                <c:pt idx="88" formatCode="General">
                  <c:v>0.1416581847275247</c:v>
                </c:pt>
                <c:pt idx="89" formatCode="General">
                  <c:v>0.14143479188516289</c:v>
                </c:pt>
                <c:pt idx="90" formatCode="General">
                  <c:v>0.14121561026016144</c:v>
                </c:pt>
                <c:pt idx="91" formatCode="General">
                  <c:v>0.14100050519098684</c:v>
                </c:pt>
                <c:pt idx="92" formatCode="General">
                  <c:v>0.14078934804283261</c:v>
                </c:pt>
                <c:pt idx="93" formatCode="General">
                  <c:v>0.14058201586290023</c:v>
                </c:pt>
                <c:pt idx="94" formatCode="General">
                  <c:v>0.140378391059576</c:v>
                </c:pt>
                <c:pt idx="95" formatCode="General">
                  <c:v>0.14017836110356613</c:v>
                </c:pt>
                <c:pt idx="96" formatCode="General">
                  <c:v>0.13998181824922937</c:v>
                </c:pt>
                <c:pt idx="97" formatCode="General">
                  <c:v>0.13978865927451048</c:v>
                </c:pt>
                <c:pt idx="98" formatCode="General">
                  <c:v>0.13959878523801955</c:v>
                </c:pt>
                <c:pt idx="99" formatCode="General">
                  <c:v>0.13941210125193393</c:v>
                </c:pt>
                <c:pt idx="100" formatCode="General">
                  <c:v>0.1392285162695151</c:v>
                </c:pt>
                <c:pt idx="101" formatCode="General">
                  <c:v>0.13904794288613936</c:v>
                </c:pt>
                <c:pt idx="102" formatCode="General">
                  <c:v>0.13887029715283447</c:v>
                </c:pt>
                <c:pt idx="103" formatCode="General">
                  <c:v>0.13869549840140172</c:v>
                </c:pt>
                <c:pt idx="104" formatCode="General">
                  <c:v>0.13852346908027946</c:v>
                </c:pt>
                <c:pt idx="105" formatCode="General">
                  <c:v>0.13835413460037535</c:v>
                </c:pt>
                <c:pt idx="106" formatCode="General">
                  <c:v>0.13818742319015648</c:v>
                </c:pt>
                <c:pt idx="107" formatCode="General">
                  <c:v>0.1380232657593469</c:v>
                </c:pt>
                <c:pt idx="108" formatCode="General">
                  <c:v>0.13786159577063178</c:v>
                </c:pt>
                <c:pt idx="109" formatCode="General">
                  <c:v>0.1377023491188179</c:v>
                </c:pt>
                <c:pt idx="110" formatCode="General">
                  <c:v>0.13754546401694093</c:v>
                </c:pt>
                <c:pt idx="111" formatCode="General">
                  <c:v>0.13739088088885212</c:v>
                </c:pt>
                <c:pt idx="112" formatCode="General">
                  <c:v>0.13723854226785154</c:v>
                </c:pt>
                <c:pt idx="113" formatCode="General">
                  <c:v>0.1370883927009684</c:v>
                </c:pt>
                <c:pt idx="114" formatCode="General">
                  <c:v>0.1369403786585196</c:v>
                </c:pt>
                <c:pt idx="115" formatCode="General">
                  <c:v>0.12797053289165303</c:v>
                </c:pt>
                <c:pt idx="116" formatCode="General">
                  <c:v>0.12134555278394839</c:v>
                </c:pt>
                <c:pt idx="117" formatCode="General">
                  <c:v>0.11822359430512079</c:v>
                </c:pt>
                <c:pt idx="118" formatCode="General">
                  <c:v>0.11628954296072713</c:v>
                </c:pt>
                <c:pt idx="119" formatCode="General">
                  <c:v>0.11493188097561975</c:v>
                </c:pt>
                <c:pt idx="120" formatCode="General">
                  <c:v>0.11390702248241941</c:v>
                </c:pt>
                <c:pt idx="121" formatCode="General">
                  <c:v>0.11309559166847855</c:v>
                </c:pt>
                <c:pt idx="122" formatCode="General">
                  <c:v>0.11243106733436994</c:v>
                </c:pt>
                <c:pt idx="123" formatCode="General">
                  <c:v>0.11187296120063708</c:v>
                </c:pt>
                <c:pt idx="124" formatCode="General">
                  <c:v>0.11139498385451981</c:v>
                </c:pt>
                <c:pt idx="125" formatCode="General">
                  <c:v>0.10869585634485186</c:v>
                </c:pt>
                <c:pt idx="126" formatCode="General">
                  <c:v>0.10742398107568168</c:v>
                </c:pt>
                <c:pt idx="127" formatCode="General">
                  <c:v>0.10663606739978221</c:v>
                </c:pt>
                <c:pt idx="128" formatCode="General">
                  <c:v>0.10608297322191833</c:v>
                </c:pt>
                <c:pt idx="129" formatCode="General">
                  <c:v>0.10566546070732469</c:v>
                </c:pt>
                <c:pt idx="130" formatCode="General">
                  <c:v>0.10533489643145159</c:v>
                </c:pt>
                <c:pt idx="131" formatCode="General">
                  <c:v>0.10506418006860013</c:v>
                </c:pt>
                <c:pt idx="132" formatCode="General">
                  <c:v>0.10483681704720996</c:v>
                </c:pt>
                <c:pt idx="133" formatCode="General">
                  <c:v>0.10464209733777584</c:v>
                </c:pt>
              </c:numCache>
            </c:numRef>
          </c:xVal>
          <c:yVal>
            <c:numRef>
              <c:f>SWR_ELTz042!$J$14:$J$147</c:f>
              <c:numCache>
                <c:formatCode>General</c:formatCode>
                <c:ptCount val="134"/>
                <c:pt idx="0">
                  <c:v>9.8966999999999999E-2</c:v>
                </c:pt>
                <c:pt idx="1">
                  <c:v>0.197934</c:v>
                </c:pt>
                <c:pt idx="2">
                  <c:v>0.395868</c:v>
                </c:pt>
                <c:pt idx="3">
                  <c:v>0.49483500000000002</c:v>
                </c:pt>
                <c:pt idx="4">
                  <c:v>0.59380199999999994</c:v>
                </c:pt>
                <c:pt idx="5">
                  <c:v>0.791736</c:v>
                </c:pt>
                <c:pt idx="6">
                  <c:v>0.98967000000000005</c:v>
                </c:pt>
                <c:pt idx="7">
                  <c:v>1.0886370000000001</c:v>
                </c:pt>
                <c:pt idx="8">
                  <c:v>1.2865709999999999</c:v>
                </c:pt>
                <c:pt idx="9">
                  <c:v>1.484505</c:v>
                </c:pt>
                <c:pt idx="10">
                  <c:v>1.682439</c:v>
                </c:pt>
                <c:pt idx="11">
                  <c:v>1.8803730000000001</c:v>
                </c:pt>
                <c:pt idx="12">
                  <c:v>2.0783070000000001</c:v>
                </c:pt>
                <c:pt idx="13">
                  <c:v>2.2762410000000002</c:v>
                </c:pt>
                <c:pt idx="14">
                  <c:v>2.4741749999999998</c:v>
                </c:pt>
                <c:pt idx="15">
                  <c:v>2.6721089999999998</c:v>
                </c:pt>
                <c:pt idx="16">
                  <c:v>2.9690099999999999</c:v>
                </c:pt>
                <c:pt idx="17">
                  <c:v>3.9586800000000002</c:v>
                </c:pt>
                <c:pt idx="18">
                  <c:v>4.9483499999999996</c:v>
                </c:pt>
                <c:pt idx="19">
                  <c:v>5.9380199999999999</c:v>
                </c:pt>
                <c:pt idx="20">
                  <c:v>6.9276900000000001</c:v>
                </c:pt>
                <c:pt idx="21">
                  <c:v>7.9173600000000004</c:v>
                </c:pt>
                <c:pt idx="22">
                  <c:v>8.9070300000000007</c:v>
                </c:pt>
                <c:pt idx="23">
                  <c:v>9.8966999999999992</c:v>
                </c:pt>
                <c:pt idx="24">
                  <c:v>14.845050000000001</c:v>
                </c:pt>
                <c:pt idx="25">
                  <c:v>19.793399999999998</c:v>
                </c:pt>
                <c:pt idx="26">
                  <c:v>24.74175</c:v>
                </c:pt>
                <c:pt idx="27">
                  <c:v>29.690100000000001</c:v>
                </c:pt>
                <c:pt idx="28">
                  <c:v>34.638449999999999</c:v>
                </c:pt>
                <c:pt idx="29">
                  <c:v>39.586799999999997</c:v>
                </c:pt>
                <c:pt idx="30">
                  <c:v>49.483499999999999</c:v>
                </c:pt>
                <c:pt idx="31">
                  <c:v>59.380200000000002</c:v>
                </c:pt>
                <c:pt idx="32">
                  <c:v>69.276899999999998</c:v>
                </c:pt>
                <c:pt idx="33">
                  <c:v>79.173599999999993</c:v>
                </c:pt>
                <c:pt idx="34">
                  <c:v>89.070300000000003</c:v>
                </c:pt>
                <c:pt idx="35">
                  <c:v>94.018649999999994</c:v>
                </c:pt>
                <c:pt idx="36">
                  <c:v>98.966999999999999</c:v>
                </c:pt>
                <c:pt idx="37">
                  <c:v>103.91535</c:v>
                </c:pt>
                <c:pt idx="38">
                  <c:v>108.86369999999999</c:v>
                </c:pt>
                <c:pt idx="39">
                  <c:v>113.81205</c:v>
                </c:pt>
                <c:pt idx="40">
                  <c:v>118.7604</c:v>
                </c:pt>
                <c:pt idx="41">
                  <c:v>123.70874999999999</c:v>
                </c:pt>
                <c:pt idx="42">
                  <c:v>128.65709999999999</c:v>
                </c:pt>
                <c:pt idx="43">
                  <c:v>133.60544999999999</c:v>
                </c:pt>
                <c:pt idx="44">
                  <c:v>138.5538</c:v>
                </c:pt>
                <c:pt idx="45">
                  <c:v>143.50215</c:v>
                </c:pt>
                <c:pt idx="46">
                  <c:v>148.45050000000001</c:v>
                </c:pt>
                <c:pt idx="47">
                  <c:v>153.39885000000001</c:v>
                </c:pt>
                <c:pt idx="48">
                  <c:v>158.34719999999999</c:v>
                </c:pt>
                <c:pt idx="49">
                  <c:v>163.29554999999999</c:v>
                </c:pt>
                <c:pt idx="50">
                  <c:v>168.2439</c:v>
                </c:pt>
                <c:pt idx="51">
                  <c:v>173.19225</c:v>
                </c:pt>
                <c:pt idx="52">
                  <c:v>178.14060000000001</c:v>
                </c:pt>
                <c:pt idx="53">
                  <c:v>183.08895000000001</c:v>
                </c:pt>
                <c:pt idx="54">
                  <c:v>188.03729999999999</c:v>
                </c:pt>
                <c:pt idx="55">
                  <c:v>192.98564999999999</c:v>
                </c:pt>
                <c:pt idx="56">
                  <c:v>197.934</c:v>
                </c:pt>
                <c:pt idx="57">
                  <c:v>202.88235</c:v>
                </c:pt>
                <c:pt idx="58">
                  <c:v>207.83070000000001</c:v>
                </c:pt>
                <c:pt idx="59">
                  <c:v>212.77905000000001</c:v>
                </c:pt>
                <c:pt idx="60">
                  <c:v>217.72739999999999</c:v>
                </c:pt>
                <c:pt idx="61">
                  <c:v>222.67574999999999</c:v>
                </c:pt>
                <c:pt idx="62">
                  <c:v>227.6241</c:v>
                </c:pt>
                <c:pt idx="63">
                  <c:v>232.57245</c:v>
                </c:pt>
                <c:pt idx="64">
                  <c:v>237.52080000000001</c:v>
                </c:pt>
                <c:pt idx="65">
                  <c:v>242.46914999999998</c:v>
                </c:pt>
                <c:pt idx="66">
                  <c:v>247.41749999999999</c:v>
                </c:pt>
                <c:pt idx="67">
                  <c:v>252.36584999999999</c:v>
                </c:pt>
                <c:pt idx="68">
                  <c:v>257.31419999999997</c:v>
                </c:pt>
                <c:pt idx="69">
                  <c:v>262.26254999999998</c:v>
                </c:pt>
                <c:pt idx="70">
                  <c:v>267.21089999999998</c:v>
                </c:pt>
                <c:pt idx="71">
                  <c:v>272.15924999999999</c:v>
                </c:pt>
                <c:pt idx="72">
                  <c:v>277.10759999999999</c:v>
                </c:pt>
                <c:pt idx="73">
                  <c:v>282.05595</c:v>
                </c:pt>
                <c:pt idx="74">
                  <c:v>287.0043</c:v>
                </c:pt>
                <c:pt idx="75">
                  <c:v>291.95265000000001</c:v>
                </c:pt>
                <c:pt idx="76">
                  <c:v>296.90100000000001</c:v>
                </c:pt>
                <c:pt idx="77">
                  <c:v>301.84935000000002</c:v>
                </c:pt>
                <c:pt idx="78">
                  <c:v>306.79770000000002</c:v>
                </c:pt>
                <c:pt idx="79">
                  <c:v>311.74605000000003</c:v>
                </c:pt>
                <c:pt idx="80">
                  <c:v>316.69439999999997</c:v>
                </c:pt>
                <c:pt idx="81">
                  <c:v>321.64274999999998</c:v>
                </c:pt>
                <c:pt idx="82">
                  <c:v>326.59109999999998</c:v>
                </c:pt>
                <c:pt idx="83">
                  <c:v>331.53944999999999</c:v>
                </c:pt>
                <c:pt idx="84">
                  <c:v>336.48779999999999</c:v>
                </c:pt>
                <c:pt idx="85">
                  <c:v>341.43615</c:v>
                </c:pt>
                <c:pt idx="86">
                  <c:v>346.3845</c:v>
                </c:pt>
                <c:pt idx="87">
                  <c:v>351.33285000000001</c:v>
                </c:pt>
                <c:pt idx="88">
                  <c:v>356.28120000000001</c:v>
                </c:pt>
                <c:pt idx="89">
                  <c:v>361.22955000000002</c:v>
                </c:pt>
                <c:pt idx="90">
                  <c:v>366.17790000000002</c:v>
                </c:pt>
                <c:pt idx="91">
                  <c:v>371.12624999999997</c:v>
                </c:pt>
                <c:pt idx="92">
                  <c:v>376.07459999999998</c:v>
                </c:pt>
                <c:pt idx="93">
                  <c:v>381.02294999999998</c:v>
                </c:pt>
                <c:pt idx="94">
                  <c:v>385.97129999999999</c:v>
                </c:pt>
                <c:pt idx="95">
                  <c:v>390.91964999999999</c:v>
                </c:pt>
                <c:pt idx="96">
                  <c:v>395.86799999999999</c:v>
                </c:pt>
                <c:pt idx="97">
                  <c:v>400.81635</c:v>
                </c:pt>
                <c:pt idx="98">
                  <c:v>405.7647</c:v>
                </c:pt>
                <c:pt idx="99">
                  <c:v>410.71305000000001</c:v>
                </c:pt>
                <c:pt idx="100">
                  <c:v>415.66140000000001</c:v>
                </c:pt>
                <c:pt idx="101">
                  <c:v>420.60975000000002</c:v>
                </c:pt>
                <c:pt idx="102">
                  <c:v>425.55810000000002</c:v>
                </c:pt>
                <c:pt idx="103">
                  <c:v>430.50644999999997</c:v>
                </c:pt>
                <c:pt idx="104">
                  <c:v>435.45479999999998</c:v>
                </c:pt>
                <c:pt idx="105">
                  <c:v>440.40314999999998</c:v>
                </c:pt>
                <c:pt idx="106">
                  <c:v>445.35149999999999</c:v>
                </c:pt>
                <c:pt idx="107">
                  <c:v>450.29984999999999</c:v>
                </c:pt>
                <c:pt idx="108">
                  <c:v>455.2482</c:v>
                </c:pt>
                <c:pt idx="109">
                  <c:v>460.19655</c:v>
                </c:pt>
                <c:pt idx="110">
                  <c:v>465.14490000000001</c:v>
                </c:pt>
                <c:pt idx="111">
                  <c:v>470.09325000000001</c:v>
                </c:pt>
                <c:pt idx="112">
                  <c:v>475.04160000000002</c:v>
                </c:pt>
                <c:pt idx="113">
                  <c:v>479.98995000000002</c:v>
                </c:pt>
                <c:pt idx="114">
                  <c:v>484.93829999999997</c:v>
                </c:pt>
                <c:pt idx="115">
                  <c:v>989.67</c:v>
                </c:pt>
                <c:pt idx="116">
                  <c:v>1979.34</c:v>
                </c:pt>
                <c:pt idx="117">
                  <c:v>2969.0099999999998</c:v>
                </c:pt>
                <c:pt idx="118">
                  <c:v>3958.68</c:v>
                </c:pt>
                <c:pt idx="119">
                  <c:v>4948.3500000000004</c:v>
                </c:pt>
                <c:pt idx="120">
                  <c:v>5938.0199999999995</c:v>
                </c:pt>
                <c:pt idx="121">
                  <c:v>6927.69</c:v>
                </c:pt>
                <c:pt idx="122">
                  <c:v>7917.36</c:v>
                </c:pt>
                <c:pt idx="123">
                  <c:v>8907.0300000000007</c:v>
                </c:pt>
                <c:pt idx="124">
                  <c:v>9896.7000000000007</c:v>
                </c:pt>
                <c:pt idx="125">
                  <c:v>19793.400000000001</c:v>
                </c:pt>
                <c:pt idx="126">
                  <c:v>29690.1</c:v>
                </c:pt>
                <c:pt idx="127">
                  <c:v>39586.800000000003</c:v>
                </c:pt>
                <c:pt idx="128">
                  <c:v>49483.5</c:v>
                </c:pt>
                <c:pt idx="129">
                  <c:v>59380.2</c:v>
                </c:pt>
                <c:pt idx="130">
                  <c:v>69276.899999999994</c:v>
                </c:pt>
                <c:pt idx="131">
                  <c:v>79173.600000000006</c:v>
                </c:pt>
                <c:pt idx="132">
                  <c:v>89070.3</c:v>
                </c:pt>
                <c:pt idx="133">
                  <c:v>98967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E2-471B-BC84-91EFC412E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412712"/>
        <c:axId val="1"/>
      </c:scatterChart>
      <c:scatterChart>
        <c:scatterStyle val="lineMarker"/>
        <c:varyColors val="0"/>
        <c:ser>
          <c:idx val="3"/>
          <c:order val="2"/>
          <c:tx>
            <c:v>k drying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SWR_ELTz042!$C$14:$C$154</c:f>
              <c:numCache>
                <c:formatCode>General</c:formatCode>
                <c:ptCount val="141"/>
                <c:pt idx="0">
                  <c:v>0.49979942174483805</c:v>
                </c:pt>
                <c:pt idx="1">
                  <c:v>0.49939309321313863</c:v>
                </c:pt>
                <c:pt idx="2">
                  <c:v>0.49817052307356957</c:v>
                </c:pt>
                <c:pt idx="3">
                  <c:v>0.49739487828120155</c:v>
                </c:pt>
                <c:pt idx="4">
                  <c:v>0.49652645857039057</c:v>
                </c:pt>
                <c:pt idx="5">
                  <c:v>0.4945464865971263</c:v>
                </c:pt>
                <c:pt idx="6">
                  <c:v>0.49228845369658913</c:v>
                </c:pt>
                <c:pt idx="7">
                  <c:v>0.49106946790086436</c:v>
                </c:pt>
                <c:pt idx="8">
                  <c:v>0.48847551653788313</c:v>
                </c:pt>
                <c:pt idx="9">
                  <c:v>0.48570120104985559</c:v>
                </c:pt>
                <c:pt idx="10">
                  <c:v>0.48277568585126329</c:v>
                </c:pt>
                <c:pt idx="11">
                  <c:v>0.47972446919466993</c:v>
                </c:pt>
                <c:pt idx="12">
                  <c:v>0.47657002367675994</c:v>
                </c:pt>
                <c:pt idx="13">
                  <c:v>0.47333223648868172</c:v>
                </c:pt>
                <c:pt idx="14">
                  <c:v>0.47002873522413313</c:v>
                </c:pt>
                <c:pt idx="15">
                  <c:v>0.46667514441276303</c:v>
                </c:pt>
                <c:pt idx="16">
                  <c:v>0.46158065690064354</c:v>
                </c:pt>
                <c:pt idx="17">
                  <c:v>0.44447136806752197</c:v>
                </c:pt>
                <c:pt idx="18">
                  <c:v>0.4278426353524637</c:v>
                </c:pt>
                <c:pt idx="19">
                  <c:v>0.412180334510725</c:v>
                </c:pt>
                <c:pt idx="20">
                  <c:v>0.39767332151571111</c:v>
                </c:pt>
                <c:pt idx="21">
                  <c:v>0.38435134096495194</c:v>
                </c:pt>
                <c:pt idx="22">
                  <c:v>0.37216458106806283</c:v>
                </c:pt>
                <c:pt idx="23">
                  <c:v>0.36102779411486563</c:v>
                </c:pt>
                <c:pt idx="24">
                  <c:v>0.35084388610136674</c:v>
                </c:pt>
                <c:pt idx="25">
                  <c:v>0.33295315166231182</c:v>
                </c:pt>
                <c:pt idx="26">
                  <c:v>0.31780112886574396</c:v>
                </c:pt>
                <c:pt idx="27">
                  <c:v>0.30483121547760728</c:v>
                </c:pt>
                <c:pt idx="28">
                  <c:v>0.28855140688272318</c:v>
                </c:pt>
                <c:pt idx="29">
                  <c:v>0.27517144959768758</c:v>
                </c:pt>
                <c:pt idx="30">
                  <c:v>0.26396696131245356</c:v>
                </c:pt>
                <c:pt idx="31">
                  <c:v>0.2544331487237268</c:v>
                </c:pt>
                <c:pt idx="32">
                  <c:v>0.24620962048357373</c:v>
                </c:pt>
                <c:pt idx="33">
                  <c:v>0.23903297182949035</c:v>
                </c:pt>
                <c:pt idx="34">
                  <c:v>0.23270648456979309</c:v>
                </c:pt>
                <c:pt idx="35">
                  <c:v>0.23075961644527437</c:v>
                </c:pt>
                <c:pt idx="36">
                  <c:v>0.22888566159347823</c:v>
                </c:pt>
                <c:pt idx="37">
                  <c:v>0.21336064573561708</c:v>
                </c:pt>
                <c:pt idx="38">
                  <c:v>0.20195013147463556</c:v>
                </c:pt>
                <c:pt idx="39">
                  <c:v>0.19314337783293939</c:v>
                </c:pt>
                <c:pt idx="40">
                  <c:v>0.18307195490652928</c:v>
                </c:pt>
                <c:pt idx="41">
                  <c:v>0.18031112587830767</c:v>
                </c:pt>
                <c:pt idx="42">
                  <c:v>0.17778103427639214</c:v>
                </c:pt>
                <c:pt idx="43">
                  <c:v>0.17545200990621757</c:v>
                </c:pt>
                <c:pt idx="44">
                  <c:v>0.1732994006909494</c:v>
                </c:pt>
                <c:pt idx="45">
                  <c:v>0.1713025396329953</c:v>
                </c:pt>
                <c:pt idx="46">
                  <c:v>0.16944395899481179</c:v>
                </c:pt>
                <c:pt idx="47">
                  <c:v>0.16770878497120362</c:v>
                </c:pt>
                <c:pt idx="48">
                  <c:v>0.16608426601147475</c:v>
                </c:pt>
                <c:pt idx="49">
                  <c:v>0.16455940139429176</c:v>
                </c:pt>
                <c:pt idx="50">
                  <c:v>0.16312464590192821</c:v>
                </c:pt>
                <c:pt idx="51">
                  <c:v>0.16177167289523467</c:v>
                </c:pt>
                <c:pt idx="52">
                  <c:v>0.16049318266249171</c:v>
                </c:pt>
                <c:pt idx="53">
                  <c:v>0.15928274619644872</c:v>
                </c:pt>
                <c:pt idx="54">
                  <c:v>0.15813467693763586</c:v>
                </c:pt>
                <c:pt idx="55">
                  <c:v>0.15704392477366239</c:v>
                </c:pt>
                <c:pt idx="56">
                  <c:v>0.15600598788501044</c:v>
                </c:pt>
                <c:pt idx="57">
                  <c:v>0.1550168390034328</c:v>
                </c:pt>
                <c:pt idx="58">
                  <c:v>0.1540728633875616</c:v>
                </c:pt>
                <c:pt idx="59">
                  <c:v>0.15317080638423031</c:v>
                </c:pt>
                <c:pt idx="60">
                  <c:v>0.15230772887811125</c:v>
                </c:pt>
                <c:pt idx="61">
                  <c:v>0.15148096926902538</c:v>
                </c:pt>
                <c:pt idx="62">
                  <c:v>0.15068811087942199</c:v>
                </c:pt>
                <c:pt idx="63">
                  <c:v>0.14992695390155567</c:v>
                </c:pt>
                <c:pt idx="64">
                  <c:v>0.14919549115782749</c:v>
                </c:pt>
                <c:pt idx="65">
                  <c:v>0.14849188707837879</c:v>
                </c:pt>
                <c:pt idx="66">
                  <c:v>0.14781445940470489</c:v>
                </c:pt>
                <c:pt idx="67">
                  <c:v>0.14716166321241142</c:v>
                </c:pt>
                <c:pt idx="68">
                  <c:v>0.14653207691457307</c:v>
                </c:pt>
                <c:pt idx="69">
                  <c:v>0.14592438996279283</c:v>
                </c:pt>
                <c:pt idx="70">
                  <c:v>0.1453373920085754</c:v>
                </c:pt>
                <c:pt idx="71">
                  <c:v>0.14476996332503533</c:v>
                </c:pt>
                <c:pt idx="72">
                  <c:v>0.14422106631983583</c:v>
                </c:pt>
                <c:pt idx="73">
                  <c:v>0.1436897379958457</c:v>
                </c:pt>
                <c:pt idx="74">
                  <c:v>0.14317508323729911</c:v>
                </c:pt>
                <c:pt idx="75">
                  <c:v>0.14267626881703391</c:v>
                </c:pt>
                <c:pt idx="76">
                  <c:v>0.14219251803530089</c:v>
                </c:pt>
                <c:pt idx="77">
                  <c:v>0.14172310591318849</c:v>
                </c:pt>
                <c:pt idx="78">
                  <c:v>0.14126735487430297</c:v>
                </c:pt>
                <c:pt idx="79">
                  <c:v>0.140824630857321</c:v>
                </c:pt>
                <c:pt idx="80">
                  <c:v>0.14039433980965765</c:v>
                </c:pt>
                <c:pt idx="81">
                  <c:v>0.13997592451899199</c:v>
                </c:pt>
                <c:pt idx="82">
                  <c:v>0.13956886174494942</c:v>
                </c:pt>
                <c:pt idx="83">
                  <c:v>0.1391726596180006</c:v>
                </c:pt>
                <c:pt idx="84">
                  <c:v>0.13878685527673032</c:v>
                </c:pt>
                <c:pt idx="85">
                  <c:v>0.13841101271815609</c:v>
                </c:pt>
                <c:pt idx="86">
                  <c:v>0.13804472083882346</c:v>
                </c:pt>
                <c:pt idx="87">
                  <c:v>0.13768759164704253</c:v>
                </c:pt>
                <c:pt idx="88">
                  <c:v>0.1373392586289226</c:v>
                </c:pt>
                <c:pt idx="89">
                  <c:v>0.1369993752528518</c:v>
                </c:pt>
                <c:pt idx="90">
                  <c:v>0.13666761359880911</c:v>
                </c:pt>
                <c:pt idx="91">
                  <c:v>0.13634366310041199</c:v>
                </c:pt>
                <c:pt idx="92">
                  <c:v>0.13602722938893463</c:v>
                </c:pt>
                <c:pt idx="93">
                  <c:v>0.13571803322969681</c:v>
                </c:pt>
                <c:pt idx="94">
                  <c:v>0.13541580954224955</c:v>
                </c:pt>
                <c:pt idx="95">
                  <c:v>0.1351203064966878</c:v>
                </c:pt>
                <c:pt idx="96">
                  <c:v>0.13483128467921635</c:v>
                </c:pt>
                <c:pt idx="97">
                  <c:v>0.13454851632080086</c:v>
                </c:pt>
                <c:pt idx="98">
                  <c:v>0.13427178458335948</c:v>
                </c:pt>
                <c:pt idx="99">
                  <c:v>0.13400088289850404</c:v>
                </c:pt>
                <c:pt idx="100">
                  <c:v>0.13373561435433232</c:v>
                </c:pt>
                <c:pt idx="101">
                  <c:v>0.13347579112620994</c:v>
                </c:pt>
                <c:pt idx="102">
                  <c:v>0.13322123394787033</c:v>
                </c:pt>
                <c:pt idx="103">
                  <c:v>0.13297177161951099</c:v>
                </c:pt>
                <c:pt idx="104">
                  <c:v>0.13272724054987339</c:v>
                </c:pt>
                <c:pt idx="105">
                  <c:v>0.13248748432957513</c:v>
                </c:pt>
                <c:pt idx="106">
                  <c:v>0.13225235333321045</c:v>
                </c:pt>
                <c:pt idx="107">
                  <c:v>0.13202170434796157</c:v>
                </c:pt>
                <c:pt idx="108">
                  <c:v>0.13179540022666336</c:v>
                </c:pt>
                <c:pt idx="109">
                  <c:v>0.13157330956344718</c:v>
                </c:pt>
                <c:pt idx="110">
                  <c:v>0.13135530639025145</c:v>
                </c:pt>
                <c:pt idx="111">
                  <c:v>0.1311412698926358</c:v>
                </c:pt>
                <c:pt idx="112">
                  <c:v>0.13093108414346788</c:v>
                </c:pt>
                <c:pt idx="113">
                  <c:v>0.1307246378531734</c:v>
                </c:pt>
                <c:pt idx="114">
                  <c:v>0.1305218241353488</c:v>
                </c:pt>
                <c:pt idx="115">
                  <c:v>0.13032254028663517</c:v>
                </c:pt>
                <c:pt idx="116">
                  <c:v>0.13012668757984225</c:v>
                </c:pt>
                <c:pt idx="117">
                  <c:v>0.12993417106939173</c:v>
                </c:pt>
                <c:pt idx="118">
                  <c:v>0.1297448994082262</c:v>
                </c:pt>
                <c:pt idx="119">
                  <c:v>0.12955878467539422</c:v>
                </c:pt>
                <c:pt idx="120">
                  <c:v>0.12937574221358644</c:v>
                </c:pt>
                <c:pt idx="121">
                  <c:v>0.12919569047595289</c:v>
                </c:pt>
                <c:pt idx="122">
                  <c:v>0.11903441644335384</c:v>
                </c:pt>
                <c:pt idx="123">
                  <c:v>0.1125589700617583</c:v>
                </c:pt>
                <c:pt idx="124">
                  <c:v>0.10984706707869718</c:v>
                </c:pt>
                <c:pt idx="125">
                  <c:v>0.1082860344693664</c:v>
                </c:pt>
                <c:pt idx="126">
                  <c:v>0.10724773507849009</c:v>
                </c:pt>
                <c:pt idx="127">
                  <c:v>0.10649672518328213</c:v>
                </c:pt>
                <c:pt idx="128">
                  <c:v>0.10592279941239824</c:v>
                </c:pt>
                <c:pt idx="129">
                  <c:v>0.10546678848070548</c:v>
                </c:pt>
                <c:pt idx="130">
                  <c:v>0.10509379022699458</c:v>
                </c:pt>
                <c:pt idx="131">
                  <c:v>0.10478174910141007</c:v>
                </c:pt>
                <c:pt idx="132">
                  <c:v>0.10315478380658191</c:v>
                </c:pt>
                <c:pt idx="133">
                  <c:v>0.1024735177948581</c:v>
                </c:pt>
                <c:pt idx="134">
                  <c:v>0.10208138238391198</c:v>
                </c:pt>
                <c:pt idx="135">
                  <c:v>0.10182056381461366</c:v>
                </c:pt>
                <c:pt idx="136">
                  <c:v>0.1016319136771958</c:v>
                </c:pt>
                <c:pt idx="137">
                  <c:v>0.1014877471385579</c:v>
                </c:pt>
                <c:pt idx="138">
                  <c:v>0.10137320054102135</c:v>
                </c:pt>
                <c:pt idx="139">
                  <c:v>0.10127950639220684</c:v>
                </c:pt>
                <c:pt idx="140">
                  <c:v>0.10120112434944825</c:v>
                </c:pt>
              </c:numCache>
            </c:numRef>
          </c:xVal>
          <c:yVal>
            <c:numRef>
              <c:f>SWR_ELTz042!$E$14:$E$154</c:f>
              <c:numCache>
                <c:formatCode>General</c:formatCode>
                <c:ptCount val="141"/>
                <c:pt idx="0">
                  <c:v>3.0140257472001533E-5</c:v>
                </c:pt>
                <c:pt idx="1">
                  <c:v>2.7364783670963078E-5</c:v>
                </c:pt>
                <c:pt idx="2">
                  <c:v>2.3424637825292634E-5</c:v>
                </c:pt>
                <c:pt idx="3">
                  <c:v>2.1866372191399222E-5</c:v>
                </c:pt>
                <c:pt idx="4">
                  <c:v>2.0483889576445669E-5</c:v>
                </c:pt>
                <c:pt idx="5">
                  <c:v>1.8109399349729818E-5</c:v>
                </c:pt>
                <c:pt idx="6">
                  <c:v>1.6121748306011675E-5</c:v>
                </c:pt>
                <c:pt idx="7">
                  <c:v>1.524082113973571E-5</c:v>
                </c:pt>
                <c:pt idx="8">
                  <c:v>1.366269056154684E-5</c:v>
                </c:pt>
                <c:pt idx="9">
                  <c:v>1.2289697676518265E-5</c:v>
                </c:pt>
                <c:pt idx="10">
                  <c:v>1.1085949747693065E-5</c:v>
                </c:pt>
                <c:pt idx="11">
                  <c:v>1.0024496137847503E-5</c:v>
                </c:pt>
                <c:pt idx="12">
                  <c:v>9.0843113946855682E-6</c:v>
                </c:pt>
                <c:pt idx="13">
                  <c:v>8.2485200625221061E-6</c:v>
                </c:pt>
                <c:pt idx="14">
                  <c:v>7.5032843197464785E-6</c:v>
                </c:pt>
                <c:pt idx="15">
                  <c:v>6.8370700203424929E-6</c:v>
                </c:pt>
                <c:pt idx="16">
                  <c:v>5.9650161028716069E-6</c:v>
                </c:pt>
                <c:pt idx="17">
                  <c:v>3.8768185883736186E-6</c:v>
                </c:pt>
                <c:pt idx="18">
                  <c:v>2.6047892418172808E-6</c:v>
                </c:pt>
                <c:pt idx="19">
                  <c:v>1.8030129435647539E-6</c:v>
                </c:pt>
                <c:pt idx="20">
                  <c:v>1.2819404652603672E-6</c:v>
                </c:pt>
                <c:pt idx="21">
                  <c:v>9.3367991530254772E-7</c:v>
                </c:pt>
                <c:pt idx="22">
                  <c:v>6.9487463297343853E-7</c:v>
                </c:pt>
                <c:pt idx="23">
                  <c:v>5.2724874054551515E-7</c:v>
                </c:pt>
                <c:pt idx="24">
                  <c:v>4.0705584366944598E-7</c:v>
                </c:pt>
                <c:pt idx="25">
                  <c:v>2.5382379892414994E-7</c:v>
                </c:pt>
                <c:pt idx="26">
                  <c:v>1.6650910544903732E-7</c:v>
                </c:pt>
                <c:pt idx="27">
                  <c:v>1.1387781841599813E-7</c:v>
                </c:pt>
                <c:pt idx="28">
                  <c:v>6.8611689740309485E-8</c:v>
                </c:pt>
                <c:pt idx="29">
                  <c:v>4.3926762680819232E-8</c:v>
                </c:pt>
                <c:pt idx="30">
                  <c:v>2.9512364171990387E-8</c:v>
                </c:pt>
                <c:pt idx="31">
                  <c:v>2.0618817395666691E-8</c:v>
                </c:pt>
                <c:pt idx="32">
                  <c:v>1.4878112917021968E-8</c:v>
                </c:pt>
                <c:pt idx="33">
                  <c:v>1.1030416320035126E-8</c:v>
                </c:pt>
                <c:pt idx="34">
                  <c:v>8.3681484311391383E-9</c:v>
                </c:pt>
                <c:pt idx="35">
                  <c:v>7.6667568301399753E-9</c:v>
                </c:pt>
                <c:pt idx="36">
                  <c:v>7.0388503420888997E-9</c:v>
                </c:pt>
                <c:pt idx="37">
                  <c:v>3.2989164169494081E-9</c:v>
                </c:pt>
                <c:pt idx="38">
                  <c:v>1.7669725491274764E-9</c:v>
                </c:pt>
                <c:pt idx="39">
                  <c:v>1.0394626480252519E-9</c:v>
                </c:pt>
                <c:pt idx="40">
                  <c:v>5.3139934505605009E-10</c:v>
                </c:pt>
                <c:pt idx="41">
                  <c:v>4.3595063285741296E-10</c:v>
                </c:pt>
                <c:pt idx="42">
                  <c:v>3.6143663132904968E-10</c:v>
                </c:pt>
                <c:pt idx="43">
                  <c:v>3.025132829298133E-10</c:v>
                </c:pt>
                <c:pt idx="44">
                  <c:v>2.553754513773267E-10</c:v>
                </c:pt>
                <c:pt idx="45">
                  <c:v>2.1726778220642891E-10</c:v>
                </c:pt>
                <c:pt idx="46">
                  <c:v>1.8616444276358865E-10</c:v>
                </c:pt>
                <c:pt idx="47">
                  <c:v>1.6055517122844766E-10</c:v>
                </c:pt>
                <c:pt idx="48">
                  <c:v>1.3929970646037368E-10</c:v>
                </c:pt>
                <c:pt idx="49">
                  <c:v>1.2152707492521389E-10</c:v>
                </c:pt>
                <c:pt idx="50">
                  <c:v>1.0656483680235012E-10</c:v>
                </c:pt>
                <c:pt idx="51">
                  <c:v>9.3888673974273024E-11</c:v>
                </c:pt>
                <c:pt idx="52">
                  <c:v>8.3086001327342749E-11</c:v>
                </c:pt>
                <c:pt idx="53">
                  <c:v>7.3829382169610461E-11</c:v>
                </c:pt>
                <c:pt idx="54">
                  <c:v>6.5856887812528257E-11</c:v>
                </c:pt>
                <c:pt idx="55">
                  <c:v>5.8957435524090865E-11</c:v>
                </c:pt>
                <c:pt idx="56">
                  <c:v>5.295973603364563E-11</c:v>
                </c:pt>
                <c:pt idx="57">
                  <c:v>4.7723885856695501E-11</c:v>
                </c:pt>
                <c:pt idx="58">
                  <c:v>4.3134916772554812E-11</c:v>
                </c:pt>
                <c:pt idx="59">
                  <c:v>3.9097807058679456E-11</c:v>
                </c:pt>
                <c:pt idx="60">
                  <c:v>3.5533594027723475E-11</c:v>
                </c:pt>
                <c:pt idx="61">
                  <c:v>3.2376323130792673E-11</c:v>
                </c:pt>
                <c:pt idx="62">
                  <c:v>2.957063746603949E-11</c:v>
                </c:pt>
                <c:pt idx="63">
                  <c:v>2.706986112752027E-11</c:v>
                </c:pt>
                <c:pt idx="64">
                  <c:v>2.4834466018622397E-11</c:v>
                </c:pt>
                <c:pt idx="65">
                  <c:v>2.2830838385114733E-11</c:v>
                </c:pt>
                <c:pt idx="66">
                  <c:v>2.1030281076442224E-11</c:v>
                </c:pt>
                <c:pt idx="67">
                  <c:v>1.9408202308084211E-11</c:v>
                </c:pt>
                <c:pt idx="68">
                  <c:v>1.7943452812186682E-11</c:v>
                </c:pt>
                <c:pt idx="69">
                  <c:v>1.6617781688573071E-11</c:v>
                </c:pt>
                <c:pt idx="70">
                  <c:v>1.5415387695828835E-11</c:v>
                </c:pt>
                <c:pt idx="71">
                  <c:v>1.4322547656855341E-11</c:v>
                </c:pt>
                <c:pt idx="72">
                  <c:v>1.3327307464400976E-11</c:v>
                </c:pt>
                <c:pt idx="73">
                  <c:v>1.2419224132146557E-11</c:v>
                </c:pt>
                <c:pt idx="74">
                  <c:v>1.1589149648583588E-11</c:v>
                </c:pt>
                <c:pt idx="75">
                  <c:v>1.0829049205654112E-11</c:v>
                </c:pt>
                <c:pt idx="76">
                  <c:v>1.0131847805842345E-11</c:v>
                </c:pt>
                <c:pt idx="77">
                  <c:v>9.4913003864100401E-12</c:v>
                </c:pt>
                <c:pt idx="78">
                  <c:v>8.9018815033876957E-12</c:v>
                </c:pt>
                <c:pt idx="79">
                  <c:v>8.3586913409952696E-12</c:v>
                </c:pt>
                <c:pt idx="80">
                  <c:v>7.8573753930731907E-12</c:v>
                </c:pt>
                <c:pt idx="81">
                  <c:v>7.3940556316271344E-12</c:v>
                </c:pt>
                <c:pt idx="82">
                  <c:v>6.9652713570682545E-12</c:v>
                </c:pt>
                <c:pt idx="83">
                  <c:v>6.5679282331965158E-12</c:v>
                </c:pt>
                <c:pt idx="84">
                  <c:v>6.1992542616463495E-12</c:v>
                </c:pt>
                <c:pt idx="85">
                  <c:v>5.8567616565802827E-12</c:v>
                </c:pt>
                <c:pt idx="86">
                  <c:v>5.538213749729267E-12</c:v>
                </c:pt>
                <c:pt idx="87">
                  <c:v>5.2415961954454466E-12</c:v>
                </c:pt>
                <c:pt idx="88">
                  <c:v>4.9650918608446485E-12</c:v>
                </c:pt>
                <c:pt idx="89">
                  <c:v>4.7070588818539169E-12</c:v>
                </c:pt>
                <c:pt idx="90">
                  <c:v>4.4660114456244358E-12</c:v>
                </c:pt>
                <c:pt idx="91">
                  <c:v>4.2406029262534973E-12</c:v>
                </c:pt>
                <c:pt idx="92">
                  <c:v>4.0296110563355181E-12</c:v>
                </c:pt>
                <c:pt idx="93">
                  <c:v>3.8319248635829245E-12</c:v>
                </c:pt>
                <c:pt idx="94">
                  <c:v>3.6465331409520929E-12</c:v>
                </c:pt>
                <c:pt idx="95">
                  <c:v>3.4725142518572084E-12</c:v>
                </c:pt>
                <c:pt idx="96">
                  <c:v>3.3090271000325622E-12</c:v>
                </c:pt>
                <c:pt idx="97">
                  <c:v>3.1553031173295108E-12</c:v>
                </c:pt>
                <c:pt idx="98">
                  <c:v>3.0106391429090848E-12</c:v>
                </c:pt>
                <c:pt idx="99">
                  <c:v>2.8743910844210165E-12</c:v>
                </c:pt>
                <c:pt idx="100">
                  <c:v>2.7459682664348037E-12</c:v>
                </c:pt>
                <c:pt idx="101">
                  <c:v>2.6248283839043983E-12</c:v>
                </c:pt>
                <c:pt idx="102">
                  <c:v>2.5104729891834725E-12</c:v>
                </c:pt>
                <c:pt idx="103">
                  <c:v>2.4024434503206658E-12</c:v>
                </c:pt>
                <c:pt idx="104">
                  <c:v>2.3003173263139208E-12</c:v>
                </c:pt>
                <c:pt idx="105">
                  <c:v>2.2037051118168224E-12</c:v>
                </c:pt>
                <c:pt idx="106">
                  <c:v>2.1122473097324141E-12</c:v>
                </c:pt>
                <c:pt idx="107">
                  <c:v>2.0256117951988548E-12</c:v>
                </c:pt>
                <c:pt idx="108">
                  <c:v>1.9434914389372799E-12</c:v>
                </c:pt>
                <c:pt idx="109">
                  <c:v>1.8656019617791698E-12</c:v>
                </c:pt>
                <c:pt idx="110">
                  <c:v>1.7916799955107348E-12</c:v>
                </c:pt>
                <c:pt idx="111">
                  <c:v>1.7214813281172784E-12</c:v>
                </c:pt>
                <c:pt idx="112">
                  <c:v>1.6547793140559582E-12</c:v>
                </c:pt>
                <c:pt idx="113">
                  <c:v>1.5913634323889249E-12</c:v>
                </c:pt>
                <c:pt idx="114">
                  <c:v>1.5310379775797293E-12</c:v>
                </c:pt>
                <c:pt idx="115">
                  <c:v>1.4736208694684074E-12</c:v>
                </c:pt>
                <c:pt idx="116">
                  <c:v>1.4189425704058579E-12</c:v>
                </c:pt>
                <c:pt idx="117">
                  <c:v>1.3668450989039435E-12</c:v>
                </c:pt>
                <c:pt idx="118">
                  <c:v>1.3171811302673952E-12</c:v>
                </c:pt>
                <c:pt idx="119">
                  <c:v>1.2698131757335891E-12</c:v>
                </c:pt>
                <c:pt idx="120">
                  <c:v>1.2246128325315404E-12</c:v>
                </c:pt>
                <c:pt idx="121">
                  <c:v>1.1814600980951258E-12</c:v>
                </c:pt>
                <c:pt idx="122">
                  <c:v>9.7394678789786857E-14</c:v>
                </c:pt>
                <c:pt idx="123">
                  <c:v>8.6112357627448548E-15</c:v>
                </c:pt>
                <c:pt idx="124">
                  <c:v>2.0834249027868702E-15</c:v>
                </c:pt>
                <c:pt idx="125">
                  <c:v>7.6121109755798916E-16</c:v>
                </c:pt>
                <c:pt idx="126">
                  <c:v>3.485994200001514E-16</c:v>
                </c:pt>
                <c:pt idx="127">
                  <c:v>1.8416037377118424E-16</c:v>
                </c:pt>
                <c:pt idx="128" formatCode="0.000">
                  <c:v>1.0737048959452126E-16</c:v>
                </c:pt>
                <c:pt idx="129">
                  <c:v>6.7284471391633395E-17</c:v>
                </c:pt>
                <c:pt idx="130">
                  <c:v>4.455354452499593E-17</c:v>
                </c:pt>
                <c:pt idx="131">
                  <c:v>3.0812857445947219E-17</c:v>
                </c:pt>
                <c:pt idx="132">
                  <c:v>2.7235188621108749E-18</c:v>
                </c:pt>
                <c:pt idx="133">
                  <c:v>6.5888827448177951E-19</c:v>
                </c:pt>
                <c:pt idx="134">
                  <c:v>2.4072795330509607E-19</c:v>
                </c:pt>
                <c:pt idx="135">
                  <c:v>1.1024061905956657E-19</c:v>
                </c:pt>
                <c:pt idx="136">
                  <c:v>5.8238124412451475E-20</c:v>
                </c:pt>
                <c:pt idx="137">
                  <c:v>3.3954213814999127E-20</c:v>
                </c:pt>
                <c:pt idx="138">
                  <c:v>2.1277564119964755E-20</c:v>
                </c:pt>
                <c:pt idx="139">
                  <c:v>1.4089257639113234E-20</c:v>
                </c:pt>
                <c:pt idx="140">
                  <c:v>9.7439919588141838E-21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2E2-471B-BC84-91EFC412EA83}"/>
            </c:ext>
          </c:extLst>
        </c:ser>
        <c:ser>
          <c:idx val="4"/>
          <c:order val="3"/>
          <c:tx>
            <c:v>k wetting</c:v>
          </c:tx>
          <c:spPr>
            <a:ln w="25400">
              <a:solidFill>
                <a:srgbClr val="003300"/>
              </a:solidFill>
              <a:prstDash val="sysDash"/>
            </a:ln>
          </c:spPr>
          <c:marker>
            <c:symbol val="none"/>
          </c:marker>
          <c:xVal>
            <c:numRef>
              <c:f>SWR_ELTz042!$K$14:$K$147</c:f>
              <c:numCache>
                <c:formatCode>0.00E+00</c:formatCode>
                <c:ptCount val="134"/>
                <c:pt idx="0">
                  <c:v>0.45753275183020359</c:v>
                </c:pt>
                <c:pt idx="1">
                  <c:v>0.4536921045369493</c:v>
                </c:pt>
                <c:pt idx="2" formatCode="General">
                  <c:v>0.44445008225706906</c:v>
                </c:pt>
                <c:pt idx="3">
                  <c:v>0.43949925051475092</c:v>
                </c:pt>
                <c:pt idx="4" formatCode="General">
                  <c:v>0.43449131942607977</c:v>
                </c:pt>
                <c:pt idx="5" formatCode="General">
                  <c:v>0.42456913553387898</c:v>
                </c:pt>
                <c:pt idx="6" formatCode="General">
                  <c:v>0.41502179450911225</c:v>
                </c:pt>
                <c:pt idx="7" formatCode="General">
                  <c:v>0.41043864776607575</c:v>
                </c:pt>
                <c:pt idx="8" formatCode="General">
                  <c:v>0.40169367668386402</c:v>
                </c:pt>
                <c:pt idx="9" formatCode="General">
                  <c:v>0.39352080683572921</c:v>
                </c:pt>
                <c:pt idx="10" formatCode="General">
                  <c:v>0.38590440065879639</c:v>
                </c:pt>
                <c:pt idx="11" formatCode="General">
                  <c:v>0.37881229513893144</c:v>
                </c:pt>
                <c:pt idx="12" formatCode="General">
                  <c:v>0.37220565314487009</c:v>
                </c:pt>
                <c:pt idx="13" formatCode="General">
                  <c:v>0.36604419007933575</c:v>
                </c:pt>
                <c:pt idx="14" formatCode="General">
                  <c:v>0.36028886099694102</c:v>
                </c:pt>
                <c:pt idx="15" formatCode="General">
                  <c:v>0.35490314748380658</c:v>
                </c:pt>
                <c:pt idx="16" formatCode="General">
                  <c:v>0.3474452469635812</c:v>
                </c:pt>
                <c:pt idx="17" formatCode="General">
                  <c:v>0.32687910405084453</c:v>
                </c:pt>
                <c:pt idx="18" formatCode="General">
                  <c:v>0.31107435523055627</c:v>
                </c:pt>
                <c:pt idx="19" formatCode="General">
                  <c:v>0.29846896972005738</c:v>
                </c:pt>
                <c:pt idx="20" formatCode="General">
                  <c:v>0.28811818098981057</c:v>
                </c:pt>
                <c:pt idx="21" formatCode="General">
                  <c:v>0.27942112544046649</c:v>
                </c:pt>
                <c:pt idx="22" formatCode="General">
                  <c:v>0.27197762958539168</c:v>
                </c:pt>
                <c:pt idx="23" formatCode="General">
                  <c:v>0.26551044859080003</c:v>
                </c:pt>
                <c:pt idx="24" formatCode="General">
                  <c:v>0.24239221514588122</c:v>
                </c:pt>
                <c:pt idx="25" formatCode="General">
                  <c:v>0.22771499799710054</c:v>
                </c:pt>
                <c:pt idx="26" formatCode="General">
                  <c:v>0.21728928435450853</c:v>
                </c:pt>
                <c:pt idx="27" formatCode="General">
                  <c:v>0.20936536437978362</c:v>
                </c:pt>
                <c:pt idx="28" formatCode="General">
                  <c:v>0.20306411870125662</c:v>
                </c:pt>
                <c:pt idx="29" formatCode="General">
                  <c:v>0.19788813690129436</c:v>
                </c:pt>
                <c:pt idx="30" formatCode="General">
                  <c:v>0.18979433420640662</c:v>
                </c:pt>
                <c:pt idx="31" formatCode="General">
                  <c:v>0.18366846658359728</c:v>
                </c:pt>
                <c:pt idx="32" formatCode="General">
                  <c:v>0.178810151692885</c:v>
                </c:pt>
                <c:pt idx="33" formatCode="General">
                  <c:v>0.17482681591218996</c:v>
                </c:pt>
                <c:pt idx="34" formatCode="General">
                  <c:v>0.17147858067949071</c:v>
                </c:pt>
                <c:pt idx="35" formatCode="General">
                  <c:v>0.16999161854415251</c:v>
                </c:pt>
                <c:pt idx="36" formatCode="General">
                  <c:v>0.16860925589446296</c:v>
                </c:pt>
                <c:pt idx="37" formatCode="General">
                  <c:v>0.16731945555783567</c:v>
                </c:pt>
                <c:pt idx="38" formatCode="General">
                  <c:v>0.16611205436528753</c:v>
                </c:pt>
                <c:pt idx="39" formatCode="General">
                  <c:v>0.16497840200463804</c:v>
                </c:pt>
                <c:pt idx="40" formatCode="General">
                  <c:v>0.16391108171762597</c:v>
                </c:pt>
                <c:pt idx="41" formatCode="General">
                  <c:v>0.16290369174240621</c:v>
                </c:pt>
                <c:pt idx="42" formatCode="General">
                  <c:v>0.16195067244841033</c:v>
                </c:pt>
                <c:pt idx="43" formatCode="General">
                  <c:v>0.16104716826299947</c:v>
                </c:pt>
                <c:pt idx="44" formatCode="General">
                  <c:v>0.16018891638822852</c:v>
                </c:pt>
                <c:pt idx="45" formatCode="General">
                  <c:v>0.15937215636016216</c:v>
                </c:pt>
                <c:pt idx="46" formatCode="General">
                  <c:v>0.15859355597878599</c:v>
                </c:pt>
                <c:pt idx="47" formatCode="General">
                  <c:v>0.15785015021005408</c:v>
                </c:pt>
                <c:pt idx="48" formatCode="General">
                  <c:v>0.1571392904517761</c:v>
                </c:pt>
                <c:pt idx="49" formatCode="General">
                  <c:v>0.15645860214301036</c:v>
                </c:pt>
                <c:pt idx="50" formatCode="General">
                  <c:v>0.15580594913858453</c:v>
                </c:pt>
                <c:pt idx="51" formatCode="General">
                  <c:v>0.15517940360572374</c:v>
                </c:pt>
                <c:pt idx="52" formatCode="General">
                  <c:v>0.1545772204564938</c:v>
                </c:pt>
                <c:pt idx="53" formatCode="General">
                  <c:v>0.15399781552794037</c:v>
                </c:pt>
                <c:pt idx="54" formatCode="General">
                  <c:v>0.15343974687596817</c:v>
                </c:pt>
                <c:pt idx="55" formatCode="General">
                  <c:v>0.15290169866981868</c:v>
                </c:pt>
                <c:pt idx="56" formatCode="General">
                  <c:v>0.15238246726933813</c:v>
                </c:pt>
                <c:pt idx="57" formatCode="General">
                  <c:v>0.15188094914294606</c:v>
                </c:pt>
                <c:pt idx="58" formatCode="General">
                  <c:v>0.15139613034473026</c:v>
                </c:pt>
                <c:pt idx="59" formatCode="General">
                  <c:v>0.15092707731773755</c:v>
                </c:pt>
                <c:pt idx="60" formatCode="General">
                  <c:v>0.15047292882985502</c:v>
                </c:pt>
                <c:pt idx="61" formatCode="General">
                  <c:v>0.15003288888062866</c:v>
                </c:pt>
                <c:pt idx="62" formatCode="General">
                  <c:v>0.14960622044346655</c:v>
                </c:pt>
                <c:pt idx="63" formatCode="General">
                  <c:v>0.1491922399290897</c:v>
                </c:pt>
                <c:pt idx="64" formatCode="General">
                  <c:v>0.14879031227375011</c:v>
                </c:pt>
                <c:pt idx="65" formatCode="General">
                  <c:v>0.1483998465703539</c:v>
                </c:pt>
                <c:pt idx="66" formatCode="General">
                  <c:v>0.14802029217278334</c:v>
                </c:pt>
                <c:pt idx="67" formatCode="General">
                  <c:v>0.14765113521385625</c:v>
                </c:pt>
                <c:pt idx="68" formatCode="General">
                  <c:v>0.14729189548586469</c:v>
                </c:pt>
                <c:pt idx="69" formatCode="General">
                  <c:v>0.14694212363978443</c:v>
                </c:pt>
                <c:pt idx="70" formatCode="General">
                  <c:v>0.14660139866528177</c:v>
                </c:pt>
                <c:pt idx="71" formatCode="General">
                  <c:v>0.14626932561875425</c:v>
                </c:pt>
                <c:pt idx="72" formatCode="General">
                  <c:v>0.14594553357098361</c:v>
                </c:pt>
                <c:pt idx="73" formatCode="General">
                  <c:v>0.14562967374967939</c:v>
                </c:pt>
                <c:pt idx="74" formatCode="General">
                  <c:v>0.14532141785535357</c:v>
                </c:pt>
                <c:pt idx="75" formatCode="General">
                  <c:v>0.14502045653167842</c:v>
                </c:pt>
                <c:pt idx="76" formatCode="General">
                  <c:v>0.14472649797380979</c:v>
                </c:pt>
                <c:pt idx="77" formatCode="General">
                  <c:v>0.14443926666016718</c:v>
                </c:pt>
                <c:pt idx="78" formatCode="General">
                  <c:v>0.14415850219489729</c:v>
                </c:pt>
                <c:pt idx="79" formatCode="General">
                  <c:v>0.14388395824975231</c:v>
                </c:pt>
                <c:pt idx="80" formatCode="General">
                  <c:v>0.14361540159542024</c:v>
                </c:pt>
                <c:pt idx="81" formatCode="General">
                  <c:v>0.14335261121348006</c:v>
                </c:pt>
                <c:pt idx="82" formatCode="General">
                  <c:v>0.14309537748114837</c:v>
                </c:pt>
                <c:pt idx="83" formatCode="General">
                  <c:v>0.14284350142184996</c:v>
                </c:pt>
                <c:pt idx="84" formatCode="General">
                  <c:v>0.14259679401540465</c:v>
                </c:pt>
                <c:pt idx="85" formatCode="General">
                  <c:v>0.14235507556229055</c:v>
                </c:pt>
                <c:pt idx="86" formatCode="General">
                  <c:v>0.14211817509703006</c:v>
                </c:pt>
                <c:pt idx="87" formatCode="General">
                  <c:v>0.14188592984626258</c:v>
                </c:pt>
                <c:pt idx="88" formatCode="General">
                  <c:v>0.1416581847275247</c:v>
                </c:pt>
                <c:pt idx="89" formatCode="General">
                  <c:v>0.14143479188516289</c:v>
                </c:pt>
                <c:pt idx="90" formatCode="General">
                  <c:v>0.14121561026016144</c:v>
                </c:pt>
                <c:pt idx="91" formatCode="General">
                  <c:v>0.14100050519098684</c:v>
                </c:pt>
                <c:pt idx="92" formatCode="General">
                  <c:v>0.14078934804283261</c:v>
                </c:pt>
                <c:pt idx="93" formatCode="General">
                  <c:v>0.14058201586290023</c:v>
                </c:pt>
                <c:pt idx="94" formatCode="General">
                  <c:v>0.140378391059576</c:v>
                </c:pt>
                <c:pt idx="95" formatCode="General">
                  <c:v>0.14017836110356613</c:v>
                </c:pt>
                <c:pt idx="96" formatCode="General">
                  <c:v>0.13998181824922937</c:v>
                </c:pt>
                <c:pt idx="97" formatCode="General">
                  <c:v>0.13978865927451048</c:v>
                </c:pt>
                <c:pt idx="98" formatCode="General">
                  <c:v>0.13959878523801955</c:v>
                </c:pt>
                <c:pt idx="99" formatCode="General">
                  <c:v>0.13941210125193393</c:v>
                </c:pt>
                <c:pt idx="100" formatCode="General">
                  <c:v>0.1392285162695151</c:v>
                </c:pt>
                <c:pt idx="101" formatCode="General">
                  <c:v>0.13904794288613936</c:v>
                </c:pt>
                <c:pt idx="102" formatCode="General">
                  <c:v>0.13887029715283447</c:v>
                </c:pt>
                <c:pt idx="103" formatCode="General">
                  <c:v>0.13869549840140172</c:v>
                </c:pt>
                <c:pt idx="104" formatCode="General">
                  <c:v>0.13852346908027946</c:v>
                </c:pt>
                <c:pt idx="105" formatCode="General">
                  <c:v>0.13835413460037535</c:v>
                </c:pt>
                <c:pt idx="106" formatCode="General">
                  <c:v>0.13818742319015648</c:v>
                </c:pt>
                <c:pt idx="107" formatCode="General">
                  <c:v>0.1380232657593469</c:v>
                </c:pt>
                <c:pt idx="108" formatCode="General">
                  <c:v>0.13786159577063178</c:v>
                </c:pt>
                <c:pt idx="109" formatCode="General">
                  <c:v>0.1377023491188179</c:v>
                </c:pt>
                <c:pt idx="110" formatCode="General">
                  <c:v>0.13754546401694093</c:v>
                </c:pt>
                <c:pt idx="111" formatCode="General">
                  <c:v>0.13739088088885212</c:v>
                </c:pt>
                <c:pt idx="112" formatCode="General">
                  <c:v>0.13723854226785154</c:v>
                </c:pt>
                <c:pt idx="113" formatCode="General">
                  <c:v>0.1370883927009684</c:v>
                </c:pt>
                <c:pt idx="114" formatCode="General">
                  <c:v>0.1369403786585196</c:v>
                </c:pt>
                <c:pt idx="115" formatCode="General">
                  <c:v>0.12797053289165303</c:v>
                </c:pt>
                <c:pt idx="116" formatCode="General">
                  <c:v>0.12134555278394839</c:v>
                </c:pt>
                <c:pt idx="117" formatCode="General">
                  <c:v>0.11822359430512079</c:v>
                </c:pt>
                <c:pt idx="118" formatCode="General">
                  <c:v>0.11628954296072713</c:v>
                </c:pt>
                <c:pt idx="119" formatCode="General">
                  <c:v>0.11493188097561975</c:v>
                </c:pt>
                <c:pt idx="120" formatCode="General">
                  <c:v>0.11390702248241941</c:v>
                </c:pt>
                <c:pt idx="121" formatCode="General">
                  <c:v>0.11309559166847855</c:v>
                </c:pt>
                <c:pt idx="122" formatCode="General">
                  <c:v>0.11243106733436994</c:v>
                </c:pt>
                <c:pt idx="123" formatCode="General">
                  <c:v>0.11187296120063708</c:v>
                </c:pt>
                <c:pt idx="124" formatCode="General">
                  <c:v>0.11139498385451981</c:v>
                </c:pt>
                <c:pt idx="125" formatCode="General">
                  <c:v>0.10869585634485186</c:v>
                </c:pt>
                <c:pt idx="126" formatCode="General">
                  <c:v>0.10742398107568168</c:v>
                </c:pt>
                <c:pt idx="127" formatCode="General">
                  <c:v>0.10663606739978221</c:v>
                </c:pt>
                <c:pt idx="128" formatCode="General">
                  <c:v>0.10608297322191833</c:v>
                </c:pt>
                <c:pt idx="129" formatCode="General">
                  <c:v>0.10566546070732469</c:v>
                </c:pt>
                <c:pt idx="130" formatCode="General">
                  <c:v>0.10533489643145159</c:v>
                </c:pt>
                <c:pt idx="131" formatCode="General">
                  <c:v>0.10506418006860013</c:v>
                </c:pt>
                <c:pt idx="132" formatCode="General">
                  <c:v>0.10483681704720996</c:v>
                </c:pt>
                <c:pt idx="133" formatCode="General">
                  <c:v>0.10464209733777584</c:v>
                </c:pt>
              </c:numCache>
            </c:numRef>
          </c:xVal>
          <c:yVal>
            <c:numRef>
              <c:f>SWR_ELTz042!$M$14:$M$147</c:f>
              <c:numCache>
                <c:formatCode>0.00E+00</c:formatCode>
                <c:ptCount val="134"/>
                <c:pt idx="0">
                  <c:v>3.9748091640999324E-6</c:v>
                </c:pt>
                <c:pt idx="1">
                  <c:v>2.7829094118827464E-6</c:v>
                </c:pt>
                <c:pt idx="2">
                  <c:v>1.6205896279118102E-6</c:v>
                </c:pt>
                <c:pt idx="3">
                  <c:v>1.288954379805719E-6</c:v>
                </c:pt>
                <c:pt idx="4">
                  <c:v>1.0434096809140678E-6</c:v>
                </c:pt>
                <c:pt idx="5">
                  <c:v>7.1167972120204502E-7</c:v>
                </c:pt>
                <c:pt idx="6">
                  <c:v>5.0582186853446584E-7</c:v>
                </c:pt>
                <c:pt idx="7">
                  <c:v>4.3179767983292894E-7</c:v>
                </c:pt>
                <c:pt idx="8">
                  <c:v>3.2135117164296176E-7</c:v>
                </c:pt>
                <c:pt idx="9">
                  <c:v>2.4500397505040323E-7</c:v>
                </c:pt>
                <c:pt idx="10">
                  <c:v>1.9067228973477963E-7</c:v>
                </c:pt>
                <c:pt idx="11">
                  <c:v>1.510428266087317E-7</c:v>
                </c:pt>
                <c:pt idx="12">
                  <c:v>1.2151500028556312E-7</c:v>
                </c:pt>
                <c:pt idx="13">
                  <c:v>9.9100019643600723E-8</c:v>
                </c:pt>
                <c:pt idx="14">
                  <c:v>8.1801938220888954E-8</c:v>
                </c:pt>
                <c:pt idx="15">
                  <c:v>6.825540104782889E-8</c:v>
                </c:pt>
                <c:pt idx="16">
                  <c:v>5.2960457585775471E-8</c:v>
                </c:pt>
                <c:pt idx="17">
                  <c:v>2.5688639937738873E-8</c:v>
                </c:pt>
                <c:pt idx="18">
                  <c:v>1.4278651849934258E-8</c:v>
                </c:pt>
                <c:pt idx="19">
                  <c:v>8.7177528560335171E-9</c:v>
                </c:pt>
                <c:pt idx="20">
                  <c:v>5.6995150732916746E-9</c:v>
                </c:pt>
                <c:pt idx="21">
                  <c:v>3.9250944318206471E-9</c:v>
                </c:pt>
                <c:pt idx="22">
                  <c:v>2.8156486067109488E-9</c:v>
                </c:pt>
                <c:pt idx="23">
                  <c:v>2.0872134388480223E-9</c:v>
                </c:pt>
                <c:pt idx="24">
                  <c:v>6.4965764660286495E-10</c:v>
                </c:pt>
                <c:pt idx="25">
                  <c:v>2.808801006738602E-10</c:v>
                </c:pt>
                <c:pt idx="26">
                  <c:v>1.4599302459938923E-10</c:v>
                </c:pt>
                <c:pt idx="27">
                  <c:v>8.5371986394140131E-11</c:v>
                </c:pt>
                <c:pt idx="28">
                  <c:v>5.4182292729733035E-11</c:v>
                </c:pt>
                <c:pt idx="29">
                  <c:v>3.6521215443551037E-11</c:v>
                </c:pt>
                <c:pt idx="30">
                  <c:v>1.8872454021204584E-11</c:v>
                </c:pt>
                <c:pt idx="31">
                  <c:v>1.0996261290897935E-11</c:v>
                </c:pt>
                <c:pt idx="32">
                  <c:v>6.9620160907142288E-12</c:v>
                </c:pt>
                <c:pt idx="33">
                  <c:v>4.6846255895345851E-12</c:v>
                </c:pt>
                <c:pt idx="34">
                  <c:v>3.3024885629938724E-12</c:v>
                </c:pt>
                <c:pt idx="35">
                  <c:v>2.8127141956233624E-12</c:v>
                </c:pt>
                <c:pt idx="36">
                  <c:v>2.415334415025729E-12</c:v>
                </c:pt>
                <c:pt idx="37">
                  <c:v>2.089532305609327E-12</c:v>
                </c:pt>
                <c:pt idx="38">
                  <c:v>1.8198775845954178E-12</c:v>
                </c:pt>
                <c:pt idx="39">
                  <c:v>1.5947675798777032E-12</c:v>
                </c:pt>
                <c:pt idx="40">
                  <c:v>1.4053633977271552E-12</c:v>
                </c:pt>
                <c:pt idx="41">
                  <c:v>1.2448511031421131E-12</c:v>
                </c:pt>
                <c:pt idx="42">
                  <c:v>1.1079203205399907E-12</c:v>
                </c:pt>
                <c:pt idx="43">
                  <c:v>9.9039083026229733E-13</c:v>
                </c:pt>
                <c:pt idx="44">
                  <c:v>8.8894152201094097E-13</c:v>
                </c:pt>
                <c:pt idx="45">
                  <c:v>8.0091118547868304E-13</c:v>
                </c:pt>
                <c:pt idx="46">
                  <c:v>7.2415040509522157E-13</c:v>
                </c:pt>
                <c:pt idx="47">
                  <c:v>6.5691026782891644E-13</c:v>
                </c:pt>
                <c:pt idx="48">
                  <c:v>5.9775789964894763E-13</c:v>
                </c:pt>
                <c:pt idx="49">
                  <c:v>5.4551176711152149E-13</c:v>
                </c:pt>
                <c:pt idx="50">
                  <c:v>4.9919168819877948E-13</c:v>
                </c:pt>
                <c:pt idx="51">
                  <c:v>4.5797989385240215E-13</c:v>
                </c:pt>
                <c:pt idx="52">
                  <c:v>4.2119046558135498E-13</c:v>
                </c:pt>
                <c:pt idx="53">
                  <c:v>3.8824517499115535E-13</c:v>
                </c:pt>
                <c:pt idx="54">
                  <c:v>3.5865425491518845E-13</c:v>
                </c:pt>
                <c:pt idx="55">
                  <c:v>3.3200099771337837E-13</c:v>
                </c:pt>
                <c:pt idx="56">
                  <c:v>3.079293444840812E-13</c:v>
                </c:pt>
                <c:pt idx="57">
                  <c:v>2.8613382716086874E-13</c:v>
                </c:pt>
                <c:pt idx="58">
                  <c:v>2.6635137321072216E-13</c:v>
                </c:pt>
                <c:pt idx="59">
                  <c:v>2.4835459360135747E-13</c:v>
                </c:pt>
                <c:pt idx="60">
                  <c:v>2.319462586633222E-13</c:v>
                </c:pt>
                <c:pt idx="61">
                  <c:v>2.1695473040507658E-13</c:v>
                </c:pt>
                <c:pt idx="62">
                  <c:v>2.0323016890249106E-13</c:v>
                </c:pt>
                <c:pt idx="63">
                  <c:v>1.9064136821276087E-13</c:v>
                </c:pt>
                <c:pt idx="64">
                  <c:v>1.7907310666253749E-13</c:v>
                </c:pt>
                <c:pt idx="65">
                  <c:v>1.6842391928719854E-13</c:v>
                </c:pt>
                <c:pt idx="66">
                  <c:v>1.5860421822560451E-13</c:v>
                </c:pt>
                <c:pt idx="67">
                  <c:v>1.4953470107931849E-13</c:v>
                </c:pt>
                <c:pt idx="68">
                  <c:v>1.411449985289184E-13</c:v>
                </c:pt>
                <c:pt idx="69">
                  <c:v>1.3337252148291526E-13</c:v>
                </c:pt>
                <c:pt idx="70">
                  <c:v>1.2616147523369451E-13</c:v>
                </c:pt>
                <c:pt idx="71">
                  <c:v>1.194620138815266E-13</c:v>
                </c:pt>
                <c:pt idx="72">
                  <c:v>1.1322951296071104E-13</c:v>
                </c:pt>
                <c:pt idx="73">
                  <c:v>1.0742394199493001E-13</c:v>
                </c:pt>
                <c:pt idx="74">
                  <c:v>1.020093217952359E-13</c:v>
                </c:pt>
                <c:pt idx="75">
                  <c:v>9.6953253834074141E-14</c:v>
                </c:pt>
                <c:pt idx="76">
                  <c:v>9.2226511100173047E-14</c:v>
                </c:pt>
                <c:pt idx="77">
                  <c:v>8.7802681542913366E-14</c:v>
                </c:pt>
                <c:pt idx="78">
                  <c:v>8.3657856619274164E-14</c:v>
                </c:pt>
                <c:pt idx="79">
                  <c:v>7.9770358622451791E-14</c:v>
                </c:pt>
                <c:pt idx="80">
                  <c:v>7.6120501443621534E-14</c:v>
                </c:pt>
                <c:pt idx="81">
                  <c:v>7.2690380221231357E-14</c:v>
                </c:pt>
                <c:pt idx="82">
                  <c:v>6.9463686013583333E-14</c:v>
                </c:pt>
                <c:pt idx="83">
                  <c:v>6.6425542191201186E-14</c:v>
                </c:pt>
                <c:pt idx="84">
                  <c:v>6.3562359728736357E-14</c:v>
                </c:pt>
                <c:pt idx="85">
                  <c:v>6.0861708972615262E-14</c:v>
                </c:pt>
                <c:pt idx="86">
                  <c:v>5.8312205804546395E-14</c:v>
                </c:pt>
                <c:pt idx="87">
                  <c:v>5.5903410406202831E-14</c:v>
                </c:pt>
                <c:pt idx="88">
                  <c:v>5.3625737078282225E-14</c:v>
                </c:pt>
                <c:pt idx="89">
                  <c:v>5.147037377222339E-14</c:v>
                </c:pt>
                <c:pt idx="90">
                  <c:v>4.9429210174920364E-14</c:v>
                </c:pt>
                <c:pt idx="91">
                  <c:v>4.7494773335002721E-14</c:v>
                </c:pt>
                <c:pt idx="92">
                  <c:v>4.5660169953908011E-14</c:v>
                </c:pt>
                <c:pt idx="93">
                  <c:v>4.3919034573942234E-14</c:v>
                </c:pt>
                <c:pt idx="94">
                  <c:v>4.2265482994620706E-14</c:v>
                </c:pt>
                <c:pt idx="95">
                  <c:v>4.0694070330216488E-14</c:v>
                </c:pt>
                <c:pt idx="96">
                  <c:v>3.919975319518692E-14</c:v>
                </c:pt>
                <c:pt idx="97">
                  <c:v>3.7777855565962424E-14</c:v>
                </c:pt>
                <c:pt idx="98">
                  <c:v>3.6424037921122666E-14</c:v>
                </c:pt>
                <c:pt idx="99">
                  <c:v>3.5134269310118046E-14</c:v>
                </c:pt>
                <c:pt idx="100">
                  <c:v>3.3904802041994019E-14</c:v>
                </c:pt>
                <c:pt idx="101">
                  <c:v>3.2732148719534857E-14</c:v>
                </c:pt>
                <c:pt idx="102">
                  <c:v>3.1613061378882271E-14</c:v>
                </c:pt>
                <c:pt idx="103">
                  <c:v>3.0544512517856075E-14</c:v>
                </c:pt>
                <c:pt idx="104">
                  <c:v>2.9523677824189761E-14</c:v>
                </c:pt>
                <c:pt idx="105">
                  <c:v>2.8547920433594788E-14</c:v>
                </c:pt>
                <c:pt idx="106">
                  <c:v>2.7614776566739008E-14</c:v>
                </c:pt>
                <c:pt idx="107">
                  <c:v>2.6721942411110711E-14</c:v>
                </c:pt>
                <c:pt idx="108">
                  <c:v>2.5867262127166822E-14</c:v>
                </c:pt>
                <c:pt idx="109">
                  <c:v>2.5048716871760069E-14</c:v>
                </c:pt>
                <c:pt idx="110">
                  <c:v>2.4264414742643053E-14</c:v>
                </c:pt>
                <c:pt idx="111">
                  <c:v>2.3512581558389624E-14</c:v>
                </c:pt>
                <c:pt idx="112">
                  <c:v>2.2791552395635956E-14</c:v>
                </c:pt>
                <c:pt idx="113">
                  <c:v>2.2099763815106882E-14</c:v>
                </c:pt>
                <c:pt idx="114">
                  <c:v>2.1435746713531637E-14</c:v>
                </c:pt>
                <c:pt idx="115">
                  <c:v>2.5679588463577935E-15</c:v>
                </c:pt>
                <c:pt idx="116">
                  <c:v>3.2663760188538935E-16</c:v>
                </c:pt>
                <c:pt idx="117">
                  <c:v>9.7770073648957711E-17</c:v>
                </c:pt>
                <c:pt idx="118">
                  <c:v>4.1544936887392565E-17</c:v>
                </c:pt>
                <c:pt idx="119">
                  <c:v>2.1390132469257479E-17</c:v>
                </c:pt>
                <c:pt idx="120">
                  <c:v>1.2435146445976265E-17</c:v>
                </c:pt>
                <c:pt idx="121">
                  <c:v>7.8611358182528506E-18</c:v>
                </c:pt>
                <c:pt idx="122">
                  <c:v>5.2839662315040503E-18</c:v>
                </c:pt>
                <c:pt idx="123">
                  <c:v>3.7220470086339795E-18</c:v>
                </c:pt>
                <c:pt idx="124">
                  <c:v>2.720531504259828E-18</c:v>
                </c:pt>
                <c:pt idx="125">
                  <c:v>3.4601206944951546E-19</c:v>
                </c:pt>
                <c:pt idx="126">
                  <c:v>1.035667173619877E-19</c:v>
                </c:pt>
                <c:pt idx="127">
                  <c:v>4.4007598440788459E-20</c:v>
                </c:pt>
                <c:pt idx="128">
                  <c:v>2.2657943463482913E-20</c:v>
                </c:pt>
                <c:pt idx="129">
                  <c:v>1.3172140334392477E-20</c:v>
                </c:pt>
                <c:pt idx="130">
                  <c:v>8.3270216560916734E-21</c:v>
                </c:pt>
                <c:pt idx="131">
                  <c:v>5.5971079472410135E-21</c:v>
                </c:pt>
                <c:pt idx="132">
                  <c:v>3.9426202916612938E-21</c:v>
                </c:pt>
                <c:pt idx="133">
                  <c:v>2.8817508918533156E-21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E2-471B-BC84-91EFC412E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480412712"/>
        <c:scaling>
          <c:orientation val="minMax"/>
          <c:max val="0.60000000000000009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Volumetric water content</a:t>
                </a:r>
              </a:p>
            </c:rich>
          </c:tx>
          <c:layout>
            <c:manualLayout>
              <c:xMode val="edge"/>
              <c:yMode val="edge"/>
              <c:x val="0.35504200621210558"/>
              <c:y val="0.884237513789037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.1"/>
        <c:crossBetween val="midCat"/>
        <c:minorUnit val="0.02"/>
      </c:valAx>
      <c:valAx>
        <c:axId val="1"/>
        <c:scaling>
          <c:logBase val="10"/>
          <c:orientation val="minMax"/>
          <c:max val="100000"/>
          <c:min val="0.1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Matric suction (kPa)</a:t>
                </a:r>
              </a:p>
            </c:rich>
          </c:tx>
          <c:layout>
            <c:manualLayout>
              <c:xMode val="edge"/>
              <c:yMode val="edge"/>
              <c:x val="3.2751091703056769E-2"/>
              <c:y val="0.35265776560538631"/>
            </c:manualLayout>
          </c:layout>
          <c:overlay val="0"/>
          <c:spPr>
            <a:noFill/>
            <a:ln w="25400">
              <a:noFill/>
            </a:ln>
          </c:spPr>
        </c:title>
        <c:numFmt formatCode="0E+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0412712"/>
        <c:crosses val="autoZero"/>
        <c:crossBetween val="midCat"/>
        <c:minorUnit val="10"/>
      </c:valAx>
      <c:val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logBase val="10"/>
          <c:orientation val="minMax"/>
          <c:max val="1.0000000000000002E-2"/>
          <c:min val="1.0000000000000005E-9"/>
        </c:scaling>
        <c:delete val="0"/>
        <c:axPos val="r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Conductivity k (cm/s)</a:t>
                </a:r>
              </a:p>
            </c:rich>
          </c:tx>
          <c:layout>
            <c:manualLayout>
              <c:xMode val="edge"/>
              <c:yMode val="edge"/>
              <c:x val="0.92358078602620086"/>
              <c:y val="0.28502491536384039"/>
            </c:manualLayout>
          </c:layout>
          <c:overlay val="0"/>
          <c:spPr>
            <a:noFill/>
            <a:ln w="25400">
              <a:noFill/>
            </a:ln>
          </c:spPr>
        </c:title>
        <c:numFmt formatCode="0.0E+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10"/>
        <c:minorUnit val="1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1528384279475981"/>
          <c:y val="6.5217644895837298E-2"/>
          <c:w val="0.29694323144104806"/>
          <c:h val="0.1312404427707406"/>
        </c:manualLayout>
      </c:layout>
      <c:overlay val="0"/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chart" Target="../charts/chart21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12</xdr:row>
      <xdr:rowOff>1</xdr:rowOff>
    </xdr:from>
    <xdr:to>
      <xdr:col>2</xdr:col>
      <xdr:colOff>666751</xdr:colOff>
      <xdr:row>21</xdr:row>
      <xdr:rowOff>16011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451" y="1905001"/>
          <a:ext cx="2133600" cy="173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190499</xdr:rowOff>
    </xdr:from>
    <xdr:to>
      <xdr:col>2</xdr:col>
      <xdr:colOff>797421</xdr:colOff>
      <xdr:row>41</xdr:row>
      <xdr:rowOff>136759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3450" y="5905499"/>
          <a:ext cx="2231886" cy="16664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2</xdr:col>
      <xdr:colOff>834390</xdr:colOff>
      <xdr:row>24</xdr:row>
      <xdr:rowOff>172478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3450" y="4000500"/>
          <a:ext cx="2276475" cy="14983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47624</xdr:rowOff>
    </xdr:from>
    <xdr:to>
      <xdr:col>2</xdr:col>
      <xdr:colOff>359950</xdr:colOff>
      <xdr:row>54</xdr:row>
      <xdr:rowOff>170687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3450" y="7667624"/>
          <a:ext cx="1821085" cy="2428113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11</xdr:row>
      <xdr:rowOff>187955</xdr:rowOff>
    </xdr:from>
    <xdr:to>
      <xdr:col>7</xdr:col>
      <xdr:colOff>96155</xdr:colOff>
      <xdr:row>21</xdr:row>
      <xdr:rowOff>53340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81500" y="1902455"/>
          <a:ext cx="2677430" cy="1764670"/>
        </a:xfrm>
        <a:prstGeom prst="rect">
          <a:avLst/>
        </a:prstGeom>
      </xdr:spPr>
    </xdr:pic>
    <xdr:clientData/>
  </xdr:twoCellAnchor>
  <xdr:twoCellAnchor editAs="oneCell">
    <xdr:from>
      <xdr:col>8</xdr:col>
      <xdr:colOff>295418</xdr:colOff>
      <xdr:row>12</xdr:row>
      <xdr:rowOff>1</xdr:rowOff>
    </xdr:from>
    <xdr:to>
      <xdr:col>15</xdr:col>
      <xdr:colOff>93661</xdr:colOff>
      <xdr:row>21</xdr:row>
      <xdr:rowOff>57153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21700" r="10511"/>
        <a:stretch/>
      </xdr:blipFill>
      <xdr:spPr>
        <a:xfrm rot="5400000">
          <a:off x="8495576" y="629518"/>
          <a:ext cx="1771652" cy="4322618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23</xdr:row>
      <xdr:rowOff>0</xdr:rowOff>
    </xdr:from>
    <xdr:to>
      <xdr:col>6</xdr:col>
      <xdr:colOff>876300</xdr:colOff>
      <xdr:row>24</xdr:row>
      <xdr:rowOff>172470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81500" y="4000500"/>
          <a:ext cx="1971675" cy="1504065"/>
        </a:xfrm>
        <a:prstGeom prst="rect">
          <a:avLst/>
        </a:prstGeom>
      </xdr:spPr>
    </xdr:pic>
    <xdr:clientData/>
  </xdr:twoCellAnchor>
  <xdr:twoCellAnchor editAs="oneCell">
    <xdr:from>
      <xdr:col>9</xdr:col>
      <xdr:colOff>276225</xdr:colOff>
      <xdr:row>33</xdr:row>
      <xdr:rowOff>9525</xdr:rowOff>
    </xdr:from>
    <xdr:to>
      <xdr:col>12</xdr:col>
      <xdr:colOff>473119</xdr:colOff>
      <xdr:row>45</xdr:row>
      <xdr:rowOff>134759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10500" y="5915025"/>
          <a:ext cx="2019979" cy="2399804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28575</xdr:rowOff>
    </xdr:from>
    <xdr:to>
      <xdr:col>6</xdr:col>
      <xdr:colOff>574407</xdr:colOff>
      <xdr:row>44</xdr:row>
      <xdr:rowOff>95250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371975" y="5934075"/>
          <a:ext cx="1679307" cy="2162175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33</xdr:row>
      <xdr:rowOff>19049</xdr:rowOff>
    </xdr:from>
    <xdr:to>
      <xdr:col>9</xdr:col>
      <xdr:colOff>19969</xdr:colOff>
      <xdr:row>44</xdr:row>
      <xdr:rowOff>99059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134100" y="5924549"/>
          <a:ext cx="1564924" cy="2181225"/>
        </a:xfrm>
        <a:prstGeom prst="rect">
          <a:avLst/>
        </a:prstGeom>
      </xdr:spPr>
    </xdr:pic>
    <xdr:clientData/>
  </xdr:twoCellAnchor>
  <xdr:twoCellAnchor editAs="oneCell">
    <xdr:from>
      <xdr:col>12</xdr:col>
      <xdr:colOff>252732</xdr:colOff>
      <xdr:row>12</xdr:row>
      <xdr:rowOff>85725</xdr:rowOff>
    </xdr:from>
    <xdr:to>
      <xdr:col>15</xdr:col>
      <xdr:colOff>129540</xdr:colOff>
      <xdr:row>21</xdr:row>
      <xdr:rowOff>3564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615807" y="1990725"/>
          <a:ext cx="1804668" cy="16323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822960</xdr:colOff>
      <xdr:row>0</xdr:row>
      <xdr:rowOff>22860</xdr:rowOff>
    </xdr:from>
    <xdr:to>
      <xdr:col>12</xdr:col>
      <xdr:colOff>194310</xdr:colOff>
      <xdr:row>16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342900</xdr:colOff>
      <xdr:row>23</xdr:row>
      <xdr:rowOff>0</xdr:rowOff>
    </xdr:from>
    <xdr:to>
      <xdr:col>9</xdr:col>
      <xdr:colOff>38100</xdr:colOff>
      <xdr:row>35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161925</xdr:rowOff>
    </xdr:from>
    <xdr:to>
      <xdr:col>13</xdr:col>
      <xdr:colOff>304800</xdr:colOff>
      <xdr:row>58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416219</xdr:colOff>
      <xdr:row>62</xdr:row>
      <xdr:rowOff>8004</xdr:rowOff>
    </xdr:from>
    <xdr:to>
      <xdr:col>12</xdr:col>
      <xdr:colOff>76845</xdr:colOff>
      <xdr:row>75</xdr:row>
      <xdr:rowOff>128853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387146</xdr:colOff>
      <xdr:row>83</xdr:row>
      <xdr:rowOff>41524</xdr:rowOff>
    </xdr:from>
    <xdr:to>
      <xdr:col>9</xdr:col>
      <xdr:colOff>422622</xdr:colOff>
      <xdr:row>96</xdr:row>
      <xdr:rowOff>162374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363887</xdr:colOff>
      <xdr:row>102</xdr:row>
      <xdr:rowOff>100674</xdr:rowOff>
    </xdr:from>
    <xdr:to>
      <xdr:col>10</xdr:col>
      <xdr:colOff>25614</xdr:colOff>
      <xdr:row>115</xdr:row>
      <xdr:rowOff>27795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0.64167</cdr:x>
      <cdr:y>0.44792</cdr:y>
    </cdr:from>
    <cdr:to>
      <cdr:x>0.64167</cdr:x>
      <cdr:y>0.75694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9E605E7F-4BC2-4832-8603-B66BA6F8ED91}"/>
            </a:ext>
          </a:extLst>
        </cdr:cNvPr>
        <cdr:cNvCxnSpPr/>
      </cdr:nvCxnSpPr>
      <cdr:spPr>
        <a:xfrm xmlns:a="http://schemas.openxmlformats.org/drawingml/2006/main" flipH="1" flipV="1">
          <a:off x="2933700" y="1228725"/>
          <a:ext cx="16" cy="84771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3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2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0.17292</cdr:x>
      <cdr:y>0.44445</cdr:y>
    </cdr:from>
    <cdr:to>
      <cdr:x>0.6375</cdr:x>
      <cdr:y>0.44792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72CADFD4-5918-455C-A57C-25C268F05C53}"/>
            </a:ext>
          </a:extLst>
        </cdr:cNvPr>
        <cdr:cNvCxnSpPr/>
      </cdr:nvCxnSpPr>
      <cdr:spPr>
        <a:xfrm xmlns:a="http://schemas.openxmlformats.org/drawingml/2006/main" flipH="1">
          <a:off x="790575" y="1219209"/>
          <a:ext cx="2124092" cy="9516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3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2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0.6348</cdr:x>
      <cdr:y>0.55359</cdr:y>
    </cdr:from>
    <cdr:to>
      <cdr:x>0.63639</cdr:x>
      <cdr:y>0.7427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9E605E7F-4BC2-4832-8603-B66BA6F8ED91}"/>
            </a:ext>
          </a:extLst>
        </cdr:cNvPr>
        <cdr:cNvCxnSpPr/>
      </cdr:nvCxnSpPr>
      <cdr:spPr>
        <a:xfrm xmlns:a="http://schemas.openxmlformats.org/drawingml/2006/main" flipH="1" flipV="1">
          <a:off x="3040380" y="1383030"/>
          <a:ext cx="7620" cy="472441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3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2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0.16625</cdr:x>
      <cdr:y>0.5486</cdr:y>
    </cdr:from>
    <cdr:to>
      <cdr:x>0.63083</cdr:x>
      <cdr:y>0.55207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72CADFD4-5918-455C-A57C-25C268F05C53}"/>
            </a:ext>
          </a:extLst>
        </cdr:cNvPr>
        <cdr:cNvCxnSpPr/>
      </cdr:nvCxnSpPr>
      <cdr:spPr>
        <a:xfrm xmlns:a="http://schemas.openxmlformats.org/drawingml/2006/main" flipH="1">
          <a:off x="796257" y="1370570"/>
          <a:ext cx="2225119" cy="8669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3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2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0.63877</cdr:x>
      <cdr:y>0.21351</cdr:y>
    </cdr:from>
    <cdr:to>
      <cdr:x>0.64116</cdr:x>
      <cdr:y>0.72592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9E605E7F-4BC2-4832-8603-B66BA6F8ED91}"/>
            </a:ext>
          </a:extLst>
        </cdr:cNvPr>
        <cdr:cNvCxnSpPr/>
      </cdr:nvCxnSpPr>
      <cdr:spPr>
        <a:xfrm xmlns:a="http://schemas.openxmlformats.org/drawingml/2006/main" flipH="1" flipV="1">
          <a:off x="3059430" y="533400"/>
          <a:ext cx="11430" cy="1280161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3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2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0.15909</cdr:x>
      <cdr:y>0.22723</cdr:y>
    </cdr:from>
    <cdr:to>
      <cdr:x>0.63798</cdr:x>
      <cdr:y>0.22876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72CADFD4-5918-455C-A57C-25C268F05C53}"/>
            </a:ext>
          </a:extLst>
        </cdr:cNvPr>
        <cdr:cNvCxnSpPr/>
      </cdr:nvCxnSpPr>
      <cdr:spPr>
        <a:xfrm xmlns:a="http://schemas.openxmlformats.org/drawingml/2006/main" flipH="1">
          <a:off x="761968" y="567690"/>
          <a:ext cx="2293652" cy="3829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3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2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0.64116</cdr:x>
      <cdr:y>0.29342</cdr:y>
    </cdr:from>
    <cdr:to>
      <cdr:x>0.6438</cdr:x>
      <cdr:y>0.72592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9E605E7F-4BC2-4832-8603-B66BA6F8ED91}"/>
            </a:ext>
          </a:extLst>
        </cdr:cNvPr>
        <cdr:cNvCxnSpPr/>
      </cdr:nvCxnSpPr>
      <cdr:spPr>
        <a:xfrm xmlns:a="http://schemas.openxmlformats.org/drawingml/2006/main" flipV="1">
          <a:off x="2562590" y="686940"/>
          <a:ext cx="10540" cy="1012577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3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2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0.21336</cdr:x>
      <cdr:y>0.30078</cdr:y>
    </cdr:from>
    <cdr:to>
      <cdr:x>0.6483</cdr:x>
      <cdr:y>0.30771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72CADFD4-5918-455C-A57C-25C268F05C53}"/>
            </a:ext>
          </a:extLst>
        </cdr:cNvPr>
        <cdr:cNvCxnSpPr/>
      </cdr:nvCxnSpPr>
      <cdr:spPr>
        <a:xfrm xmlns:a="http://schemas.openxmlformats.org/drawingml/2006/main" flipH="1" flipV="1">
          <a:off x="852752" y="704172"/>
          <a:ext cx="1738359" cy="1623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3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2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135255</xdr:colOff>
      <xdr:row>10</xdr:row>
      <xdr:rowOff>110490</xdr:rowOff>
    </xdr:from>
    <xdr:to>
      <xdr:col>13</xdr:col>
      <xdr:colOff>163830</xdr:colOff>
      <xdr:row>23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121920</xdr:colOff>
      <xdr:row>1</xdr:row>
      <xdr:rowOff>76200</xdr:rowOff>
    </xdr:from>
    <xdr:to>
      <xdr:col>10</xdr:col>
      <xdr:colOff>160019</xdr:colOff>
      <xdr:row>13</xdr:row>
      <xdr:rowOff>144779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286871</xdr:colOff>
      <xdr:row>0</xdr:row>
      <xdr:rowOff>53788</xdr:rowOff>
    </xdr:from>
    <xdr:to>
      <xdr:col>14</xdr:col>
      <xdr:colOff>313765</xdr:colOff>
      <xdr:row>12</xdr:row>
      <xdr:rowOff>35859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137160</xdr:colOff>
      <xdr:row>0</xdr:row>
      <xdr:rowOff>129540</xdr:rowOff>
    </xdr:from>
    <xdr:to>
      <xdr:col>14</xdr:col>
      <xdr:colOff>109280</xdr:colOff>
      <xdr:row>13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514351</xdr:colOff>
      <xdr:row>1</xdr:row>
      <xdr:rowOff>144780</xdr:rowOff>
    </xdr:from>
    <xdr:to>
      <xdr:col>11</xdr:col>
      <xdr:colOff>129541</xdr:colOff>
      <xdr:row>16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20</xdr:row>
      <xdr:rowOff>112201</xdr:rowOff>
    </xdr:from>
    <xdr:to>
      <xdr:col>8</xdr:col>
      <xdr:colOff>457201</xdr:colOff>
      <xdr:row>33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62865</xdr:colOff>
      <xdr:row>79</xdr:row>
      <xdr:rowOff>11430</xdr:rowOff>
    </xdr:from>
    <xdr:to>
      <xdr:col>3</xdr:col>
      <xdr:colOff>640080</xdr:colOff>
      <xdr:row>100</xdr:row>
      <xdr:rowOff>70485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43</xdr:row>
      <xdr:rowOff>64770</xdr:rowOff>
    </xdr:from>
    <xdr:to>
      <xdr:col>3</xdr:col>
      <xdr:colOff>666750</xdr:colOff>
      <xdr:row>60</xdr:row>
      <xdr:rowOff>55245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99060</xdr:colOff>
      <xdr:row>60</xdr:row>
      <xdr:rowOff>133350</xdr:rowOff>
    </xdr:from>
    <xdr:to>
      <xdr:col>3</xdr:col>
      <xdr:colOff>720090</xdr:colOff>
      <xdr:row>78</xdr:row>
      <xdr:rowOff>62865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381000</xdr:colOff>
      <xdr:row>127</xdr:row>
      <xdr:rowOff>152400</xdr:rowOff>
    </xdr:from>
    <xdr:to>
      <xdr:col>3</xdr:col>
      <xdr:colOff>958215</xdr:colOff>
      <xdr:row>147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91440</xdr:colOff>
      <xdr:row>27</xdr:row>
      <xdr:rowOff>137160</xdr:rowOff>
    </xdr:from>
    <xdr:to>
      <xdr:col>3</xdr:col>
      <xdr:colOff>783590</xdr:colOff>
      <xdr:row>42</xdr:row>
      <xdr:rowOff>10160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419100</xdr:colOff>
      <xdr:row>148</xdr:row>
      <xdr:rowOff>144780</xdr:rowOff>
    </xdr:from>
    <xdr:to>
      <xdr:col>3</xdr:col>
      <xdr:colOff>996315</xdr:colOff>
      <xdr:row>166</xdr:row>
      <xdr:rowOff>89535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350520</xdr:colOff>
      <xdr:row>167</xdr:row>
      <xdr:rowOff>167640</xdr:rowOff>
    </xdr:from>
    <xdr:to>
      <xdr:col>3</xdr:col>
      <xdr:colOff>927735</xdr:colOff>
      <xdr:row>185</xdr:row>
      <xdr:rowOff>142875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187</xdr:row>
      <xdr:rowOff>0</xdr:rowOff>
    </xdr:from>
    <xdr:to>
      <xdr:col>3</xdr:col>
      <xdr:colOff>577215</xdr:colOff>
      <xdr:row>204</xdr:row>
      <xdr:rowOff>127635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213360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6260"/>
          <a:ext cx="8229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2</xdr:col>
      <xdr:colOff>350520</xdr:colOff>
      <xdr:row>6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7260"/>
          <a:ext cx="96012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2</xdr:col>
      <xdr:colOff>182880</xdr:colOff>
      <xdr:row>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18260"/>
          <a:ext cx="7924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2</xdr:col>
      <xdr:colOff>251460</xdr:colOff>
      <xdr:row>10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99260"/>
          <a:ext cx="8610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251460</xdr:colOff>
      <xdr:row>12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80260"/>
          <a:ext cx="8610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2</xdr:col>
      <xdr:colOff>91440</xdr:colOff>
      <xdr:row>14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61260"/>
          <a:ext cx="70104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2</xdr:col>
      <xdr:colOff>495300</xdr:colOff>
      <xdr:row>16</xdr:row>
      <xdr:rowOff>15240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2260"/>
          <a:ext cx="110490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7</xdr:col>
      <xdr:colOff>198120</xdr:colOff>
      <xdr:row>19</xdr:row>
      <xdr:rowOff>30480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15640"/>
          <a:ext cx="385572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133350</xdr:colOff>
      <xdr:row>2</xdr:row>
      <xdr:rowOff>76200</xdr:rowOff>
    </xdr:from>
    <xdr:to>
      <xdr:col>28</xdr:col>
      <xdr:colOff>228600</xdr:colOff>
      <xdr:row>26</xdr:row>
      <xdr:rowOff>19050</xdr:rowOff>
    </xdr:to>
    <xdr:graphicFrame macro="">
      <xdr:nvGraphicFramePr>
        <xdr:cNvPr id="2" name="Chart 102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0</xdr:colOff>
      <xdr:row>3</xdr:row>
      <xdr:rowOff>0</xdr:rowOff>
    </xdr:from>
    <xdr:to>
      <xdr:col>31</xdr:col>
      <xdr:colOff>66514</xdr:colOff>
      <xdr:row>11</xdr:row>
      <xdr:rowOff>85538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78400" y="485775"/>
          <a:ext cx="1285714" cy="1495238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13</xdr:row>
      <xdr:rowOff>0</xdr:rowOff>
    </xdr:from>
    <xdr:to>
      <xdr:col>31</xdr:col>
      <xdr:colOff>85562</xdr:colOff>
      <xdr:row>21</xdr:row>
      <xdr:rowOff>161743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78400" y="2219325"/>
          <a:ext cx="1304762" cy="145714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133350</xdr:colOff>
      <xdr:row>2</xdr:row>
      <xdr:rowOff>76200</xdr:rowOff>
    </xdr:from>
    <xdr:to>
      <xdr:col>28</xdr:col>
      <xdr:colOff>228600</xdr:colOff>
      <xdr:row>26</xdr:row>
      <xdr:rowOff>19050</xdr:rowOff>
    </xdr:to>
    <xdr:graphicFrame macro="">
      <xdr:nvGraphicFramePr>
        <xdr:cNvPr id="2" name="Chart 1025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133350</xdr:colOff>
      <xdr:row>2</xdr:row>
      <xdr:rowOff>76200</xdr:rowOff>
    </xdr:from>
    <xdr:to>
      <xdr:col>28</xdr:col>
      <xdr:colOff>228600</xdr:colOff>
      <xdr:row>26</xdr:row>
      <xdr:rowOff>19050</xdr:rowOff>
    </xdr:to>
    <xdr:graphicFrame macro="">
      <xdr:nvGraphicFramePr>
        <xdr:cNvPr id="2" name="Chart 1025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133350</xdr:colOff>
      <xdr:row>2</xdr:row>
      <xdr:rowOff>76200</xdr:rowOff>
    </xdr:from>
    <xdr:to>
      <xdr:col>28</xdr:col>
      <xdr:colOff>228600</xdr:colOff>
      <xdr:row>26</xdr:row>
      <xdr:rowOff>19050</xdr:rowOff>
    </xdr:to>
    <xdr:graphicFrame macro="">
      <xdr:nvGraphicFramePr>
        <xdr:cNvPr id="2" name="Chart 1025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133350</xdr:colOff>
      <xdr:row>2</xdr:row>
      <xdr:rowOff>76200</xdr:rowOff>
    </xdr:from>
    <xdr:to>
      <xdr:col>28</xdr:col>
      <xdr:colOff>228600</xdr:colOff>
      <xdr:row>26</xdr:row>
      <xdr:rowOff>19050</xdr:rowOff>
    </xdr:to>
    <xdr:graphicFrame macro="">
      <xdr:nvGraphicFramePr>
        <xdr:cNvPr id="2" name="Chart 1025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wayllac_a/Downloads/LL%20&amp;%20PL%20Tes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wayllac_a/Downloads/Copy%20of%20LL%20&amp;%20PL%20Tes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wayllac_a/Downloads/Test%20Resul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UZ.35"/>
    </sheetNames>
    <sheetDataSet>
      <sheetData sheetId="0">
        <row r="6">
          <cell r="D6">
            <v>0.31530139103554855</v>
          </cell>
          <cell r="E6">
            <v>0.34064665127020777</v>
          </cell>
          <cell r="F6">
            <v>0.33300297324083239</v>
          </cell>
        </row>
        <row r="7">
          <cell r="D7">
            <v>27</v>
          </cell>
          <cell r="E7">
            <v>17</v>
          </cell>
          <cell r="F7">
            <v>23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USUZ=0"/>
      <sheetName val="USUZ.35"/>
      <sheetName val="USUZ=.7"/>
    </sheetNames>
    <sheetDataSet>
      <sheetData sheetId="0" refreshError="1"/>
      <sheetData sheetId="1" refreshError="1"/>
      <sheetData sheetId="2" refreshError="1"/>
      <sheetData sheetId="3">
        <row r="16">
          <cell r="D16">
            <v>0.42388758782201363</v>
          </cell>
          <cell r="E16">
            <v>0.39313984168865385</v>
          </cell>
          <cell r="F16">
            <v>0.3697705802968958</v>
          </cell>
        </row>
        <row r="17">
          <cell r="D17">
            <v>13</v>
          </cell>
          <cell r="E17">
            <v>23</v>
          </cell>
          <cell r="F17">
            <v>34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all values"/>
      <sheetName val="USUZ=0"/>
      <sheetName val="USUZ.35"/>
      <sheetName val="USUZ=.7"/>
      <sheetName val="EIT=0.15"/>
      <sheetName val="EIT=0.42 "/>
      <sheetName val="EIT=0.82"/>
      <sheetName val="Sheet1"/>
    </sheetNames>
    <sheetDataSet>
      <sheetData sheetId="0" refreshError="1"/>
      <sheetData sheetId="1" refreshError="1"/>
      <sheetData sheetId="2">
        <row r="6">
          <cell r="D6">
            <v>0.31530139103554855</v>
          </cell>
        </row>
      </sheetData>
      <sheetData sheetId="3">
        <row r="16">
          <cell r="D16">
            <v>0.42388758782201363</v>
          </cell>
        </row>
      </sheetData>
      <sheetData sheetId="4">
        <row r="7">
          <cell r="C7">
            <v>0.49137931034482796</v>
          </cell>
          <cell r="D7">
            <v>0.45195729537366525</v>
          </cell>
          <cell r="E7">
            <v>0.46315789473684227</v>
          </cell>
        </row>
        <row r="8">
          <cell r="C8">
            <v>12</v>
          </cell>
          <cell r="D8">
            <v>26</v>
          </cell>
          <cell r="E8">
            <v>23</v>
          </cell>
        </row>
      </sheetData>
      <sheetData sheetId="5">
        <row r="7">
          <cell r="C7">
            <v>0.52573529411764686</v>
          </cell>
          <cell r="D7">
            <v>0.64013840830449842</v>
          </cell>
          <cell r="E7">
            <v>0.6700507614213197</v>
          </cell>
        </row>
        <row r="8">
          <cell r="C8">
            <v>35</v>
          </cell>
          <cell r="D8">
            <v>20</v>
          </cell>
          <cell r="E8">
            <v>16</v>
          </cell>
        </row>
      </sheetData>
      <sheetData sheetId="6">
        <row r="7">
          <cell r="C7">
            <v>1.1750000000000007</v>
          </cell>
          <cell r="D7">
            <v>1.0173410404624275</v>
          </cell>
          <cell r="E7">
            <v>1.2773109243697462</v>
          </cell>
        </row>
        <row r="8">
          <cell r="C8">
            <v>21</v>
          </cell>
          <cell r="D8">
            <v>31</v>
          </cell>
          <cell r="E8">
            <v>13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33"/>
  <sheetViews>
    <sheetView tabSelected="1" workbookViewId="0">
      <selection activeCell="I23" sqref="I23"/>
    </sheetView>
  </sheetViews>
  <sheetFormatPr defaultRowHeight="14.4"/>
  <cols>
    <col min="1" max="1" width="16.88671875" customWidth="1"/>
    <col min="2" max="2" width="22" bestFit="1" customWidth="1"/>
    <col min="3" max="3" width="14.21875" customWidth="1"/>
    <col min="4" max="5" width="15.33203125" customWidth="1"/>
    <col min="6" max="6" width="16.5546875" bestFit="1" customWidth="1"/>
    <col min="7" max="7" width="22" customWidth="1"/>
    <col min="8" max="8" width="12.5546875" bestFit="1" customWidth="1"/>
    <col min="9" max="9" width="11.109375" customWidth="1"/>
    <col min="14" max="14" width="10.6640625" bestFit="1" customWidth="1"/>
    <col min="19" max="19" width="12" bestFit="1" customWidth="1"/>
  </cols>
  <sheetData>
    <row r="1" spans="1:21">
      <c r="J1" s="110" t="s">
        <v>26</v>
      </c>
      <c r="K1" s="192"/>
      <c r="L1" s="192"/>
      <c r="M1" s="192"/>
      <c r="N1" s="193"/>
      <c r="O1" s="110" t="s">
        <v>27</v>
      </c>
      <c r="P1" s="192"/>
      <c r="Q1" s="192"/>
      <c r="R1" s="192"/>
      <c r="S1" s="193"/>
      <c r="T1" t="s">
        <v>28</v>
      </c>
    </row>
    <row r="2" spans="1:21">
      <c r="A2" s="2" t="s">
        <v>1</v>
      </c>
      <c r="B2" s="2" t="s">
        <v>189</v>
      </c>
      <c r="C2" s="2" t="s">
        <v>188</v>
      </c>
      <c r="D2" s="6" t="s">
        <v>178</v>
      </c>
      <c r="E2" s="6" t="s">
        <v>179</v>
      </c>
      <c r="F2" s="6" t="s">
        <v>24</v>
      </c>
      <c r="G2" s="6" t="s">
        <v>187</v>
      </c>
      <c r="H2" s="200" t="s">
        <v>180</v>
      </c>
      <c r="I2" s="109" t="s">
        <v>181</v>
      </c>
      <c r="J2" s="188" t="s">
        <v>190</v>
      </c>
      <c r="K2" s="189" t="s">
        <v>191</v>
      </c>
      <c r="L2" s="190" t="s">
        <v>182</v>
      </c>
      <c r="M2" s="189" t="s">
        <v>183</v>
      </c>
      <c r="N2" s="191" t="s">
        <v>184</v>
      </c>
      <c r="O2" s="188" t="s">
        <v>192</v>
      </c>
      <c r="P2" s="189" t="s">
        <v>191</v>
      </c>
      <c r="Q2" s="190" t="s">
        <v>182</v>
      </c>
      <c r="R2" s="189" t="s">
        <v>183</v>
      </c>
      <c r="S2" s="191" t="s">
        <v>184</v>
      </c>
      <c r="T2" s="201" t="s">
        <v>185</v>
      </c>
      <c r="U2" s="6" t="s">
        <v>186</v>
      </c>
    </row>
    <row r="3" spans="1:21">
      <c r="A3" s="2" t="s">
        <v>4</v>
      </c>
      <c r="B3" s="2">
        <f>0.92-0</f>
        <v>0.92</v>
      </c>
      <c r="C3" s="2">
        <v>42</v>
      </c>
      <c r="D3" s="35">
        <f>Atterberg!B19</f>
        <v>0.22212186073708839</v>
      </c>
      <c r="E3" s="35">
        <f>Atterberg!B10</f>
        <v>0.23219999999999999</v>
      </c>
      <c r="F3" s="6" t="s">
        <v>93</v>
      </c>
      <c r="G3" s="2">
        <v>2.6</v>
      </c>
      <c r="H3" s="3">
        <f>sat_density!B14</f>
        <v>1.9010845897497262</v>
      </c>
      <c r="I3" s="110">
        <f>0.44</f>
        <v>0.44</v>
      </c>
      <c r="J3" s="113">
        <f>SWR_UTU0!B7</f>
        <v>0.44</v>
      </c>
      <c r="K3" s="2">
        <f>SWR_UTU0!B6</f>
        <v>0.1</v>
      </c>
      <c r="L3" s="76">
        <f>SWR_UTU0!B3</f>
        <v>0.04</v>
      </c>
      <c r="M3" s="2">
        <f>SWR_UTU0!B4</f>
        <v>1.64</v>
      </c>
      <c r="N3" s="114">
        <f>SWR_UTU0!B8</f>
        <v>3.57E-4</v>
      </c>
      <c r="O3" s="117">
        <f>SWR_UTU0!J7</f>
        <v>0.38</v>
      </c>
      <c r="P3" s="2">
        <f>SWR_UTU0!J6</f>
        <v>0.1</v>
      </c>
      <c r="Q3" s="2">
        <f>SWR_UTU0!J3</f>
        <v>0.04</v>
      </c>
      <c r="R3" s="76">
        <f>SWR_UTU0!J4</f>
        <v>1.5</v>
      </c>
      <c r="S3" s="114">
        <f>SWR_UTU0!J8</f>
        <v>2.1000000000000001E-4</v>
      </c>
      <c r="T3" s="118">
        <v>40</v>
      </c>
      <c r="U3" s="3">
        <v>4.58</v>
      </c>
    </row>
    <row r="4" spans="1:21">
      <c r="A4" s="2" t="s">
        <v>202</v>
      </c>
      <c r="B4" s="2">
        <f>0.92-0.35</f>
        <v>0.57000000000000006</v>
      </c>
      <c r="C4" s="2">
        <v>42</v>
      </c>
      <c r="D4" s="35">
        <f>Atterberg!B39</f>
        <v>0.27277441659464124</v>
      </c>
      <c r="E4" s="35">
        <f>Atterberg!C31</f>
        <v>0.32400000000000001</v>
      </c>
      <c r="F4" s="6" t="s">
        <v>93</v>
      </c>
      <c r="G4" s="2">
        <v>2.4900000000000002</v>
      </c>
      <c r="H4" s="3">
        <f>sat_density!B26</f>
        <v>1.8969023937148581</v>
      </c>
      <c r="I4" s="111">
        <f>SWR_UTU035!B7</f>
        <v>0.41</v>
      </c>
      <c r="J4" s="113">
        <f>I4</f>
        <v>0.41</v>
      </c>
      <c r="K4" s="2">
        <f>SWR_UTU035!J6</f>
        <v>8.8999999999999996E-2</v>
      </c>
      <c r="L4" s="76">
        <f>SWR_UTU035!B3</f>
        <v>0.08</v>
      </c>
      <c r="M4" s="2">
        <f>SWR_UTU035!B4</f>
        <v>1.47</v>
      </c>
      <c r="N4" s="114">
        <f>SWR_UTU035!B8</f>
        <v>4.0899999999999999E-3</v>
      </c>
      <c r="O4" s="117">
        <f>SWR_UTU035!J7</f>
        <v>0.33</v>
      </c>
      <c r="P4" s="2">
        <f>SWR_UTU035!J6</f>
        <v>8.8999999999999996E-2</v>
      </c>
      <c r="Q4" s="2">
        <f>SWR_UTU035!J3</f>
        <v>0.08</v>
      </c>
      <c r="R4" s="76">
        <f>SWR_UTU035!J4</f>
        <v>1.4</v>
      </c>
      <c r="S4" s="194">
        <f>SWR_UTU035!J8</f>
        <v>6.8899999999999994E-5</v>
      </c>
      <c r="T4" s="213">
        <v>34.799999999999997</v>
      </c>
      <c r="U4" s="215">
        <v>4.42</v>
      </c>
    </row>
    <row r="5" spans="1:21">
      <c r="A5" s="2" t="s">
        <v>203</v>
      </c>
      <c r="B5" s="2">
        <f>0.92-0.55</f>
        <v>0.37</v>
      </c>
      <c r="C5" s="2">
        <v>42</v>
      </c>
      <c r="D5" s="35" t="s">
        <v>175</v>
      </c>
      <c r="E5" s="35" t="s">
        <v>175</v>
      </c>
      <c r="F5" s="35" t="s">
        <v>175</v>
      </c>
      <c r="G5" s="35" t="s">
        <v>175</v>
      </c>
      <c r="H5" s="35" t="s">
        <v>175</v>
      </c>
      <c r="I5" s="35" t="s">
        <v>175</v>
      </c>
      <c r="J5" s="35" t="s">
        <v>175</v>
      </c>
      <c r="K5" s="35" t="s">
        <v>175</v>
      </c>
      <c r="L5" s="35" t="s">
        <v>175</v>
      </c>
      <c r="M5" s="35" t="s">
        <v>175</v>
      </c>
      <c r="N5" s="35" t="s">
        <v>175</v>
      </c>
      <c r="O5" s="35" t="s">
        <v>175</v>
      </c>
      <c r="P5" s="35" t="s">
        <v>175</v>
      </c>
      <c r="Q5" s="35" t="s">
        <v>175</v>
      </c>
      <c r="R5" s="35" t="s">
        <v>175</v>
      </c>
      <c r="S5" s="35" t="s">
        <v>175</v>
      </c>
      <c r="T5" s="214"/>
      <c r="U5" s="216"/>
    </row>
    <row r="6" spans="1:21">
      <c r="A6" s="2" t="s">
        <v>2</v>
      </c>
      <c r="B6" s="2">
        <f>0.92-0.7</f>
        <v>0.22000000000000008</v>
      </c>
      <c r="C6" s="2">
        <v>42</v>
      </c>
      <c r="D6" s="44">
        <f>Atterberg!B48</f>
        <v>0.32799908570942587</v>
      </c>
      <c r="E6" s="35">
        <f>Atterberg!C57</f>
        <v>0.39100000000000001</v>
      </c>
      <c r="F6" s="45" t="s">
        <v>93</v>
      </c>
      <c r="G6" s="2">
        <v>2.6</v>
      </c>
      <c r="H6" s="3">
        <f>sat_density!B40</f>
        <v>1.6671437670823819</v>
      </c>
      <c r="I6" s="112">
        <f>J6</f>
        <v>0.46</v>
      </c>
      <c r="J6" s="115">
        <f>SWR_UTU07!B7</f>
        <v>0.46</v>
      </c>
      <c r="K6" s="6">
        <f>SWR_UTU07!B6</f>
        <v>0.1</v>
      </c>
      <c r="L6" s="75">
        <f>SWR_UTU07!B3</f>
        <v>4.2000000000000003E-2</v>
      </c>
      <c r="M6" s="6">
        <f>SWR_UTU07!B4</f>
        <v>1.5860000000000001</v>
      </c>
      <c r="N6" s="116">
        <f>SWR_UTU07!B8</f>
        <v>1E-4</v>
      </c>
      <c r="O6" s="119">
        <f>SWR_UTU07!J7</f>
        <v>0.36799999999999999</v>
      </c>
      <c r="P6" s="6">
        <f>SWR_UTU07!J6</f>
        <v>0.1</v>
      </c>
      <c r="Q6" s="6">
        <f>SWR_UTU07!J3</f>
        <v>4.2000000000000003E-2</v>
      </c>
      <c r="R6" s="75">
        <f>SWR_UTU07!J4</f>
        <v>1.55</v>
      </c>
      <c r="S6" s="116">
        <f>SWR_UTU07!J8</f>
        <v>4.7899999999999999E-5</v>
      </c>
      <c r="T6" s="118">
        <v>53.9</v>
      </c>
      <c r="U6" s="3">
        <v>0.42</v>
      </c>
    </row>
    <row r="7" spans="1:21">
      <c r="A7" s="2" t="s">
        <v>6</v>
      </c>
      <c r="B7" s="2">
        <f>1.32-0.15</f>
        <v>1.1700000000000002</v>
      </c>
      <c r="C7" s="2">
        <v>45</v>
      </c>
      <c r="D7" s="35">
        <f>Atterberg!B77</f>
        <v>0.38580772286011999</v>
      </c>
      <c r="E7" s="35">
        <f>Atterberg!B69</f>
        <v>0.45600000000000002</v>
      </c>
      <c r="F7" s="2" t="s">
        <v>130</v>
      </c>
      <c r="G7" s="2">
        <v>2.57</v>
      </c>
      <c r="H7" s="60">
        <f>sat_density!B48</f>
        <v>1.7845347191861285</v>
      </c>
      <c r="I7" s="111">
        <f>SWR_ELTz015!B7</f>
        <v>0.51</v>
      </c>
      <c r="J7" s="113">
        <f>SWR_ELTz015!B7</f>
        <v>0.51</v>
      </c>
      <c r="K7" s="2">
        <f>SWR_ELTz015!B6</f>
        <v>0.1</v>
      </c>
      <c r="L7" s="76">
        <f>SWR_ELTz015!B3</f>
        <v>1.9E-2</v>
      </c>
      <c r="M7" s="2">
        <f>SWR_ELTz015!B4</f>
        <v>1.35</v>
      </c>
      <c r="N7" s="114">
        <f>SWR_ELTz015!B8</f>
        <v>6.9999999999999994E-5</v>
      </c>
      <c r="O7" s="117">
        <f>SWR_ELTz015!J7</f>
        <v>0.46</v>
      </c>
      <c r="P7" s="2">
        <f>SWR_ELTz015!J6</f>
        <v>0.1</v>
      </c>
      <c r="Q7" s="2">
        <f>SWR_ELTz015!J3</f>
        <v>0.02</v>
      </c>
      <c r="R7" s="76">
        <f>SWR_ELTz015!J4</f>
        <v>1.39</v>
      </c>
      <c r="S7" s="114">
        <f>SWR_ELTz015!J8</f>
        <v>7.5000000000000002E-6</v>
      </c>
      <c r="T7" s="118">
        <v>45.6</v>
      </c>
      <c r="U7" s="3">
        <v>2.29</v>
      </c>
    </row>
    <row r="8" spans="1:21">
      <c r="A8" s="2" t="s">
        <v>7</v>
      </c>
      <c r="B8" s="2">
        <f>1.32-0.42</f>
        <v>0.90000000000000013</v>
      </c>
      <c r="C8" s="2">
        <v>45</v>
      </c>
      <c r="D8" s="35">
        <f>Atterberg!B98</f>
        <v>0.44336138382421664</v>
      </c>
      <c r="E8" s="71">
        <f>Atterberg!B90</f>
        <v>0.6</v>
      </c>
      <c r="F8" s="2" t="s">
        <v>131</v>
      </c>
      <c r="G8" s="2">
        <v>2.57</v>
      </c>
      <c r="H8" s="3">
        <f>sat_density!B60</f>
        <v>1.8063757845730992</v>
      </c>
      <c r="I8" s="111">
        <f>SWR_ELTz042!B7</f>
        <v>0.5</v>
      </c>
      <c r="J8" s="113">
        <f>SWR_ELTz042!B7</f>
        <v>0.5</v>
      </c>
      <c r="K8" s="192">
        <f>SWR_ELTz042!B6</f>
        <v>0.1</v>
      </c>
      <c r="L8" s="76">
        <f>SWR_UTU0!B3</f>
        <v>0.04</v>
      </c>
      <c r="M8" s="192">
        <f>SWR_ELTz042!B4</f>
        <v>1.6</v>
      </c>
      <c r="N8" s="114">
        <f>SWR_ELTz042!B8</f>
        <v>3.5899999999999998E-5</v>
      </c>
      <c r="O8" s="197">
        <f>SWR_ELTz042!J7</f>
        <v>0.46</v>
      </c>
      <c r="P8" s="131">
        <f>SWR_ELTz042!J6</f>
        <v>0.1</v>
      </c>
      <c r="Q8" s="131">
        <f>SWR_ELTz042!J3</f>
        <v>7.0000000000000007E-2</v>
      </c>
      <c r="R8" s="198">
        <f>SWR_ELTz042!J4</f>
        <v>1.39</v>
      </c>
      <c r="S8" s="199">
        <f>SWR_ELTz042!J8</f>
        <v>9.5000000000000005E-6</v>
      </c>
      <c r="T8" s="118">
        <v>35.5</v>
      </c>
      <c r="U8" s="2">
        <v>0</v>
      </c>
    </row>
    <row r="9" spans="1:21">
      <c r="A9" s="2" t="s">
        <v>8</v>
      </c>
      <c r="B9" s="2">
        <f>1.32-0.89</f>
        <v>0.43000000000000005</v>
      </c>
      <c r="C9" s="2">
        <v>45</v>
      </c>
      <c r="D9" s="35">
        <f>Atterberg!B117</f>
        <v>0.83487336746244944</v>
      </c>
      <c r="E9" s="35">
        <f>Atterberg!B109</f>
        <v>1.1000000000000001</v>
      </c>
      <c r="F9" s="2" t="s">
        <v>132</v>
      </c>
      <c r="G9" s="2">
        <v>2.35</v>
      </c>
      <c r="H9" s="2" t="s">
        <v>177</v>
      </c>
      <c r="I9" s="2">
        <v>0.52</v>
      </c>
      <c r="J9" s="2" t="s">
        <v>175</v>
      </c>
      <c r="K9" s="2" t="s">
        <v>175</v>
      </c>
      <c r="L9" s="2" t="s">
        <v>176</v>
      </c>
      <c r="M9" s="2" t="s">
        <v>175</v>
      </c>
      <c r="N9" s="2" t="s">
        <v>175</v>
      </c>
      <c r="O9" s="2" t="s">
        <v>177</v>
      </c>
      <c r="P9" s="2" t="s">
        <v>175</v>
      </c>
      <c r="Q9" s="2" t="s">
        <v>175</v>
      </c>
      <c r="R9" s="2" t="s">
        <v>176</v>
      </c>
      <c r="S9" s="2" t="s">
        <v>177</v>
      </c>
      <c r="T9" s="118">
        <v>34.9</v>
      </c>
      <c r="U9" s="2">
        <v>5.13</v>
      </c>
    </row>
    <row r="10" spans="1:21">
      <c r="A10" s="6" t="s">
        <v>155</v>
      </c>
      <c r="B10" s="2">
        <v>0.9</v>
      </c>
      <c r="C10" s="6">
        <v>45</v>
      </c>
      <c r="J10" s="67"/>
      <c r="K10" s="67"/>
      <c r="L10" s="67"/>
      <c r="M10" s="67"/>
      <c r="N10" s="207">
        <v>3.2000000000000003E-4</v>
      </c>
      <c r="O10" s="67"/>
      <c r="P10" s="67"/>
      <c r="Q10" s="67"/>
      <c r="R10" s="67"/>
      <c r="S10" s="67"/>
    </row>
    <row r="11" spans="1:21">
      <c r="A11" s="5"/>
      <c r="B11" t="s">
        <v>200</v>
      </c>
      <c r="C11" s="5"/>
      <c r="G11" s="208" t="s">
        <v>196</v>
      </c>
      <c r="H11" s="67"/>
      <c r="I11" s="5" t="s">
        <v>205</v>
      </c>
      <c r="J11" s="67"/>
      <c r="K11" s="67"/>
      <c r="L11" s="67"/>
      <c r="M11" s="209" t="s">
        <v>195</v>
      </c>
      <c r="N11" s="67"/>
      <c r="O11" s="67"/>
      <c r="P11" s="67"/>
      <c r="Q11" s="67"/>
      <c r="R11" s="67"/>
      <c r="S11" s="208" t="s">
        <v>198</v>
      </c>
    </row>
    <row r="12" spans="1:21">
      <c r="A12" t="s">
        <v>21</v>
      </c>
      <c r="F12" t="s">
        <v>6</v>
      </c>
      <c r="G12" s="67"/>
      <c r="H12" s="67"/>
      <c r="I12" s="5" t="s">
        <v>201</v>
      </c>
      <c r="J12" s="67"/>
      <c r="K12" s="67"/>
      <c r="L12" s="67"/>
      <c r="M12" s="5" t="s">
        <v>197</v>
      </c>
      <c r="N12" s="67"/>
      <c r="O12" s="67"/>
      <c r="P12" s="67"/>
      <c r="Q12" s="67"/>
      <c r="R12" s="67"/>
      <c r="S12" s="67" t="s">
        <v>199</v>
      </c>
    </row>
    <row r="23" spans="1:6">
      <c r="A23" t="s">
        <v>3</v>
      </c>
      <c r="F23" t="s">
        <v>7</v>
      </c>
    </row>
    <row r="24" spans="1:6" ht="100.8">
      <c r="A24" s="63" t="s">
        <v>204</v>
      </c>
    </row>
    <row r="33" spans="1:7">
      <c r="A33" t="s">
        <v>2</v>
      </c>
      <c r="F33" t="s">
        <v>8</v>
      </c>
      <c r="G33" t="s">
        <v>129</v>
      </c>
    </row>
  </sheetData>
  <mergeCells count="2">
    <mergeCell ref="T4:T5"/>
    <mergeCell ref="U4:U5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/>
  <dimension ref="A1:I118"/>
  <sheetViews>
    <sheetView zoomScale="119" workbookViewId="0">
      <selection activeCell="B11" sqref="B11"/>
    </sheetView>
  </sheetViews>
  <sheetFormatPr defaultRowHeight="14.4"/>
  <cols>
    <col min="1" max="1" width="39.44140625" bestFit="1" customWidth="1"/>
    <col min="6" max="6" width="18.88671875" bestFit="1" customWidth="1"/>
  </cols>
  <sheetData>
    <row r="1" spans="1:6" ht="15" thickBot="1">
      <c r="A1" s="231" t="s">
        <v>80</v>
      </c>
      <c r="B1" s="231"/>
      <c r="C1" s="231"/>
      <c r="D1" s="231"/>
    </row>
    <row r="2" spans="1:6">
      <c r="A2" s="232" t="s">
        <v>66</v>
      </c>
      <c r="B2" s="234" t="s">
        <v>67</v>
      </c>
      <c r="C2" s="234"/>
      <c r="D2" s="235"/>
      <c r="E2" s="25"/>
    </row>
    <row r="3" spans="1:6">
      <c r="A3" s="233"/>
      <c r="B3" s="26">
        <v>1</v>
      </c>
      <c r="C3" s="26">
        <v>2</v>
      </c>
      <c r="D3" s="27">
        <v>3</v>
      </c>
    </row>
    <row r="4" spans="1:6">
      <c r="A4" s="28" t="s">
        <v>68</v>
      </c>
      <c r="B4" s="26" t="s">
        <v>69</v>
      </c>
      <c r="C4" s="26" t="s">
        <v>70</v>
      </c>
      <c r="D4" s="27" t="s">
        <v>71</v>
      </c>
    </row>
    <row r="5" spans="1:6">
      <c r="A5" s="28" t="s">
        <v>72</v>
      </c>
      <c r="B5" s="26">
        <v>12.02</v>
      </c>
      <c r="C5" s="26">
        <v>12.15</v>
      </c>
      <c r="D5" s="27">
        <v>11.72</v>
      </c>
    </row>
    <row r="6" spans="1:6">
      <c r="A6" s="28" t="s">
        <v>73</v>
      </c>
      <c r="B6" s="26">
        <v>18.87</v>
      </c>
      <c r="C6" s="26">
        <v>18.71</v>
      </c>
      <c r="D6" s="27">
        <v>22.24</v>
      </c>
    </row>
    <row r="7" spans="1:6">
      <c r="A7" s="28" t="s">
        <v>74</v>
      </c>
      <c r="B7" s="26">
        <v>17.579999999999998</v>
      </c>
      <c r="C7" s="26">
        <v>17.47</v>
      </c>
      <c r="D7" s="27">
        <v>20.18</v>
      </c>
    </row>
    <row r="8" spans="1:6">
      <c r="A8" s="28" t="s">
        <v>75</v>
      </c>
      <c r="B8" s="29">
        <f>(B6-B7)/(B7-B5)</f>
        <v>0.23201438848920916</v>
      </c>
      <c r="C8" s="29">
        <f t="shared" ref="C8:D8" si="0">(C6-C7)/(C7-C5)</f>
        <v>0.23308270676691772</v>
      </c>
      <c r="D8" s="30">
        <f t="shared" si="0"/>
        <v>0.24349881796690295</v>
      </c>
    </row>
    <row r="9" spans="1:6">
      <c r="A9" s="28" t="s">
        <v>76</v>
      </c>
      <c r="B9" s="26">
        <v>28</v>
      </c>
      <c r="C9" s="26">
        <v>23</v>
      </c>
      <c r="D9" s="27">
        <v>16</v>
      </c>
    </row>
    <row r="10" spans="1:6" ht="15" thickBot="1">
      <c r="A10" s="31" t="s">
        <v>77</v>
      </c>
      <c r="B10" s="236">
        <v>0.23219999999999999</v>
      </c>
      <c r="C10" s="236"/>
      <c r="D10" s="237"/>
    </row>
    <row r="11" spans="1:6" ht="15" thickBot="1">
      <c r="A11" s="32"/>
      <c r="B11" s="32"/>
      <c r="C11" s="32"/>
    </row>
    <row r="12" spans="1:6">
      <c r="A12" s="232" t="s">
        <v>66</v>
      </c>
      <c r="B12" s="234" t="s">
        <v>67</v>
      </c>
      <c r="C12" s="234"/>
      <c r="D12" s="234"/>
      <c r="E12" s="235"/>
    </row>
    <row r="13" spans="1:6">
      <c r="A13" s="233"/>
      <c r="B13" s="26">
        <v>1</v>
      </c>
      <c r="C13" s="26">
        <v>2</v>
      </c>
      <c r="D13" s="33">
        <v>3</v>
      </c>
      <c r="E13" s="27">
        <v>4</v>
      </c>
    </row>
    <row r="14" spans="1:6">
      <c r="A14" s="28" t="s">
        <v>68</v>
      </c>
      <c r="B14" s="26" t="s">
        <v>69</v>
      </c>
      <c r="C14" s="26" t="s">
        <v>70</v>
      </c>
      <c r="D14" s="26" t="s">
        <v>71</v>
      </c>
      <c r="E14" s="27" t="s">
        <v>78</v>
      </c>
    </row>
    <row r="15" spans="1:6">
      <c r="A15" s="28" t="s">
        <v>72</v>
      </c>
      <c r="B15" s="26">
        <v>11.81</v>
      </c>
      <c r="C15" s="26">
        <v>11.48</v>
      </c>
      <c r="D15" s="26">
        <v>12.27</v>
      </c>
      <c r="E15" s="27">
        <v>12.28</v>
      </c>
      <c r="F15">
        <f>(23.4-23.2)/5</f>
        <v>3.9999999999999855E-2</v>
      </c>
    </row>
    <row r="16" spans="1:6">
      <c r="A16" s="28" t="s">
        <v>73</v>
      </c>
      <c r="B16" s="26">
        <v>15.23</v>
      </c>
      <c r="C16" s="26">
        <v>14.43</v>
      </c>
      <c r="D16" s="26">
        <v>15.58</v>
      </c>
      <c r="E16" s="27">
        <v>15.56</v>
      </c>
    </row>
    <row r="17" spans="1:7">
      <c r="A17" s="28" t="s">
        <v>74</v>
      </c>
      <c r="B17" s="26">
        <v>14.62</v>
      </c>
      <c r="C17" s="26">
        <v>13.86</v>
      </c>
      <c r="D17" s="26">
        <v>15.01</v>
      </c>
      <c r="E17" s="27">
        <v>14.96</v>
      </c>
    </row>
    <row r="18" spans="1:7">
      <c r="A18" s="28" t="s">
        <v>75</v>
      </c>
      <c r="B18" s="34">
        <f>(B16-B17)/(B17-B15)</f>
        <v>0.21708185053380835</v>
      </c>
      <c r="C18" s="29">
        <f>(C16-C17)/(C17-C15)</f>
        <v>0.23949579831932796</v>
      </c>
      <c r="D18" s="29">
        <f t="shared" ref="D18:E18" si="1">(D16-D17)/(D17-D15)</f>
        <v>0.20802919708029205</v>
      </c>
      <c r="E18" s="30">
        <f t="shared" si="1"/>
        <v>0.2238805970149251</v>
      </c>
    </row>
    <row r="19" spans="1:7" ht="15" thickBot="1">
      <c r="A19" s="31" t="s">
        <v>79</v>
      </c>
      <c r="B19" s="241">
        <f>AVERAGE(B18:E18)</f>
        <v>0.22212186073708839</v>
      </c>
      <c r="C19" s="242"/>
      <c r="D19" s="242"/>
      <c r="E19" s="243"/>
    </row>
    <row r="23" spans="1:7">
      <c r="A23" t="s">
        <v>89</v>
      </c>
    </row>
    <row r="24" spans="1:7">
      <c r="A24" s="224" t="s">
        <v>81</v>
      </c>
      <c r="B24" s="224"/>
      <c r="C24" s="224"/>
      <c r="D24" s="224"/>
      <c r="E24" s="36"/>
      <c r="F24" s="36"/>
      <c r="G24" s="36"/>
    </row>
    <row r="25" spans="1:7">
      <c r="A25" s="37" t="s">
        <v>82</v>
      </c>
      <c r="B25" s="37">
        <v>1</v>
      </c>
      <c r="C25" s="37">
        <v>2</v>
      </c>
      <c r="D25" s="37">
        <v>3</v>
      </c>
      <c r="E25" s="36"/>
      <c r="F25" s="36"/>
      <c r="G25" s="36"/>
    </row>
    <row r="26" spans="1:7">
      <c r="A26" s="37" t="s">
        <v>83</v>
      </c>
      <c r="B26" s="37">
        <v>12.03</v>
      </c>
      <c r="C26" s="37">
        <v>11.73</v>
      </c>
      <c r="D26" s="37">
        <v>12.76</v>
      </c>
      <c r="E26" s="36"/>
      <c r="F26" s="36"/>
      <c r="G26" s="36"/>
    </row>
    <row r="27" spans="1:7">
      <c r="A27" s="37" t="s">
        <v>84</v>
      </c>
      <c r="B27" s="37">
        <v>20.54</v>
      </c>
      <c r="C27" s="37">
        <v>23.34</v>
      </c>
      <c r="D27" s="37">
        <v>26.21</v>
      </c>
      <c r="E27" s="36"/>
      <c r="F27" s="36"/>
      <c r="G27" s="36"/>
    </row>
    <row r="28" spans="1:7">
      <c r="A28" s="37" t="s">
        <v>85</v>
      </c>
      <c r="B28" s="37">
        <v>18.5</v>
      </c>
      <c r="C28" s="37">
        <v>20.39</v>
      </c>
      <c r="D28" s="37">
        <v>22.85</v>
      </c>
      <c r="E28" s="36"/>
      <c r="F28" s="36"/>
      <c r="G28" s="36"/>
    </row>
    <row r="29" spans="1:7">
      <c r="A29" s="37" t="s">
        <v>86</v>
      </c>
      <c r="B29" s="38">
        <f>(B27-B28)/(B28-B26)</f>
        <v>0.31530139103554855</v>
      </c>
      <c r="C29" s="38">
        <f t="shared" ref="C29:D29" si="2">(C27-C28)/(C28-C26)</f>
        <v>0.34064665127020777</v>
      </c>
      <c r="D29" s="38">
        <f t="shared" si="2"/>
        <v>0.33300297324083239</v>
      </c>
      <c r="E29" s="36"/>
      <c r="F29" s="36"/>
      <c r="G29" s="36"/>
    </row>
    <row r="30" spans="1:7">
      <c r="A30" s="37" t="s">
        <v>87</v>
      </c>
      <c r="B30" s="37">
        <v>27</v>
      </c>
      <c r="C30" s="37">
        <v>17</v>
      </c>
      <c r="D30" s="37">
        <v>23</v>
      </c>
      <c r="E30" s="36"/>
      <c r="F30" s="36"/>
      <c r="G30" s="36"/>
    </row>
    <row r="31" spans="1:7">
      <c r="A31" s="39" t="s">
        <v>88</v>
      </c>
      <c r="B31" s="39"/>
      <c r="C31" s="40">
        <v>0.32400000000000001</v>
      </c>
      <c r="D31" s="39"/>
      <c r="E31" s="36"/>
      <c r="F31" s="36"/>
      <c r="G31" s="36"/>
    </row>
    <row r="32" spans="1:7">
      <c r="A32" s="36"/>
      <c r="B32" s="36"/>
      <c r="C32" s="36"/>
      <c r="D32" s="36"/>
      <c r="E32" s="36"/>
      <c r="F32" s="36"/>
      <c r="G32" s="36"/>
    </row>
    <row r="33" spans="1:7">
      <c r="A33" s="224" t="s">
        <v>90</v>
      </c>
      <c r="B33" s="224"/>
      <c r="C33" s="224"/>
      <c r="D33" s="224"/>
      <c r="E33" s="36"/>
      <c r="F33" s="36"/>
      <c r="G33" s="36"/>
    </row>
    <row r="34" spans="1:7">
      <c r="A34" s="37" t="s">
        <v>82</v>
      </c>
      <c r="B34" s="37">
        <v>1</v>
      </c>
      <c r="C34" s="37">
        <v>2</v>
      </c>
      <c r="D34" s="37">
        <v>3</v>
      </c>
      <c r="E34" s="36"/>
      <c r="F34" s="36"/>
      <c r="G34" s="36"/>
    </row>
    <row r="35" spans="1:7">
      <c r="A35" s="37" t="s">
        <v>83</v>
      </c>
      <c r="B35" s="37">
        <v>11.96</v>
      </c>
      <c r="C35" s="37">
        <v>12.24</v>
      </c>
      <c r="D35" s="37">
        <v>32.83</v>
      </c>
      <c r="E35" s="36"/>
      <c r="F35" s="36"/>
      <c r="G35" s="36"/>
    </row>
    <row r="36" spans="1:7">
      <c r="A36" s="37" t="s">
        <v>84</v>
      </c>
      <c r="B36" s="37">
        <v>16.05</v>
      </c>
      <c r="C36" s="37">
        <v>15.55</v>
      </c>
      <c r="D36" s="37">
        <v>37.36</v>
      </c>
      <c r="E36" s="36"/>
      <c r="F36" s="36"/>
      <c r="G36" s="36"/>
    </row>
    <row r="37" spans="1:7">
      <c r="A37" s="37" t="s">
        <v>85</v>
      </c>
      <c r="B37" s="37">
        <v>15.13</v>
      </c>
      <c r="C37" s="37">
        <v>14.84</v>
      </c>
      <c r="D37" s="37">
        <v>36.39</v>
      </c>
      <c r="E37" s="36"/>
      <c r="F37" s="36"/>
      <c r="G37" s="36"/>
    </row>
    <row r="38" spans="1:7">
      <c r="A38" s="37" t="s">
        <v>86</v>
      </c>
      <c r="B38" s="41">
        <f>(B36-B37)/(B37-B35)</f>
        <v>0.29022082018927442</v>
      </c>
      <c r="C38" s="41">
        <f t="shared" ref="C38:D38" si="3">(C36-C37)/(C37-C35)</f>
        <v>0.27307692307692344</v>
      </c>
      <c r="D38" s="41">
        <f t="shared" si="3"/>
        <v>0.27247191011235905</v>
      </c>
      <c r="E38" s="36"/>
      <c r="F38" s="36"/>
      <c r="G38" s="36"/>
    </row>
    <row r="39" spans="1:7">
      <c r="A39" s="42" t="s">
        <v>22</v>
      </c>
      <c r="B39" s="221">
        <f>AVERAGE(C38:E38)</f>
        <v>0.27277441659464124</v>
      </c>
      <c r="C39" s="222"/>
      <c r="D39" s="223"/>
      <c r="E39" s="36"/>
      <c r="F39" s="36"/>
      <c r="G39" s="36"/>
    </row>
    <row r="40" spans="1:7">
      <c r="A40" s="36"/>
      <c r="B40" s="36"/>
      <c r="C40" s="36"/>
      <c r="D40" s="36"/>
      <c r="E40" s="36"/>
      <c r="F40" s="36"/>
      <c r="G40" s="36"/>
    </row>
    <row r="41" spans="1:7">
      <c r="A41" s="36" t="s">
        <v>92</v>
      </c>
      <c r="B41" s="36"/>
      <c r="C41" s="36"/>
      <c r="D41" s="36"/>
      <c r="E41" s="36"/>
      <c r="F41" s="36"/>
      <c r="G41" s="36"/>
    </row>
    <row r="42" spans="1:7">
      <c r="A42" s="224" t="s">
        <v>90</v>
      </c>
      <c r="B42" s="224"/>
      <c r="C42" s="224"/>
      <c r="D42" s="224"/>
    </row>
    <row r="43" spans="1:7">
      <c r="A43" s="37" t="s">
        <v>82</v>
      </c>
      <c r="B43" s="37">
        <v>1</v>
      </c>
      <c r="C43" s="37">
        <v>2</v>
      </c>
      <c r="D43" s="37">
        <v>3</v>
      </c>
    </row>
    <row r="44" spans="1:7">
      <c r="A44" s="37" t="s">
        <v>83</v>
      </c>
      <c r="B44" s="37">
        <v>11.99</v>
      </c>
      <c r="C44" s="37">
        <v>12.3</v>
      </c>
      <c r="D44" s="37">
        <v>16.95</v>
      </c>
    </row>
    <row r="45" spans="1:7">
      <c r="A45" s="37" t="s">
        <v>84</v>
      </c>
      <c r="B45" s="37">
        <v>18.64</v>
      </c>
      <c r="C45" s="37">
        <v>15.78</v>
      </c>
      <c r="D45" s="37">
        <v>26.48</v>
      </c>
    </row>
    <row r="46" spans="1:7">
      <c r="A46" s="37" t="s">
        <v>85</v>
      </c>
      <c r="B46" s="37">
        <v>17.07</v>
      </c>
      <c r="C46" s="37">
        <v>14.87</v>
      </c>
      <c r="D46" s="37">
        <v>24.27</v>
      </c>
    </row>
    <row r="47" spans="1:7">
      <c r="A47" s="37" t="s">
        <v>86</v>
      </c>
      <c r="B47" s="41">
        <f>(B45-B46)/(B46-B44)</f>
        <v>0.30905511811023628</v>
      </c>
      <c r="C47" s="41">
        <f t="shared" ref="C47:D47" si="4">(C45-C46)/(C46-C44)</f>
        <v>0.35408560311284071</v>
      </c>
      <c r="D47" s="41">
        <f t="shared" si="4"/>
        <v>0.30191256830601104</v>
      </c>
    </row>
    <row r="48" spans="1:7">
      <c r="A48" s="42" t="s">
        <v>22</v>
      </c>
      <c r="B48" s="238">
        <f>AVERAGE(C47:E47)</f>
        <v>0.32799908570942587</v>
      </c>
      <c r="C48" s="239"/>
      <c r="D48" s="240"/>
    </row>
    <row r="50" spans="1:7">
      <c r="A50" s="224" t="s">
        <v>81</v>
      </c>
      <c r="B50" s="224"/>
      <c r="C50" s="224"/>
      <c r="D50" s="224"/>
    </row>
    <row r="51" spans="1:7">
      <c r="A51" s="37" t="s">
        <v>82</v>
      </c>
      <c r="B51" s="37">
        <v>1</v>
      </c>
      <c r="C51" s="37">
        <v>2</v>
      </c>
      <c r="D51" s="43">
        <v>3</v>
      </c>
    </row>
    <row r="52" spans="1:7">
      <c r="A52" s="37" t="s">
        <v>83</v>
      </c>
      <c r="B52" s="37">
        <v>11.94</v>
      </c>
      <c r="C52" s="37">
        <v>12.28</v>
      </c>
      <c r="D52" s="43">
        <v>11.44</v>
      </c>
    </row>
    <row r="53" spans="1:7">
      <c r="A53" s="37" t="s">
        <v>84</v>
      </c>
      <c r="B53" s="37">
        <v>18.02</v>
      </c>
      <c r="C53" s="37">
        <v>17.559999999999999</v>
      </c>
      <c r="D53" s="43">
        <v>21.59</v>
      </c>
    </row>
    <row r="54" spans="1:7">
      <c r="A54" s="37" t="s">
        <v>85</v>
      </c>
      <c r="B54" s="37">
        <v>16.21</v>
      </c>
      <c r="C54" s="37">
        <v>16.07</v>
      </c>
      <c r="D54" s="43">
        <v>18.850000000000001</v>
      </c>
    </row>
    <row r="55" spans="1:7">
      <c r="A55" s="37" t="s">
        <v>86</v>
      </c>
      <c r="B55" s="41">
        <f>(B53-B54)/(B54-B52)</f>
        <v>0.42388758782201363</v>
      </c>
      <c r="C55" s="41">
        <f t="shared" ref="C55:D55" si="5">(C53-C54)/(C54-C52)</f>
        <v>0.39313984168865385</v>
      </c>
      <c r="D55" s="41">
        <f t="shared" si="5"/>
        <v>0.3697705802968958</v>
      </c>
    </row>
    <row r="56" spans="1:7">
      <c r="A56" s="37" t="s">
        <v>87</v>
      </c>
      <c r="B56" s="37">
        <v>13</v>
      </c>
      <c r="C56" s="37">
        <v>23</v>
      </c>
      <c r="D56" s="43">
        <v>34</v>
      </c>
    </row>
    <row r="57" spans="1:7">
      <c r="A57" s="39" t="s">
        <v>91</v>
      </c>
      <c r="B57" s="39"/>
      <c r="C57" s="40">
        <v>0.39100000000000001</v>
      </c>
      <c r="D57" s="39"/>
    </row>
    <row r="60" spans="1:7">
      <c r="A60" t="s">
        <v>135</v>
      </c>
    </row>
    <row r="61" spans="1:7">
      <c r="A61" s="63"/>
    </row>
    <row r="62" spans="1:7">
      <c r="A62" s="224" t="s">
        <v>81</v>
      </c>
      <c r="B62" s="224"/>
      <c r="C62" s="224"/>
      <c r="D62" s="224"/>
    </row>
    <row r="63" spans="1:7">
      <c r="A63" s="61" t="s">
        <v>82</v>
      </c>
      <c r="B63" s="61">
        <v>1</v>
      </c>
      <c r="C63" s="61">
        <v>2</v>
      </c>
      <c r="D63" s="61">
        <v>3</v>
      </c>
      <c r="E63" s="64"/>
      <c r="F63" s="64"/>
      <c r="G63" s="64"/>
    </row>
    <row r="64" spans="1:7">
      <c r="A64" s="61" t="s">
        <v>83</v>
      </c>
      <c r="B64" s="62">
        <v>12.26</v>
      </c>
      <c r="C64" s="62">
        <v>11.69</v>
      </c>
      <c r="D64" s="62">
        <v>11.46</v>
      </c>
      <c r="E64" s="65"/>
      <c r="F64" s="65"/>
      <c r="G64" s="65"/>
    </row>
    <row r="65" spans="1:7">
      <c r="A65" s="61" t="s">
        <v>84</v>
      </c>
      <c r="B65" s="61">
        <v>19.18</v>
      </c>
      <c r="C65" s="61">
        <v>15.77</v>
      </c>
      <c r="D65" s="61">
        <v>15.63</v>
      </c>
      <c r="E65" s="64"/>
      <c r="F65" s="64"/>
      <c r="G65" s="64"/>
    </row>
    <row r="66" spans="1:7">
      <c r="A66" s="61" t="s">
        <v>85</v>
      </c>
      <c r="B66" s="61">
        <v>16.899999999999999</v>
      </c>
      <c r="C66" s="61">
        <v>14.5</v>
      </c>
      <c r="D66" s="61">
        <v>14.31</v>
      </c>
      <c r="E66" s="64"/>
      <c r="F66" s="64"/>
      <c r="G66" s="64"/>
    </row>
    <row r="67" spans="1:7">
      <c r="A67" s="61" t="s">
        <v>86</v>
      </c>
      <c r="B67" s="41">
        <f>(-B66+B65)/(B66-B64)</f>
        <v>0.49137931034482796</v>
      </c>
      <c r="C67" s="41">
        <f t="shared" ref="C67:D67" si="6">(-C66+C65)/(C66-C64)</f>
        <v>0.45195729537366525</v>
      </c>
      <c r="D67" s="41">
        <f t="shared" si="6"/>
        <v>0.46315789473684227</v>
      </c>
      <c r="E67" s="66"/>
      <c r="F67" s="66"/>
      <c r="G67" s="66"/>
    </row>
    <row r="68" spans="1:7">
      <c r="A68" s="61" t="s">
        <v>87</v>
      </c>
      <c r="B68" s="61">
        <v>12</v>
      </c>
      <c r="C68" s="61">
        <v>26</v>
      </c>
      <c r="D68" s="61">
        <v>23</v>
      </c>
      <c r="E68" s="64"/>
      <c r="F68" s="64"/>
      <c r="G68" s="64"/>
    </row>
    <row r="69" spans="1:7">
      <c r="A69" s="39" t="s">
        <v>23</v>
      </c>
      <c r="B69" s="228">
        <v>0.45600000000000002</v>
      </c>
      <c r="C69" s="229"/>
      <c r="D69" s="230"/>
    </row>
    <row r="70" spans="1:7">
      <c r="A70" s="36"/>
      <c r="B70" s="36"/>
      <c r="C70" s="36"/>
      <c r="D70" s="36"/>
    </row>
    <row r="71" spans="1:7">
      <c r="A71" s="224" t="s">
        <v>90</v>
      </c>
      <c r="B71" s="224"/>
      <c r="C71" s="224"/>
      <c r="D71" s="224"/>
    </row>
    <row r="72" spans="1:7">
      <c r="A72" s="61" t="s">
        <v>82</v>
      </c>
      <c r="B72" s="61">
        <v>1</v>
      </c>
      <c r="C72" s="61">
        <v>2</v>
      </c>
      <c r="D72" s="61">
        <v>3</v>
      </c>
    </row>
    <row r="73" spans="1:7">
      <c r="A73" s="61" t="s">
        <v>83</v>
      </c>
      <c r="B73" s="61">
        <v>12.06</v>
      </c>
      <c r="C73" s="61">
        <v>11.88</v>
      </c>
      <c r="D73" s="61">
        <v>12.3</v>
      </c>
    </row>
    <row r="74" spans="1:7">
      <c r="A74" s="61" t="s">
        <v>84</v>
      </c>
      <c r="B74" s="61">
        <v>17.39</v>
      </c>
      <c r="C74" s="61">
        <v>17.59</v>
      </c>
      <c r="D74" s="61">
        <v>18.82</v>
      </c>
    </row>
    <row r="75" spans="1:7">
      <c r="A75" s="61" t="s">
        <v>85</v>
      </c>
      <c r="B75" s="61">
        <v>15.89</v>
      </c>
      <c r="C75" s="61">
        <v>15.97</v>
      </c>
      <c r="D75" s="61">
        <v>17.04</v>
      </c>
    </row>
    <row r="76" spans="1:7">
      <c r="A76" s="61" t="s">
        <v>86</v>
      </c>
      <c r="B76" s="41">
        <f>(B74-B75)/(B75-B73)</f>
        <v>0.391644908616188</v>
      </c>
      <c r="C76" s="41">
        <f t="shared" ref="C76:D76" si="7">(C74-C75)/(C75-C73)</f>
        <v>0.39608801955990203</v>
      </c>
      <c r="D76" s="41">
        <f t="shared" si="7"/>
        <v>0.37552742616033791</v>
      </c>
    </row>
    <row r="77" spans="1:7">
      <c r="A77" s="42" t="s">
        <v>22</v>
      </c>
      <c r="B77" s="221">
        <f>AVERAGE(C76:E76)</f>
        <v>0.38580772286011999</v>
      </c>
      <c r="C77" s="222"/>
      <c r="D77" s="223"/>
    </row>
    <row r="78" spans="1:7">
      <c r="A78" s="63"/>
    </row>
    <row r="79" spans="1:7">
      <c r="A79" s="63"/>
    </row>
    <row r="80" spans="1:7">
      <c r="A80" s="63"/>
    </row>
    <row r="81" spans="1:9">
      <c r="A81" s="63"/>
    </row>
    <row r="82" spans="1:9">
      <c r="A82" s="63" t="s">
        <v>136</v>
      </c>
    </row>
    <row r="83" spans="1:9">
      <c r="A83" s="224" t="s">
        <v>81</v>
      </c>
      <c r="B83" s="224"/>
      <c r="C83" s="224"/>
      <c r="D83" s="224"/>
    </row>
    <row r="84" spans="1:9">
      <c r="A84" s="61" t="s">
        <v>82</v>
      </c>
      <c r="B84" s="61">
        <v>1</v>
      </c>
      <c r="C84" s="61">
        <v>2</v>
      </c>
      <c r="D84" s="61">
        <v>3</v>
      </c>
      <c r="E84" s="64"/>
      <c r="F84" s="64"/>
      <c r="G84" s="64"/>
      <c r="H84" s="67"/>
      <c r="I84" s="67"/>
    </row>
    <row r="85" spans="1:9">
      <c r="A85" s="61" t="s">
        <v>83</v>
      </c>
      <c r="B85" s="62">
        <v>11.43</v>
      </c>
      <c r="C85" s="62">
        <v>11.89</v>
      </c>
      <c r="D85" s="62">
        <v>12.02</v>
      </c>
      <c r="E85" s="65"/>
      <c r="F85" s="68"/>
      <c r="G85" s="68"/>
      <c r="H85" s="68"/>
      <c r="I85" s="67"/>
    </row>
    <row r="86" spans="1:9">
      <c r="A86" s="61" t="s">
        <v>84</v>
      </c>
      <c r="B86" s="61">
        <v>15.58</v>
      </c>
      <c r="C86" s="61">
        <v>16.63</v>
      </c>
      <c r="D86" s="61">
        <v>15.31</v>
      </c>
      <c r="E86" s="64"/>
      <c r="F86" s="69"/>
      <c r="G86" s="69"/>
      <c r="H86" s="69"/>
      <c r="I86" s="67"/>
    </row>
    <row r="87" spans="1:9">
      <c r="A87" s="61" t="s">
        <v>85</v>
      </c>
      <c r="B87" s="61">
        <v>14.15</v>
      </c>
      <c r="C87" s="61">
        <v>14.78</v>
      </c>
      <c r="D87" s="61">
        <v>13.99</v>
      </c>
      <c r="E87" s="64"/>
      <c r="F87" s="69"/>
      <c r="G87" s="69"/>
      <c r="H87" s="69"/>
      <c r="I87" s="67"/>
    </row>
    <row r="88" spans="1:9">
      <c r="A88" s="61" t="s">
        <v>86</v>
      </c>
      <c r="B88" s="41">
        <f>(-B87+B86)/(B87-B85)</f>
        <v>0.52573529411764686</v>
      </c>
      <c r="C88" s="41">
        <f t="shared" ref="C88:D88" si="8">(-C87+C86)/(C87-C85)</f>
        <v>0.64013840830449842</v>
      </c>
      <c r="D88" s="41">
        <f t="shared" si="8"/>
        <v>0.6700507614213197</v>
      </c>
      <c r="E88" s="66"/>
      <c r="F88" s="66"/>
      <c r="G88" s="66"/>
      <c r="H88" s="66"/>
      <c r="I88" s="67"/>
    </row>
    <row r="89" spans="1:9">
      <c r="A89" s="61" t="s">
        <v>87</v>
      </c>
      <c r="B89" s="61">
        <v>35</v>
      </c>
      <c r="C89" s="61">
        <v>20</v>
      </c>
      <c r="D89" s="61">
        <v>16</v>
      </c>
      <c r="E89" s="64"/>
      <c r="F89" s="69"/>
      <c r="G89" s="69"/>
      <c r="H89" s="69"/>
      <c r="I89" s="67"/>
    </row>
    <row r="90" spans="1:9">
      <c r="A90" s="39" t="s">
        <v>23</v>
      </c>
      <c r="B90" s="217">
        <v>0.6</v>
      </c>
      <c r="C90" s="217"/>
      <c r="D90" s="217"/>
      <c r="E90" s="67"/>
      <c r="F90" s="67"/>
      <c r="G90" s="67"/>
      <c r="H90" s="67"/>
      <c r="I90" s="67"/>
    </row>
    <row r="91" spans="1:9">
      <c r="A91" s="36"/>
      <c r="B91" s="36"/>
      <c r="C91" s="36"/>
      <c r="D91" s="36"/>
    </row>
    <row r="92" spans="1:9">
      <c r="A92" s="224" t="s">
        <v>90</v>
      </c>
      <c r="B92" s="224"/>
      <c r="C92" s="224"/>
      <c r="D92" s="224"/>
    </row>
    <row r="93" spans="1:9">
      <c r="A93" s="61" t="s">
        <v>82</v>
      </c>
      <c r="B93" s="61">
        <v>1</v>
      </c>
      <c r="C93" s="61">
        <v>2</v>
      </c>
      <c r="D93" s="61">
        <v>3</v>
      </c>
    </row>
    <row r="94" spans="1:9">
      <c r="A94" s="61" t="s">
        <v>83</v>
      </c>
      <c r="B94" s="61">
        <v>12.28</v>
      </c>
      <c r="C94" s="61">
        <v>11.89</v>
      </c>
      <c r="D94" s="61">
        <v>11.68</v>
      </c>
    </row>
    <row r="95" spans="1:9">
      <c r="A95" s="61" t="s">
        <v>84</v>
      </c>
      <c r="B95" s="61">
        <v>16.940000000000001</v>
      </c>
      <c r="C95" s="61">
        <v>16.399999999999999</v>
      </c>
      <c r="D95" s="61">
        <v>16.62</v>
      </c>
    </row>
    <row r="96" spans="1:9">
      <c r="A96" s="61" t="s">
        <v>85</v>
      </c>
      <c r="B96" s="61">
        <v>15.47</v>
      </c>
      <c r="C96" s="61">
        <v>14.99</v>
      </c>
      <c r="D96" s="61">
        <v>15.13</v>
      </c>
    </row>
    <row r="97" spans="1:9">
      <c r="A97" s="61" t="s">
        <v>86</v>
      </c>
      <c r="B97" s="41">
        <f>(B95-B96)/(B96-B94)</f>
        <v>0.46081504702194359</v>
      </c>
      <c r="C97" s="41">
        <f t="shared" ref="C97:D97" si="9">(C95-C96)/(C96-C94)</f>
        <v>0.45483870967741891</v>
      </c>
      <c r="D97" s="41">
        <f t="shared" si="9"/>
        <v>0.43188405797101442</v>
      </c>
    </row>
    <row r="98" spans="1:9">
      <c r="A98" s="42" t="s">
        <v>22</v>
      </c>
      <c r="B98" s="221">
        <f>AVERAGE(C97:E97)</f>
        <v>0.44336138382421664</v>
      </c>
      <c r="C98" s="222"/>
      <c r="D98" s="223"/>
    </row>
    <row r="99" spans="1:9">
      <c r="A99" s="63"/>
    </row>
    <row r="100" spans="1:9">
      <c r="A100" s="63"/>
    </row>
    <row r="101" spans="1:9">
      <c r="A101" s="63" t="s">
        <v>137</v>
      </c>
    </row>
    <row r="102" spans="1:9">
      <c r="A102" s="225" t="s">
        <v>81</v>
      </c>
      <c r="B102" s="226"/>
      <c r="C102" s="226"/>
      <c r="D102" s="227"/>
    </row>
    <row r="103" spans="1:9">
      <c r="A103" s="61" t="s">
        <v>82</v>
      </c>
      <c r="B103" s="61">
        <v>1</v>
      </c>
      <c r="C103" s="61">
        <v>2</v>
      </c>
      <c r="D103" s="61">
        <v>3</v>
      </c>
      <c r="E103" s="64"/>
      <c r="F103" s="64"/>
      <c r="G103" s="64"/>
      <c r="H103" s="67"/>
      <c r="I103" s="67"/>
    </row>
    <row r="104" spans="1:9">
      <c r="A104" s="61" t="s">
        <v>83</v>
      </c>
      <c r="B104" s="62">
        <v>11.43</v>
      </c>
      <c r="C104" s="62">
        <v>11.9</v>
      </c>
      <c r="D104" s="62">
        <v>12.03</v>
      </c>
      <c r="E104" s="65"/>
      <c r="F104" s="68"/>
      <c r="G104" s="68"/>
      <c r="H104" s="68"/>
      <c r="I104" s="67"/>
    </row>
    <row r="105" spans="1:9">
      <c r="A105" s="61" t="s">
        <v>84</v>
      </c>
      <c r="B105" s="61">
        <v>14.91</v>
      </c>
      <c r="C105" s="61">
        <v>15.39</v>
      </c>
      <c r="D105" s="61">
        <v>14.74</v>
      </c>
      <c r="E105" s="64"/>
      <c r="F105" s="69"/>
      <c r="G105" s="69"/>
      <c r="H105" s="69"/>
      <c r="I105" s="67"/>
    </row>
    <row r="106" spans="1:9">
      <c r="A106" s="61" t="s">
        <v>85</v>
      </c>
      <c r="B106" s="61">
        <v>13.03</v>
      </c>
      <c r="C106" s="61">
        <v>13.63</v>
      </c>
      <c r="D106" s="61">
        <v>13.22</v>
      </c>
      <c r="E106" s="64"/>
      <c r="F106" s="69"/>
      <c r="G106" s="69"/>
      <c r="H106" s="69"/>
      <c r="I106" s="67"/>
    </row>
    <row r="107" spans="1:9">
      <c r="A107" s="61" t="s">
        <v>86</v>
      </c>
      <c r="B107" s="41">
        <f>(-B106+B105)/(B106-B104)</f>
        <v>1.1750000000000007</v>
      </c>
      <c r="C107" s="41">
        <f t="shared" ref="C107:D107" si="10">(-C106+C105)/(C106-C104)</f>
        <v>1.0173410404624275</v>
      </c>
      <c r="D107" s="41">
        <f t="shared" si="10"/>
        <v>1.2773109243697462</v>
      </c>
      <c r="E107" s="66"/>
      <c r="F107" s="66"/>
      <c r="G107" s="66"/>
      <c r="H107" s="66"/>
      <c r="I107" s="67"/>
    </row>
    <row r="108" spans="1:9">
      <c r="A108" s="61" t="s">
        <v>87</v>
      </c>
      <c r="B108" s="61">
        <v>21</v>
      </c>
      <c r="C108" s="61">
        <v>31</v>
      </c>
      <c r="D108" s="61">
        <v>13</v>
      </c>
      <c r="E108" s="64"/>
      <c r="F108" s="69"/>
      <c r="G108" s="69"/>
      <c r="H108" s="69"/>
      <c r="I108" s="67"/>
    </row>
    <row r="109" spans="1:9">
      <c r="A109" s="39" t="s">
        <v>23</v>
      </c>
      <c r="B109" s="217">
        <v>1.1000000000000001</v>
      </c>
      <c r="C109" s="217"/>
      <c r="D109" s="217"/>
      <c r="E109" s="67"/>
      <c r="F109" s="67"/>
      <c r="G109" s="67"/>
      <c r="H109" s="67"/>
      <c r="I109" s="67"/>
    </row>
    <row r="110" spans="1:9">
      <c r="A110" s="36"/>
      <c r="B110" s="36"/>
      <c r="C110" s="36"/>
      <c r="D110" s="36"/>
    </row>
    <row r="111" spans="1:9">
      <c r="A111" s="218" t="s">
        <v>90</v>
      </c>
      <c r="B111" s="219"/>
      <c r="C111" s="219"/>
      <c r="D111" s="220"/>
    </row>
    <row r="112" spans="1:9">
      <c r="A112" s="61" t="s">
        <v>82</v>
      </c>
      <c r="B112" s="61">
        <v>1</v>
      </c>
      <c r="C112" s="61">
        <v>2</v>
      </c>
      <c r="D112" s="43">
        <v>3</v>
      </c>
    </row>
    <row r="113" spans="1:5">
      <c r="A113" s="61" t="s">
        <v>83</v>
      </c>
      <c r="B113" s="43">
        <v>12.12</v>
      </c>
      <c r="C113" s="61">
        <v>11.68</v>
      </c>
      <c r="D113" s="70">
        <v>12.01</v>
      </c>
      <c r="E113" s="64"/>
    </row>
    <row r="114" spans="1:5">
      <c r="A114" s="61" t="s">
        <v>84</v>
      </c>
      <c r="B114" s="43">
        <v>15.82</v>
      </c>
      <c r="C114" s="61">
        <v>15.54</v>
      </c>
      <c r="D114" s="70">
        <v>15.42</v>
      </c>
      <c r="E114" s="64"/>
    </row>
    <row r="115" spans="1:5">
      <c r="A115" s="61" t="s">
        <v>85</v>
      </c>
      <c r="B115" s="43">
        <v>14.12</v>
      </c>
      <c r="C115" s="61">
        <v>13.86</v>
      </c>
      <c r="D115" s="70">
        <v>13.82</v>
      </c>
      <c r="E115" s="64"/>
    </row>
    <row r="116" spans="1:5">
      <c r="A116" s="61" t="s">
        <v>86</v>
      </c>
      <c r="B116" s="41">
        <f t="shared" ref="B116:D116" si="11">(B114-B115)/(B115-B113)</f>
        <v>0.85000000000000053</v>
      </c>
      <c r="C116" s="41">
        <f t="shared" si="11"/>
        <v>0.77064220183486232</v>
      </c>
      <c r="D116" s="41">
        <f t="shared" si="11"/>
        <v>0.88397790055248571</v>
      </c>
      <c r="E116" s="66"/>
    </row>
    <row r="117" spans="1:5">
      <c r="A117" s="42" t="s">
        <v>22</v>
      </c>
      <c r="B117" s="221">
        <f>AVERAGE(B116:D116)</f>
        <v>0.83487336746244944</v>
      </c>
      <c r="C117" s="222"/>
      <c r="D117" s="223"/>
    </row>
    <row r="118" spans="1:5">
      <c r="A118" s="63"/>
    </row>
  </sheetData>
  <mergeCells count="25">
    <mergeCell ref="A42:D42"/>
    <mergeCell ref="B48:D48"/>
    <mergeCell ref="A50:D50"/>
    <mergeCell ref="B19:E19"/>
    <mergeCell ref="A24:D24"/>
    <mergeCell ref="A33:D33"/>
    <mergeCell ref="B39:D39"/>
    <mergeCell ref="A1:D1"/>
    <mergeCell ref="A2:A3"/>
    <mergeCell ref="B2:D2"/>
    <mergeCell ref="B10:D10"/>
    <mergeCell ref="A12:A13"/>
    <mergeCell ref="B12:E12"/>
    <mergeCell ref="A62:D62"/>
    <mergeCell ref="B69:D69"/>
    <mergeCell ref="A71:D71"/>
    <mergeCell ref="B77:D77"/>
    <mergeCell ref="A83:D83"/>
    <mergeCell ref="B109:D109"/>
    <mergeCell ref="A111:D111"/>
    <mergeCell ref="B117:D117"/>
    <mergeCell ref="B90:D90"/>
    <mergeCell ref="A92:D92"/>
    <mergeCell ref="B98:D98"/>
    <mergeCell ref="A102:D102"/>
  </mergeCells>
  <pageMargins left="0.7" right="0.7" top="0.75" bottom="0.75" header="0.3" footer="0.3"/>
  <pageSetup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W30"/>
  <sheetViews>
    <sheetView zoomScaleNormal="100" workbookViewId="0">
      <selection activeCell="B3" sqref="B3:B8"/>
    </sheetView>
  </sheetViews>
  <sheetFormatPr defaultRowHeight="14.4"/>
  <cols>
    <col min="2" max="2" width="17.5546875" bestFit="1" customWidth="1"/>
    <col min="3" max="3" width="18.44140625" customWidth="1"/>
    <col min="4" max="4" width="20.5546875" bestFit="1" customWidth="1"/>
    <col min="6" max="6" width="14" bestFit="1" customWidth="1"/>
    <col min="7" max="7" width="14.5546875" bestFit="1" customWidth="1"/>
  </cols>
  <sheetData>
    <row r="1" spans="1:23" ht="15" thickBot="1">
      <c r="B1" s="247" t="s">
        <v>94</v>
      </c>
      <c r="C1" s="247"/>
      <c r="D1" s="247"/>
    </row>
    <row r="2" spans="1:23">
      <c r="A2" s="2" t="s">
        <v>156</v>
      </c>
      <c r="B2" s="107" t="s">
        <v>157</v>
      </c>
      <c r="C2" s="107" t="s">
        <v>159</v>
      </c>
      <c r="D2" s="107" t="s">
        <v>160</v>
      </c>
      <c r="P2" s="244" t="s">
        <v>95</v>
      </c>
      <c r="Q2" s="46" t="s">
        <v>96</v>
      </c>
      <c r="R2" s="244" t="s">
        <v>95</v>
      </c>
      <c r="S2" s="46" t="s">
        <v>96</v>
      </c>
      <c r="T2" s="244" t="s">
        <v>95</v>
      </c>
      <c r="U2" s="46" t="s">
        <v>96</v>
      </c>
      <c r="V2" s="244" t="s">
        <v>95</v>
      </c>
      <c r="W2" s="46" t="s">
        <v>96</v>
      </c>
    </row>
    <row r="3" spans="1:23" ht="15" thickBot="1">
      <c r="A3" s="2">
        <v>10</v>
      </c>
      <c r="B3" s="250">
        <v>2</v>
      </c>
      <c r="C3" s="107">
        <v>4.57</v>
      </c>
      <c r="D3" s="47">
        <f>($C$10-C3)/$C$10</f>
        <v>0.98318307267709293</v>
      </c>
      <c r="G3" t="s">
        <v>97</v>
      </c>
      <c r="H3" s="48" t="s">
        <v>98</v>
      </c>
      <c r="I3" t="s">
        <v>99</v>
      </c>
      <c r="P3" s="245"/>
      <c r="Q3" s="49" t="s">
        <v>100</v>
      </c>
      <c r="R3" s="245"/>
      <c r="S3" s="49" t="s">
        <v>100</v>
      </c>
      <c r="T3" s="245"/>
      <c r="U3" s="49" t="s">
        <v>100</v>
      </c>
      <c r="V3" s="245"/>
      <c r="W3" s="49" t="s">
        <v>100</v>
      </c>
    </row>
    <row r="4" spans="1:23">
      <c r="A4" s="2">
        <v>40</v>
      </c>
      <c r="B4" s="250">
        <v>0.4</v>
      </c>
      <c r="C4" s="107">
        <v>117.53</v>
      </c>
      <c r="D4" s="47">
        <f>($C$10-C4-C3)/$C$10</f>
        <v>0.55068997240110384</v>
      </c>
      <c r="G4">
        <f>0.000931*98.0665</f>
        <v>9.1299911499999997E-2</v>
      </c>
      <c r="H4">
        <v>1.34E-2</v>
      </c>
      <c r="I4">
        <f>-4.85+23*0.25</f>
        <v>0.90000000000000036</v>
      </c>
      <c r="P4" s="50">
        <v>0</v>
      </c>
      <c r="Q4" s="51">
        <v>16.3</v>
      </c>
      <c r="R4" s="51">
        <v>13</v>
      </c>
      <c r="S4" s="51">
        <v>14.2</v>
      </c>
      <c r="T4" s="51">
        <v>26</v>
      </c>
      <c r="U4" s="51">
        <v>12</v>
      </c>
      <c r="V4" s="51">
        <v>39</v>
      </c>
      <c r="W4" s="51">
        <v>9.9</v>
      </c>
    </row>
    <row r="5" spans="1:23">
      <c r="A5" s="2">
        <v>60</v>
      </c>
      <c r="B5" s="250">
        <v>0.25</v>
      </c>
      <c r="C5" s="107">
        <v>38.54</v>
      </c>
      <c r="D5" s="47">
        <f>($C$10-C5-C4-C3)/$C$10</f>
        <v>0.40886844526218946</v>
      </c>
      <c r="P5" s="50">
        <v>1</v>
      </c>
      <c r="Q5" s="51">
        <v>16.100000000000001</v>
      </c>
      <c r="R5" s="51">
        <v>14</v>
      </c>
      <c r="S5" s="51">
        <v>14</v>
      </c>
      <c r="T5" s="51">
        <v>27</v>
      </c>
      <c r="U5" s="51">
        <v>11.9</v>
      </c>
      <c r="V5" s="51">
        <v>40</v>
      </c>
      <c r="W5" s="51">
        <v>9.6999999999999993</v>
      </c>
    </row>
    <row r="6" spans="1:23">
      <c r="A6" s="2">
        <v>80</v>
      </c>
      <c r="B6" s="250">
        <v>0.17699999999999999</v>
      </c>
      <c r="C6" s="107">
        <v>17.010000000000002</v>
      </c>
      <c r="D6" s="47">
        <f>($C$10-C6-C5-C4-C3)/$C$10</f>
        <v>0.34627414903403858</v>
      </c>
      <c r="P6" s="50">
        <v>2</v>
      </c>
      <c r="Q6" s="51">
        <v>16</v>
      </c>
      <c r="R6" s="51">
        <v>15</v>
      </c>
      <c r="S6" s="51">
        <v>13.8</v>
      </c>
      <c r="T6" s="51">
        <v>28</v>
      </c>
      <c r="U6" s="51">
        <v>11.7</v>
      </c>
      <c r="V6" s="51">
        <v>41</v>
      </c>
      <c r="W6" s="51">
        <v>9.6</v>
      </c>
    </row>
    <row r="7" spans="1:23">
      <c r="A7" s="2">
        <v>100</v>
      </c>
      <c r="B7" s="250">
        <v>0.14899999999999999</v>
      </c>
      <c r="C7" s="107">
        <v>7.64</v>
      </c>
      <c r="D7" s="47">
        <f>($C$10-C7-C6-C5-C4-C3)/$C$10</f>
        <v>0.31816007359705611</v>
      </c>
      <c r="P7" s="50">
        <v>3</v>
      </c>
      <c r="Q7" s="51">
        <v>15.8</v>
      </c>
      <c r="R7" s="51">
        <v>16</v>
      </c>
      <c r="S7" s="51">
        <v>13.7</v>
      </c>
      <c r="T7" s="51">
        <v>29</v>
      </c>
      <c r="U7" s="51">
        <v>11.5</v>
      </c>
      <c r="V7" s="51">
        <v>42</v>
      </c>
      <c r="W7" s="51">
        <v>9.4</v>
      </c>
    </row>
    <row r="8" spans="1:23">
      <c r="A8" s="2">
        <v>200</v>
      </c>
      <c r="B8" s="250">
        <v>7.4999999999999997E-2</v>
      </c>
      <c r="C8" s="107">
        <v>25.97</v>
      </c>
      <c r="D8" s="47">
        <f>($C$10-C8-C7-C6-C5-C4-C3)/$C$10</f>
        <v>0.22259429622815083</v>
      </c>
      <c r="P8" s="50">
        <v>4</v>
      </c>
      <c r="Q8" s="51">
        <v>15.6</v>
      </c>
      <c r="R8" s="51">
        <v>17</v>
      </c>
      <c r="S8" s="51">
        <v>13.5</v>
      </c>
      <c r="T8" s="51">
        <v>30</v>
      </c>
      <c r="U8" s="51">
        <v>11.4</v>
      </c>
      <c r="V8" s="51">
        <v>43</v>
      </c>
      <c r="W8" s="51">
        <v>9.1999999999999993</v>
      </c>
    </row>
    <row r="9" spans="1:23">
      <c r="A9" s="2" t="s">
        <v>158</v>
      </c>
      <c r="B9" s="107"/>
      <c r="C9" s="107">
        <v>60.49</v>
      </c>
      <c r="D9" s="120">
        <f>C9/$C$10</f>
        <v>0.22259429622815094</v>
      </c>
      <c r="P9" s="50">
        <v>5</v>
      </c>
      <c r="Q9" s="51">
        <v>15.5</v>
      </c>
      <c r="R9" s="51">
        <v>18</v>
      </c>
      <c r="S9" s="51">
        <v>13.6</v>
      </c>
      <c r="T9" s="51">
        <v>31</v>
      </c>
      <c r="U9" s="51">
        <v>11.2</v>
      </c>
      <c r="V9" s="51">
        <v>44</v>
      </c>
      <c r="W9" s="51">
        <v>9.1</v>
      </c>
    </row>
    <row r="10" spans="1:23">
      <c r="B10" s="108" t="s">
        <v>161</v>
      </c>
      <c r="C10" s="108">
        <f>SUM(C3:C9)</f>
        <v>271.74999999999994</v>
      </c>
      <c r="D10" s="122"/>
      <c r="P10" s="50">
        <v>6</v>
      </c>
      <c r="Q10" s="51">
        <v>15.3</v>
      </c>
      <c r="R10" s="51">
        <v>19</v>
      </c>
      <c r="S10" s="51">
        <v>13.2</v>
      </c>
      <c r="T10" s="51">
        <v>32</v>
      </c>
      <c r="U10" s="51">
        <v>11.1</v>
      </c>
      <c r="V10" s="51">
        <v>45</v>
      </c>
      <c r="W10" s="51">
        <v>8.9</v>
      </c>
    </row>
    <row r="11" spans="1:23">
      <c r="C11" s="52"/>
      <c r="P11" s="50">
        <v>7</v>
      </c>
      <c r="Q11" s="51">
        <v>15.2</v>
      </c>
      <c r="R11" s="51">
        <v>20</v>
      </c>
      <c r="S11" s="51">
        <v>13</v>
      </c>
      <c r="T11" s="51">
        <v>33</v>
      </c>
      <c r="U11" s="51">
        <v>10.9</v>
      </c>
      <c r="V11" s="51">
        <v>46</v>
      </c>
      <c r="W11" s="51">
        <v>8.8000000000000007</v>
      </c>
    </row>
    <row r="12" spans="1:23">
      <c r="B12" s="246" t="s">
        <v>101</v>
      </c>
      <c r="C12" s="246"/>
      <c r="D12" s="246"/>
      <c r="E12" s="246"/>
      <c r="F12" s="246"/>
      <c r="P12" s="50">
        <v>8</v>
      </c>
      <c r="Q12" s="51">
        <v>15</v>
      </c>
      <c r="R12" s="51">
        <v>21</v>
      </c>
      <c r="S12" s="51">
        <v>12.9</v>
      </c>
      <c r="T12" s="51">
        <v>34</v>
      </c>
      <c r="U12" s="51">
        <v>10.7</v>
      </c>
      <c r="V12" s="51">
        <v>47</v>
      </c>
      <c r="W12" s="51">
        <v>8.6</v>
      </c>
    </row>
    <row r="13" spans="1:23" ht="28.8">
      <c r="B13" s="43" t="s">
        <v>95</v>
      </c>
      <c r="C13" s="26" t="s">
        <v>102</v>
      </c>
      <c r="D13" s="26" t="s">
        <v>103</v>
      </c>
      <c r="E13" s="26" t="s">
        <v>104</v>
      </c>
      <c r="F13" s="26" t="s">
        <v>105</v>
      </c>
      <c r="P13" s="50">
        <v>9</v>
      </c>
      <c r="Q13" s="51">
        <v>14.8</v>
      </c>
      <c r="R13" s="51">
        <v>22</v>
      </c>
      <c r="S13" s="51">
        <v>12.7</v>
      </c>
      <c r="T13" s="51">
        <v>35</v>
      </c>
      <c r="U13" s="51">
        <v>10.6</v>
      </c>
      <c r="V13" s="51">
        <v>48</v>
      </c>
      <c r="W13" s="51">
        <v>8.4</v>
      </c>
    </row>
    <row r="14" spans="1:23">
      <c r="B14" s="26">
        <v>30</v>
      </c>
      <c r="C14" s="26">
        <v>11.4</v>
      </c>
      <c r="D14" s="26">
        <v>2</v>
      </c>
      <c r="E14" s="53">
        <f>$H$4*SQRT(C14/D14)</f>
        <v>3.1992061515319706E-2</v>
      </c>
      <c r="F14" s="29">
        <f>(B14+$I$4)*100*$H$4/60*$D$9</f>
        <v>0.15361232382704695</v>
      </c>
      <c r="G14" s="54"/>
      <c r="P14" s="50">
        <v>10</v>
      </c>
      <c r="Q14" s="51">
        <v>14.7</v>
      </c>
      <c r="R14" s="51">
        <v>23</v>
      </c>
      <c r="S14" s="51">
        <v>12.5</v>
      </c>
      <c r="T14" s="51">
        <v>36</v>
      </c>
      <c r="U14" s="51">
        <v>10.4</v>
      </c>
      <c r="V14" s="51">
        <v>49</v>
      </c>
      <c r="W14" s="51">
        <v>8.3000000000000007</v>
      </c>
    </row>
    <row r="15" spans="1:23">
      <c r="B15" s="26">
        <v>29</v>
      </c>
      <c r="C15" s="26">
        <v>11.5</v>
      </c>
      <c r="D15" s="26">
        <v>4</v>
      </c>
      <c r="E15" s="53">
        <f t="shared" ref="E15:E23" si="0">$H$4*SQRT(C15/D15)</f>
        <v>2.272080544346965E-2</v>
      </c>
      <c r="F15" s="29">
        <f t="shared" ref="F15:F23" si="1">(B15+$I$4)*100*$H$4/60*$D$9</f>
        <v>0.14864105121128493</v>
      </c>
      <c r="G15" s="54"/>
      <c r="H15" s="54"/>
      <c r="P15" s="50">
        <v>11</v>
      </c>
      <c r="Q15" s="51">
        <v>14.5</v>
      </c>
      <c r="R15" s="51">
        <v>24</v>
      </c>
      <c r="S15" s="51">
        <v>12.4</v>
      </c>
      <c r="T15" s="51">
        <v>37</v>
      </c>
      <c r="U15" s="51">
        <v>10.199999999999999</v>
      </c>
      <c r="V15" s="51">
        <v>50</v>
      </c>
      <c r="W15" s="51">
        <v>8.1</v>
      </c>
    </row>
    <row r="16" spans="1:23" ht="15" thickBot="1">
      <c r="B16" s="26">
        <v>26</v>
      </c>
      <c r="C16" s="26">
        <f>U4</f>
        <v>12</v>
      </c>
      <c r="D16" s="26">
        <v>8</v>
      </c>
      <c r="E16" s="53">
        <f t="shared" si="0"/>
        <v>1.6411581276647293E-2</v>
      </c>
      <c r="F16" s="29">
        <f t="shared" si="1"/>
        <v>0.1337272333639988</v>
      </c>
      <c r="G16" s="54"/>
      <c r="P16" s="55">
        <v>12</v>
      </c>
      <c r="Q16" s="49">
        <v>14.3</v>
      </c>
      <c r="R16" s="49">
        <v>25</v>
      </c>
      <c r="S16" s="49">
        <v>12.2</v>
      </c>
      <c r="T16" s="49">
        <v>38</v>
      </c>
      <c r="U16" s="49">
        <v>10.1</v>
      </c>
      <c r="V16" s="49">
        <v>51</v>
      </c>
      <c r="W16" s="49">
        <v>7.9</v>
      </c>
    </row>
    <row r="17" spans="2:7">
      <c r="B17" s="26">
        <v>24</v>
      </c>
      <c r="C17" s="26">
        <f>S15</f>
        <v>12.4</v>
      </c>
      <c r="D17" s="26">
        <v>16</v>
      </c>
      <c r="E17" s="53">
        <f t="shared" si="0"/>
        <v>1.1796567297311537E-2</v>
      </c>
      <c r="F17" s="29">
        <f t="shared" si="1"/>
        <v>0.12378468813247474</v>
      </c>
      <c r="G17" s="54"/>
    </row>
    <row r="18" spans="2:7">
      <c r="B18" s="26">
        <v>22</v>
      </c>
      <c r="C18" s="26">
        <f>S13</f>
        <v>12.7</v>
      </c>
      <c r="D18" s="26">
        <v>30</v>
      </c>
      <c r="E18" s="53">
        <f t="shared" si="0"/>
        <v>8.7185855121879336E-3</v>
      </c>
      <c r="F18" s="29">
        <f t="shared" si="1"/>
        <v>0.11384214290095065</v>
      </c>
      <c r="G18" s="54"/>
    </row>
    <row r="19" spans="2:7">
      <c r="B19" s="26">
        <v>20</v>
      </c>
      <c r="C19" s="26">
        <f>S11</f>
        <v>13</v>
      </c>
      <c r="D19" s="26">
        <v>60</v>
      </c>
      <c r="E19" s="53">
        <f t="shared" si="0"/>
        <v>6.2373605528834603E-3</v>
      </c>
      <c r="F19" s="29">
        <f t="shared" si="1"/>
        <v>0.10389959766942658</v>
      </c>
      <c r="G19" s="54"/>
    </row>
    <row r="20" spans="2:7">
      <c r="B20" s="26">
        <v>18</v>
      </c>
      <c r="C20" s="26">
        <f>S9</f>
        <v>13.6</v>
      </c>
      <c r="D20" s="26">
        <v>120</v>
      </c>
      <c r="E20" s="53">
        <f t="shared" si="0"/>
        <v>4.5111122058017284E-3</v>
      </c>
      <c r="F20" s="29">
        <f t="shared" si="1"/>
        <v>9.3957052437902505E-2</v>
      </c>
      <c r="G20" s="54"/>
    </row>
    <row r="21" spans="2:7">
      <c r="B21" s="26">
        <v>17</v>
      </c>
      <c r="C21" s="26">
        <f>S8</f>
        <v>13.5</v>
      </c>
      <c r="D21" s="26">
        <v>240</v>
      </c>
      <c r="E21" s="53">
        <f t="shared" si="0"/>
        <v>3.1780890484692211E-3</v>
      </c>
      <c r="F21" s="29">
        <f t="shared" si="1"/>
        <v>8.8985779822140454E-2</v>
      </c>
      <c r="G21" s="54"/>
    </row>
    <row r="22" spans="2:7">
      <c r="B22" s="26">
        <v>15</v>
      </c>
      <c r="C22" s="26">
        <f>S6</f>
        <v>13.8</v>
      </c>
      <c r="D22" s="26">
        <v>480</v>
      </c>
      <c r="E22" s="53">
        <f t="shared" si="0"/>
        <v>2.2720805443469647E-3</v>
      </c>
      <c r="F22" s="29">
        <f t="shared" si="1"/>
        <v>7.9043234590616407E-2</v>
      </c>
      <c r="G22" s="54"/>
    </row>
    <row r="23" spans="2:7">
      <c r="B23" s="26">
        <v>13</v>
      </c>
      <c r="C23" s="26">
        <f>S4</f>
        <v>14.2</v>
      </c>
      <c r="D23" s="26">
        <f>D22*3</f>
        <v>1440</v>
      </c>
      <c r="E23" s="53">
        <f t="shared" si="0"/>
        <v>1.3306619071391166E-3</v>
      </c>
      <c r="F23" s="29">
        <f t="shared" si="1"/>
        <v>6.9100689359092318E-2</v>
      </c>
      <c r="G23" s="54"/>
    </row>
    <row r="25" spans="2:7">
      <c r="C25" s="203" t="s">
        <v>194</v>
      </c>
      <c r="D25" s="203" t="s">
        <v>193</v>
      </c>
    </row>
    <row r="26" spans="2:7">
      <c r="C26" s="202" t="s">
        <v>106</v>
      </c>
      <c r="D26" s="56">
        <v>0</v>
      </c>
    </row>
    <row r="27" spans="2:7">
      <c r="C27" s="202" t="s">
        <v>107</v>
      </c>
      <c r="D27" s="57">
        <f>1-D8</f>
        <v>0.77740570377184914</v>
      </c>
    </row>
    <row r="28" spans="2:7">
      <c r="C28" s="202" t="s">
        <v>108</v>
      </c>
      <c r="D28" s="57">
        <f>1-D27-D26-D29</f>
        <v>0.14359429622815084</v>
      </c>
    </row>
    <row r="29" spans="2:7">
      <c r="C29" s="202" t="s">
        <v>109</v>
      </c>
      <c r="D29" s="58">
        <v>7.9000000000000001E-2</v>
      </c>
    </row>
    <row r="30" spans="2:7">
      <c r="C30" s="204" t="s">
        <v>110</v>
      </c>
      <c r="D30" s="205"/>
    </row>
  </sheetData>
  <mergeCells count="6">
    <mergeCell ref="V2:V3"/>
    <mergeCell ref="B12:F12"/>
    <mergeCell ref="B1:D1"/>
    <mergeCell ref="P2:P3"/>
    <mergeCell ref="R2:R3"/>
    <mergeCell ref="T2:T3"/>
  </mergeCells>
  <pageMargins left="0.7" right="0.7" top="0.75" bottom="0.75" header="0.3" footer="0.3"/>
  <pageSetup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V42"/>
  <sheetViews>
    <sheetView zoomScaleNormal="100" workbookViewId="0">
      <selection activeCell="F4" sqref="F4"/>
    </sheetView>
  </sheetViews>
  <sheetFormatPr defaultRowHeight="14.4"/>
  <cols>
    <col min="2" max="2" width="12.5546875" customWidth="1"/>
    <col min="3" max="9" width="18.33203125" style="36" customWidth="1"/>
  </cols>
  <sheetData>
    <row r="2" spans="1:19">
      <c r="B2" s="247" t="s">
        <v>94</v>
      </c>
      <c r="C2" s="247"/>
      <c r="D2" s="247"/>
      <c r="E2"/>
    </row>
    <row r="3" spans="1:19" ht="28.8">
      <c r="A3" s="2" t="s">
        <v>156</v>
      </c>
      <c r="B3" s="107" t="s">
        <v>157</v>
      </c>
      <c r="C3" s="107" t="s">
        <v>159</v>
      </c>
      <c r="D3" s="107" t="s">
        <v>160</v>
      </c>
      <c r="E3"/>
      <c r="F3" s="212"/>
    </row>
    <row r="4" spans="1:19">
      <c r="A4" s="2">
        <v>4</v>
      </c>
      <c r="B4" s="210">
        <v>4.75</v>
      </c>
      <c r="C4" s="107">
        <v>2.65</v>
      </c>
      <c r="D4" s="41">
        <f>($C$12-C4)/$C$12</f>
        <v>0.99063438770100731</v>
      </c>
      <c r="F4" s="212"/>
    </row>
    <row r="5" spans="1:19">
      <c r="A5" s="2">
        <v>10</v>
      </c>
      <c r="B5" s="211">
        <v>2</v>
      </c>
      <c r="C5" s="107">
        <v>7.11</v>
      </c>
      <c r="D5" s="41">
        <f>($C$12-C5-C4)/$C$12</f>
        <v>0.96550627319314375</v>
      </c>
      <c r="F5" s="68"/>
    </row>
    <row r="6" spans="1:19">
      <c r="A6" s="2">
        <v>40</v>
      </c>
      <c r="B6" s="211">
        <v>0.4</v>
      </c>
      <c r="C6" s="107">
        <v>74.5</v>
      </c>
      <c r="D6" s="41">
        <f>($C$12-C6-C5-C4)/$C$12</f>
        <v>0.70220887082523409</v>
      </c>
      <c r="F6" s="68"/>
    </row>
    <row r="7" spans="1:19">
      <c r="A7" s="2">
        <v>60</v>
      </c>
      <c r="B7" s="211">
        <v>0.25</v>
      </c>
      <c r="C7" s="107">
        <v>32.270000000000003</v>
      </c>
      <c r="D7" s="41">
        <f>($C$12-C7-C6-C5-C4)/$C$12</f>
        <v>0.58816045237674497</v>
      </c>
      <c r="F7" s="68"/>
    </row>
    <row r="8" spans="1:19">
      <c r="A8" s="2">
        <v>80</v>
      </c>
      <c r="B8" s="211">
        <v>0.17699999999999999</v>
      </c>
      <c r="C8" s="107">
        <v>22.89</v>
      </c>
      <c r="D8" s="41">
        <f>($C$12-C8-C7-C6-C5-C4)/$C$12</f>
        <v>0.50726276727336983</v>
      </c>
      <c r="F8" s="68"/>
    </row>
    <row r="9" spans="1:19">
      <c r="A9" s="2">
        <v>100</v>
      </c>
      <c r="B9" s="211">
        <v>0.14899999999999999</v>
      </c>
      <c r="C9" s="107">
        <v>3.93</v>
      </c>
      <c r="D9" s="41">
        <f>($C$12-C9-C8-C7-C6-C5-C4)/$C$12</f>
        <v>0.4933733875242976</v>
      </c>
      <c r="F9" s="68"/>
    </row>
    <row r="10" spans="1:19">
      <c r="A10" s="2">
        <v>200</v>
      </c>
      <c r="B10" s="211">
        <v>7.4999999999999997E-2</v>
      </c>
      <c r="C10" s="107">
        <v>20.100000000000001</v>
      </c>
      <c r="D10" s="41">
        <f>($C$12-C10-C9-C8-C7-C6-C5-C4)/$C$12</f>
        <v>0.4223361017847676</v>
      </c>
      <c r="F10" s="68"/>
    </row>
    <row r="11" spans="1:19">
      <c r="A11" s="2" t="s">
        <v>158</v>
      </c>
      <c r="C11" s="107">
        <v>119.5</v>
      </c>
      <c r="D11" s="41">
        <v>0.41</v>
      </c>
      <c r="F11" s="68"/>
    </row>
    <row r="12" spans="1:19">
      <c r="B12" s="61" t="s">
        <v>161</v>
      </c>
      <c r="C12" s="61">
        <f>SUM(C4:C11)</f>
        <v>282.95000000000005</v>
      </c>
      <c r="D12" s="121"/>
      <c r="E12"/>
      <c r="F12" s="212"/>
    </row>
    <row r="14" spans="1:19" ht="15" thickBot="1"/>
    <row r="15" spans="1:19">
      <c r="B15" s="246" t="s">
        <v>101</v>
      </c>
      <c r="C15" s="246"/>
      <c r="D15" s="246"/>
      <c r="E15" s="246"/>
      <c r="F15" s="246"/>
      <c r="H15" t="s">
        <v>97</v>
      </c>
      <c r="I15" s="48" t="s">
        <v>98</v>
      </c>
      <c r="J15" t="s">
        <v>99</v>
      </c>
      <c r="K15" t="s">
        <v>138</v>
      </c>
      <c r="L15" s="244" t="s">
        <v>95</v>
      </c>
      <c r="M15" s="46" t="s">
        <v>96</v>
      </c>
      <c r="N15" s="244" t="s">
        <v>95</v>
      </c>
      <c r="O15" s="46" t="s">
        <v>96</v>
      </c>
      <c r="P15" s="244" t="s">
        <v>95</v>
      </c>
      <c r="Q15" s="46" t="s">
        <v>96</v>
      </c>
      <c r="R15" s="244" t="s">
        <v>95</v>
      </c>
      <c r="S15" s="46" t="s">
        <v>96</v>
      </c>
    </row>
    <row r="16" spans="1:19" ht="29.4" thickBot="1">
      <c r="B16" s="43" t="s">
        <v>95</v>
      </c>
      <c r="C16" s="62" t="s">
        <v>102</v>
      </c>
      <c r="D16" s="62" t="s">
        <v>103</v>
      </c>
      <c r="E16" s="62" t="s">
        <v>104</v>
      </c>
      <c r="F16" s="62" t="s">
        <v>105</v>
      </c>
      <c r="H16">
        <f>0.000931*98.0665</f>
        <v>9.1299911499999997E-2</v>
      </c>
      <c r="I16">
        <v>1.34E-2</v>
      </c>
      <c r="J16">
        <f>-4.85+23*0.25</f>
        <v>0.90000000000000036</v>
      </c>
      <c r="K16">
        <v>1</v>
      </c>
      <c r="L16" s="245"/>
      <c r="M16" s="49" t="s">
        <v>100</v>
      </c>
      <c r="N16" s="245"/>
      <c r="O16" s="49" t="s">
        <v>100</v>
      </c>
      <c r="P16" s="245"/>
      <c r="Q16" s="49" t="s">
        <v>100</v>
      </c>
      <c r="R16" s="245"/>
      <c r="S16" s="49" t="s">
        <v>100</v>
      </c>
    </row>
    <row r="17" spans="2:19">
      <c r="B17" s="62">
        <v>44</v>
      </c>
      <c r="C17" s="62">
        <f>S23</f>
        <v>8.9</v>
      </c>
      <c r="D17" s="62">
        <v>2</v>
      </c>
      <c r="E17" s="53">
        <f>$I$16*SQRT(C17/D17)</f>
        <v>2.826733096703684E-2</v>
      </c>
      <c r="F17" s="72">
        <f>(B17+$J$16)*100*$I$16/60*'PSD UTU z=0.35'!$D$11</f>
        <v>0.41113433333333338</v>
      </c>
      <c r="L17" s="50">
        <v>0</v>
      </c>
      <c r="M17" s="51">
        <v>16.3</v>
      </c>
      <c r="N17" s="51">
        <v>13</v>
      </c>
      <c r="O17" s="51">
        <v>14.2</v>
      </c>
      <c r="P17" s="51">
        <v>26</v>
      </c>
      <c r="Q17" s="51">
        <v>12</v>
      </c>
      <c r="R17" s="51">
        <v>39</v>
      </c>
      <c r="S17" s="51">
        <v>9.9</v>
      </c>
    </row>
    <row r="18" spans="2:19">
      <c r="B18" s="62">
        <v>42</v>
      </c>
      <c r="C18" s="62">
        <f>S21</f>
        <v>9.1999999999999993</v>
      </c>
      <c r="D18" s="62">
        <v>4</v>
      </c>
      <c r="E18" s="53">
        <f t="shared" ref="E18:E26" si="0">$I$16*SQRT(C18/D18)</f>
        <v>2.0322106190058156E-2</v>
      </c>
      <c r="F18" s="72">
        <f>(B18+$J$16)*100*$I$16/60*'PSD UTU z=0.35'!$D$11</f>
        <v>0.39282099999999998</v>
      </c>
      <c r="L18" s="50">
        <v>1</v>
      </c>
      <c r="M18" s="51">
        <v>16.100000000000001</v>
      </c>
      <c r="N18" s="51">
        <v>14</v>
      </c>
      <c r="O18" s="51">
        <v>14</v>
      </c>
      <c r="P18" s="51">
        <v>27</v>
      </c>
      <c r="Q18" s="51">
        <v>11.9</v>
      </c>
      <c r="R18" s="51">
        <v>40</v>
      </c>
      <c r="S18" s="51">
        <v>9.6999999999999993</v>
      </c>
    </row>
    <row r="19" spans="2:19">
      <c r="B19" s="62">
        <v>40</v>
      </c>
      <c r="C19" s="62">
        <f>S19</f>
        <v>9.6</v>
      </c>
      <c r="D19" s="62">
        <v>8</v>
      </c>
      <c r="E19" s="53">
        <f t="shared" si="0"/>
        <v>1.4678964541138451E-2</v>
      </c>
      <c r="F19" s="72">
        <f>(B19+$J$16)*100*$I$16/60*'PSD UTU z=0.35'!$D$11</f>
        <v>0.37450766666666668</v>
      </c>
      <c r="L19" s="50">
        <v>2</v>
      </c>
      <c r="M19" s="51">
        <v>16</v>
      </c>
      <c r="N19" s="51">
        <v>15</v>
      </c>
      <c r="O19" s="51">
        <v>13.8</v>
      </c>
      <c r="P19" s="51">
        <v>28</v>
      </c>
      <c r="Q19" s="51">
        <v>11.7</v>
      </c>
      <c r="R19" s="51">
        <v>41</v>
      </c>
      <c r="S19" s="51">
        <v>9.6</v>
      </c>
    </row>
    <row r="20" spans="2:19">
      <c r="B20" s="62">
        <v>36</v>
      </c>
      <c r="C20" s="62">
        <f>Q28</f>
        <v>10.199999999999999</v>
      </c>
      <c r="D20" s="62">
        <v>16</v>
      </c>
      <c r="E20" s="53">
        <f t="shared" si="0"/>
        <v>1.069904201318978E-2</v>
      </c>
      <c r="F20" s="72">
        <f>(B20+$J$16)*100*$I$16/60*'PSD UTU z=0.35'!$D$11</f>
        <v>0.33788099999999999</v>
      </c>
      <c r="L20" s="50">
        <v>3</v>
      </c>
      <c r="M20" s="51">
        <v>15.8</v>
      </c>
      <c r="N20" s="51">
        <v>16</v>
      </c>
      <c r="O20" s="51">
        <v>13.7</v>
      </c>
      <c r="P20" s="51">
        <v>29</v>
      </c>
      <c r="Q20" s="51">
        <v>11.5</v>
      </c>
      <c r="R20" s="51">
        <v>42</v>
      </c>
      <c r="S20" s="51">
        <v>9.4</v>
      </c>
    </row>
    <row r="21" spans="2:19">
      <c r="B21" s="62">
        <v>34</v>
      </c>
      <c r="C21" s="62">
        <f>Q26</f>
        <v>10.6</v>
      </c>
      <c r="D21" s="62">
        <v>30</v>
      </c>
      <c r="E21" s="53">
        <f t="shared" si="0"/>
        <v>7.965207676723398E-3</v>
      </c>
      <c r="F21" s="72">
        <f>(B21+$J$16)*100*$I$16/60*'PSD UTU z=0.35'!$D$11</f>
        <v>0.31956766666666664</v>
      </c>
      <c r="L21" s="50">
        <v>4</v>
      </c>
      <c r="M21" s="51">
        <v>15.6</v>
      </c>
      <c r="N21" s="51">
        <v>17</v>
      </c>
      <c r="O21" s="51">
        <v>13.5</v>
      </c>
      <c r="P21" s="51">
        <v>30</v>
      </c>
      <c r="Q21" s="51">
        <v>11.4</v>
      </c>
      <c r="R21" s="51">
        <v>43</v>
      </c>
      <c r="S21" s="51">
        <v>9.1999999999999993</v>
      </c>
    </row>
    <row r="22" spans="2:19">
      <c r="B22" s="62">
        <v>30</v>
      </c>
      <c r="C22" s="62">
        <f>Q22</f>
        <v>11.2</v>
      </c>
      <c r="D22" s="62">
        <v>60</v>
      </c>
      <c r="E22" s="53">
        <f t="shared" si="0"/>
        <v>5.7894616905776889E-3</v>
      </c>
      <c r="F22" s="72">
        <f>(B22+$J$16)*100*$I$16/60*'PSD UTU z=0.35'!$D$11</f>
        <v>0.28294099999999994</v>
      </c>
      <c r="L22" s="50">
        <v>5</v>
      </c>
      <c r="M22" s="51">
        <v>15.5</v>
      </c>
      <c r="N22" s="51">
        <v>18</v>
      </c>
      <c r="O22" s="51">
        <v>13.6</v>
      </c>
      <c r="P22" s="51">
        <v>31</v>
      </c>
      <c r="Q22" s="51">
        <v>11.2</v>
      </c>
      <c r="R22" s="51">
        <v>44</v>
      </c>
      <c r="S22" s="51">
        <v>9.1</v>
      </c>
    </row>
    <row r="23" spans="2:19">
      <c r="B23" s="62">
        <v>27</v>
      </c>
      <c r="C23" s="62">
        <f>Q19</f>
        <v>11.7</v>
      </c>
      <c r="D23" s="62">
        <v>120</v>
      </c>
      <c r="E23" s="53">
        <f t="shared" si="0"/>
        <v>4.1841486589269273E-3</v>
      </c>
      <c r="F23" s="72">
        <f>(B23+$J$16)*100*$I$16/60*'PSD UTU z=0.35'!$D$11</f>
        <v>0.255471</v>
      </c>
      <c r="L23" s="50">
        <v>6</v>
      </c>
      <c r="M23" s="51">
        <v>15.3</v>
      </c>
      <c r="N23" s="51">
        <v>19</v>
      </c>
      <c r="O23" s="51">
        <v>13.2</v>
      </c>
      <c r="P23" s="51">
        <v>32</v>
      </c>
      <c r="Q23" s="51">
        <v>11.1</v>
      </c>
      <c r="R23" s="51">
        <v>45</v>
      </c>
      <c r="S23" s="51">
        <v>8.9</v>
      </c>
    </row>
    <row r="24" spans="2:19">
      <c r="B24" s="62">
        <v>25</v>
      </c>
      <c r="C24" s="62">
        <f>Q17</f>
        <v>12</v>
      </c>
      <c r="D24" s="62">
        <v>240</v>
      </c>
      <c r="E24" s="53">
        <f t="shared" si="0"/>
        <v>2.996331089849718E-3</v>
      </c>
      <c r="F24" s="72">
        <f>(B24+$J$16)*100*$I$16/60*'PSD UTU z=0.35'!$D$11</f>
        <v>0.23715766666666666</v>
      </c>
      <c r="L24" s="50">
        <v>7</v>
      </c>
      <c r="M24" s="51">
        <v>15.2</v>
      </c>
      <c r="N24" s="51">
        <v>20</v>
      </c>
      <c r="O24" s="51">
        <v>13</v>
      </c>
      <c r="P24" s="51">
        <v>33</v>
      </c>
      <c r="Q24" s="51">
        <v>10.9</v>
      </c>
      <c r="R24" s="51">
        <v>46</v>
      </c>
      <c r="S24" s="51">
        <v>8.8000000000000007</v>
      </c>
    </row>
    <row r="25" spans="2:19">
      <c r="B25" s="62">
        <v>22</v>
      </c>
      <c r="C25" s="62">
        <f>O27</f>
        <v>12.5</v>
      </c>
      <c r="D25" s="62">
        <v>480</v>
      </c>
      <c r="E25" s="53">
        <f t="shared" si="0"/>
        <v>2.1624157016324743E-3</v>
      </c>
      <c r="F25" s="72">
        <f>(B25+$J$16)*100*$I$16/60*'PSD UTU z=0.35'!$D$11</f>
        <v>0.20968766666666663</v>
      </c>
      <c r="L25" s="50">
        <v>8</v>
      </c>
      <c r="M25" s="51">
        <v>15</v>
      </c>
      <c r="N25" s="51">
        <v>21</v>
      </c>
      <c r="O25" s="51">
        <v>12.9</v>
      </c>
      <c r="P25" s="51">
        <v>34</v>
      </c>
      <c r="Q25" s="51">
        <v>10.7</v>
      </c>
      <c r="R25" s="51">
        <v>47</v>
      </c>
      <c r="S25" s="51">
        <v>8.6</v>
      </c>
    </row>
    <row r="26" spans="2:19">
      <c r="B26" s="62">
        <v>18</v>
      </c>
      <c r="C26" s="62">
        <f>O23</f>
        <v>13.2</v>
      </c>
      <c r="D26" s="62">
        <f>D25*3</f>
        <v>1440</v>
      </c>
      <c r="E26" s="53">
        <f t="shared" si="0"/>
        <v>1.2829523243934932E-3</v>
      </c>
      <c r="F26" s="72">
        <f>(B26+$J$16)*100*$I$16/60*'PSD UTU z=0.35'!$D$11</f>
        <v>0.17306099999999999</v>
      </c>
      <c r="L26" s="50">
        <v>9</v>
      </c>
      <c r="M26" s="51">
        <v>14.8</v>
      </c>
      <c r="N26" s="51">
        <v>22</v>
      </c>
      <c r="O26" s="51">
        <v>12.7</v>
      </c>
      <c r="P26" s="51">
        <v>35</v>
      </c>
      <c r="Q26" s="51">
        <v>10.6</v>
      </c>
      <c r="R26" s="51">
        <v>48</v>
      </c>
      <c r="S26" s="51">
        <v>8.4</v>
      </c>
    </row>
    <row r="27" spans="2:19">
      <c r="L27" s="50">
        <v>10</v>
      </c>
      <c r="M27" s="51">
        <v>14.7</v>
      </c>
      <c r="N27" s="51">
        <v>23</v>
      </c>
      <c r="O27" s="51">
        <v>12.5</v>
      </c>
      <c r="P27" s="51">
        <v>36</v>
      </c>
      <c r="Q27" s="51">
        <v>10.4</v>
      </c>
      <c r="R27" s="51">
        <v>49</v>
      </c>
      <c r="S27" s="51">
        <v>8.3000000000000007</v>
      </c>
    </row>
    <row r="28" spans="2:19">
      <c r="C28" s="203" t="s">
        <v>194</v>
      </c>
      <c r="D28" s="203" t="s">
        <v>193</v>
      </c>
      <c r="L28" s="50">
        <v>11</v>
      </c>
      <c r="M28" s="51">
        <v>14.5</v>
      </c>
      <c r="N28" s="51">
        <v>24</v>
      </c>
      <c r="O28" s="51">
        <v>12.4</v>
      </c>
      <c r="P28" s="51">
        <v>37</v>
      </c>
      <c r="Q28" s="51">
        <v>10.199999999999999</v>
      </c>
      <c r="R28" s="51">
        <v>50</v>
      </c>
      <c r="S28" s="51">
        <v>8.1</v>
      </c>
    </row>
    <row r="29" spans="2:19" ht="15" thickBot="1">
      <c r="C29" s="202" t="s">
        <v>106</v>
      </c>
      <c r="D29" s="56">
        <f>1-D4</f>
        <v>9.3656122989926871E-3</v>
      </c>
      <c r="L29" s="55">
        <v>12</v>
      </c>
      <c r="M29" s="49">
        <v>14.3</v>
      </c>
      <c r="N29" s="49">
        <v>25</v>
      </c>
      <c r="O29" s="49">
        <v>12.2</v>
      </c>
      <c r="P29" s="49">
        <v>38</v>
      </c>
      <c r="Q29" s="49">
        <v>10.1</v>
      </c>
      <c r="R29" s="49">
        <v>51</v>
      </c>
      <c r="S29" s="49">
        <v>7.9</v>
      </c>
    </row>
    <row r="30" spans="2:19">
      <c r="C30" s="202" t="s">
        <v>107</v>
      </c>
      <c r="D30" s="57">
        <f>1-D10-D29</f>
        <v>0.56829828591623976</v>
      </c>
    </row>
    <row r="31" spans="2:19">
      <c r="C31" s="202" t="s">
        <v>108</v>
      </c>
      <c r="D31" s="57">
        <f>D10-D32</f>
        <v>0.21233610178476761</v>
      </c>
    </row>
    <row r="32" spans="2:19">
      <c r="C32" s="202" t="s">
        <v>109</v>
      </c>
      <c r="D32" s="58">
        <v>0.21</v>
      </c>
      <c r="E32" s="125">
        <f>SUM(D29:D32)</f>
        <v>1</v>
      </c>
    </row>
    <row r="33" spans="3:22">
      <c r="C33" s="204" t="s">
        <v>139</v>
      </c>
      <c r="D33" s="205"/>
    </row>
    <row r="34" spans="3:22">
      <c r="V34" s="256" t="s">
        <v>206</v>
      </c>
    </row>
    <row r="35" spans="3:22">
      <c r="V35" s="257">
        <v>4.75</v>
      </c>
    </row>
    <row r="36" spans="3:22">
      <c r="V36" s="258">
        <v>2</v>
      </c>
    </row>
    <row r="37" spans="3:22">
      <c r="V37" s="258">
        <v>0.4</v>
      </c>
    </row>
    <row r="38" spans="3:22">
      <c r="V38" s="258">
        <v>0.25</v>
      </c>
    </row>
    <row r="39" spans="3:22">
      <c r="V39" s="258">
        <v>0.17699999999999999</v>
      </c>
    </row>
    <row r="40" spans="3:22">
      <c r="V40" s="258">
        <v>0.14899999999999999</v>
      </c>
    </row>
    <row r="41" spans="3:22">
      <c r="V41" s="258">
        <v>7.4999999999999997E-2</v>
      </c>
    </row>
    <row r="42" spans="3:22">
      <c r="V42" s="258">
        <v>2.8299999999999999E-2</v>
      </c>
    </row>
  </sheetData>
  <mergeCells count="6">
    <mergeCell ref="R15:R16"/>
    <mergeCell ref="B2:D2"/>
    <mergeCell ref="B15:F15"/>
    <mergeCell ref="L15:L16"/>
    <mergeCell ref="N15:N16"/>
    <mergeCell ref="P15:P16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49"/>
  <sheetViews>
    <sheetView zoomScale="85" zoomScaleNormal="85" workbookViewId="0">
      <selection activeCell="G13" sqref="G13"/>
    </sheetView>
  </sheetViews>
  <sheetFormatPr defaultRowHeight="14.4"/>
  <cols>
    <col min="2" max="2" width="16.33203125" customWidth="1"/>
    <col min="3" max="3" width="26.6640625" customWidth="1"/>
    <col min="4" max="4" width="15.6640625" customWidth="1"/>
    <col min="5" max="5" width="13" customWidth="1"/>
    <col min="6" max="6" width="12.6640625" customWidth="1"/>
    <col min="7" max="7" width="16.109375" bestFit="1" customWidth="1"/>
    <col min="25" max="25" width="1.109375" customWidth="1"/>
  </cols>
  <sheetData>
    <row r="1" spans="1:20">
      <c r="B1" s="224" t="s">
        <v>94</v>
      </c>
      <c r="C1" s="224"/>
      <c r="D1" s="224"/>
    </row>
    <row r="2" spans="1:20">
      <c r="A2" s="45" t="s">
        <v>156</v>
      </c>
      <c r="B2" s="121" t="s">
        <v>157</v>
      </c>
      <c r="C2" s="121" t="s">
        <v>159</v>
      </c>
      <c r="D2" s="121" t="s">
        <v>160</v>
      </c>
    </row>
    <row r="3" spans="1:20">
      <c r="A3" s="45">
        <v>4</v>
      </c>
      <c r="B3" s="210">
        <v>4.75</v>
      </c>
      <c r="C3" s="121">
        <v>0.19</v>
      </c>
      <c r="D3" s="123">
        <f>($C$11-C3)/$C$11</f>
        <v>0.99870041039671686</v>
      </c>
    </row>
    <row r="4" spans="1:20">
      <c r="A4" s="45">
        <v>10</v>
      </c>
      <c r="B4" s="211">
        <v>2</v>
      </c>
      <c r="C4" s="121">
        <v>2.41</v>
      </c>
      <c r="D4" s="123">
        <f>($C$11-C4-C3)/$C$11</f>
        <v>0.98221614227086185</v>
      </c>
    </row>
    <row r="5" spans="1:20">
      <c r="A5" s="45">
        <v>40</v>
      </c>
      <c r="B5" s="211">
        <v>0.4</v>
      </c>
      <c r="C5" s="121">
        <v>40.1</v>
      </c>
      <c r="D5" s="123">
        <f>($C$11-C5-C4-C3)/$C$11</f>
        <v>0.70793433652530791</v>
      </c>
    </row>
    <row r="6" spans="1:20">
      <c r="A6" s="45">
        <v>60</v>
      </c>
      <c r="B6" s="211">
        <v>0.25</v>
      </c>
      <c r="C6" s="121">
        <v>16.7</v>
      </c>
      <c r="D6" s="123">
        <f>($C$11-C6-C5-C4-C3)/$C$11</f>
        <v>0.59370725034199734</v>
      </c>
    </row>
    <row r="7" spans="1:20">
      <c r="A7" s="45">
        <v>80</v>
      </c>
      <c r="B7" s="211">
        <v>0.17699999999999999</v>
      </c>
      <c r="C7" s="121">
        <v>9.17</v>
      </c>
      <c r="D7" s="123">
        <f>($C$11-C7-C6-C5-C4-C3)/$C$11</f>
        <v>0.5309849521203831</v>
      </c>
    </row>
    <row r="8" spans="1:20">
      <c r="A8" s="45">
        <v>100</v>
      </c>
      <c r="B8" s="211">
        <v>0.14899999999999999</v>
      </c>
      <c r="C8" s="121">
        <v>3.67</v>
      </c>
      <c r="D8" s="123">
        <f>($C$11-C8-C7-C6-C5-C4-C3)/$C$11</f>
        <v>0.50588235294117656</v>
      </c>
    </row>
    <row r="9" spans="1:20">
      <c r="A9" s="45">
        <v>200</v>
      </c>
      <c r="B9" s="211">
        <v>7.3999999999999996E-2</v>
      </c>
      <c r="C9" s="121">
        <v>13.52</v>
      </c>
      <c r="D9" s="123">
        <f>($C$11-C9-SUM(C3:C8))/$C$11</f>
        <v>0.41340629274965784</v>
      </c>
      <c r="F9" s="68"/>
    </row>
    <row r="10" spans="1:20">
      <c r="A10" s="45" t="s">
        <v>158</v>
      </c>
      <c r="C10" s="121">
        <f>C11-SUM(C3:C9)</f>
        <v>60.439999999999984</v>
      </c>
      <c r="D10" s="123">
        <f>(C10)/$C$11</f>
        <v>0.4134062927496579</v>
      </c>
    </row>
    <row r="11" spans="1:20">
      <c r="A11" s="45"/>
      <c r="B11" s="121" t="s">
        <v>161</v>
      </c>
      <c r="C11" s="121">
        <v>146.19999999999999</v>
      </c>
      <c r="D11" s="121"/>
    </row>
    <row r="13" spans="1:20" ht="15" thickBot="1">
      <c r="D13" s="36"/>
      <c r="E13" s="36"/>
      <c r="F13" s="36"/>
      <c r="G13" s="36"/>
      <c r="H13" s="36"/>
      <c r="I13" s="36"/>
      <c r="J13" s="36"/>
    </row>
    <row r="14" spans="1:20">
      <c r="C14" s="246" t="s">
        <v>101</v>
      </c>
      <c r="D14" s="246"/>
      <c r="E14" s="246"/>
      <c r="F14" s="246"/>
      <c r="G14" s="246"/>
      <c r="H14" s="36"/>
      <c r="I14" t="s">
        <v>97</v>
      </c>
      <c r="J14" s="48" t="s">
        <v>98</v>
      </c>
      <c r="K14" t="s">
        <v>99</v>
      </c>
      <c r="L14" t="s">
        <v>138</v>
      </c>
      <c r="M14" s="244" t="s">
        <v>95</v>
      </c>
      <c r="N14" s="46" t="s">
        <v>96</v>
      </c>
      <c r="O14" s="244" t="s">
        <v>95</v>
      </c>
      <c r="P14" s="46" t="s">
        <v>96</v>
      </c>
      <c r="Q14" s="244" t="s">
        <v>95</v>
      </c>
      <c r="R14" s="46" t="s">
        <v>96</v>
      </c>
      <c r="S14" s="244" t="s">
        <v>95</v>
      </c>
      <c r="T14" s="46" t="s">
        <v>96</v>
      </c>
    </row>
    <row r="15" spans="1:20" ht="15" thickBot="1">
      <c r="C15" s="43" t="s">
        <v>95</v>
      </c>
      <c r="D15" s="62" t="s">
        <v>102</v>
      </c>
      <c r="E15" s="62" t="s">
        <v>103</v>
      </c>
      <c r="F15" s="62" t="s">
        <v>104</v>
      </c>
      <c r="G15" s="62" t="s">
        <v>105</v>
      </c>
      <c r="H15" s="36"/>
      <c r="I15">
        <f>0.000931*98.0665</f>
        <v>9.1299911499999997E-2</v>
      </c>
      <c r="J15">
        <v>1.34E-2</v>
      </c>
      <c r="K15">
        <f>-4.85+23*0.25</f>
        <v>0.90000000000000036</v>
      </c>
      <c r="L15">
        <v>1</v>
      </c>
      <c r="M15" s="245"/>
      <c r="N15" s="49" t="s">
        <v>100</v>
      </c>
      <c r="O15" s="245"/>
      <c r="P15" s="49" t="s">
        <v>100</v>
      </c>
      <c r="Q15" s="245"/>
      <c r="R15" s="49" t="s">
        <v>100</v>
      </c>
      <c r="S15" s="245"/>
      <c r="T15" s="49" t="s">
        <v>100</v>
      </c>
    </row>
    <row r="16" spans="1:20">
      <c r="C16" s="62">
        <v>43</v>
      </c>
      <c r="D16" s="62">
        <v>9.1</v>
      </c>
      <c r="E16" s="62">
        <v>2</v>
      </c>
      <c r="F16" s="53">
        <f t="shared" ref="F16:F25" si="0">$J$15*SQRT(D16/E16)</f>
        <v>2.8583176870320068E-2</v>
      </c>
      <c r="G16" s="72">
        <f>(C16+$K$15)*100*$J$15/60*$D$10</f>
        <v>0.40531730962152296</v>
      </c>
      <c r="H16" s="36"/>
      <c r="I16" s="36"/>
      <c r="J16" s="36"/>
      <c r="M16" s="50">
        <v>0</v>
      </c>
      <c r="N16" s="51">
        <v>16.3</v>
      </c>
      <c r="O16" s="51">
        <v>13</v>
      </c>
      <c r="P16" s="51">
        <v>14.2</v>
      </c>
      <c r="Q16" s="51">
        <v>26</v>
      </c>
      <c r="R16" s="51">
        <v>12</v>
      </c>
      <c r="S16" s="51">
        <v>39</v>
      </c>
      <c r="T16" s="51">
        <v>9.9</v>
      </c>
    </row>
    <row r="17" spans="3:20">
      <c r="C17" s="62">
        <v>39</v>
      </c>
      <c r="D17" s="62">
        <v>9.6999999999999993</v>
      </c>
      <c r="E17" s="62">
        <v>4</v>
      </c>
      <c r="F17" s="53">
        <f t="shared" si="0"/>
        <v>2.0867031413212566E-2</v>
      </c>
      <c r="G17" s="72">
        <f t="shared" ref="G17:G25" si="1">(C17+$K$15)*100*$J$15/60*$D$10</f>
        <v>0.36838634746922017</v>
      </c>
      <c r="H17" s="36"/>
      <c r="I17" s="36"/>
      <c r="J17" s="36"/>
      <c r="M17" s="50">
        <v>1</v>
      </c>
      <c r="N17" s="51">
        <v>16.100000000000001</v>
      </c>
      <c r="O17" s="51">
        <v>14</v>
      </c>
      <c r="P17" s="51">
        <v>14</v>
      </c>
      <c r="Q17" s="51">
        <v>27</v>
      </c>
      <c r="R17" s="51">
        <v>11.9</v>
      </c>
      <c r="S17" s="51">
        <v>40</v>
      </c>
      <c r="T17" s="51">
        <v>9.6999999999999993</v>
      </c>
    </row>
    <row r="18" spans="3:20">
      <c r="C18" s="62">
        <v>36</v>
      </c>
      <c r="D18" s="62">
        <v>10.199999999999999</v>
      </c>
      <c r="E18" s="62">
        <v>8</v>
      </c>
      <c r="F18" s="53">
        <f t="shared" si="0"/>
        <v>1.5130730319452527E-2</v>
      </c>
      <c r="G18" s="72">
        <f t="shared" si="1"/>
        <v>0.34068812585499308</v>
      </c>
      <c r="H18" s="36"/>
      <c r="I18" s="36"/>
      <c r="J18" s="36"/>
      <c r="M18" s="50">
        <v>2</v>
      </c>
      <c r="N18" s="51">
        <v>16</v>
      </c>
      <c r="O18" s="51">
        <v>15</v>
      </c>
      <c r="P18" s="51">
        <v>13.8</v>
      </c>
      <c r="Q18" s="51">
        <v>28</v>
      </c>
      <c r="R18" s="51">
        <v>11.7</v>
      </c>
      <c r="S18" s="51">
        <v>41</v>
      </c>
      <c r="T18" s="51">
        <v>9.6</v>
      </c>
    </row>
    <row r="19" spans="3:20">
      <c r="C19" s="62">
        <v>34</v>
      </c>
      <c r="D19" s="62">
        <v>10.6</v>
      </c>
      <c r="E19" s="62">
        <v>16</v>
      </c>
      <c r="F19" s="53">
        <f t="shared" si="0"/>
        <v>1.0906809799386803E-2</v>
      </c>
      <c r="G19" s="72">
        <f t="shared" si="1"/>
        <v>0.32222264477884166</v>
      </c>
      <c r="H19" s="36"/>
      <c r="I19" s="36"/>
      <c r="J19" s="36"/>
      <c r="M19" s="50">
        <v>3</v>
      </c>
      <c r="N19" s="51">
        <v>15.8</v>
      </c>
      <c r="O19" s="51">
        <v>16</v>
      </c>
      <c r="P19" s="51">
        <v>13.7</v>
      </c>
      <c r="Q19" s="51">
        <v>29</v>
      </c>
      <c r="R19" s="51">
        <v>11.5</v>
      </c>
      <c r="S19" s="51">
        <v>42</v>
      </c>
      <c r="T19" s="51">
        <v>9.4</v>
      </c>
    </row>
    <row r="20" spans="3:20">
      <c r="C20" s="62">
        <v>32</v>
      </c>
      <c r="D20" s="62">
        <f>R23</f>
        <v>10.9</v>
      </c>
      <c r="E20" s="62">
        <v>30</v>
      </c>
      <c r="F20" s="53">
        <f t="shared" si="0"/>
        <v>8.0771364562778891E-3</v>
      </c>
      <c r="G20" s="72">
        <f t="shared" si="1"/>
        <v>0.30375716370269029</v>
      </c>
      <c r="H20" s="36"/>
      <c r="I20" s="36"/>
      <c r="J20" s="36"/>
      <c r="M20" s="50">
        <v>4</v>
      </c>
      <c r="N20" s="51">
        <v>15.6</v>
      </c>
      <c r="O20" s="51">
        <v>17</v>
      </c>
      <c r="P20" s="51">
        <v>13.5</v>
      </c>
      <c r="Q20" s="51">
        <v>30</v>
      </c>
      <c r="R20" s="51">
        <v>11.4</v>
      </c>
      <c r="S20" s="51">
        <v>43</v>
      </c>
      <c r="T20" s="51">
        <v>9.1999999999999993</v>
      </c>
    </row>
    <row r="21" spans="3:20">
      <c r="C21" s="62">
        <v>30</v>
      </c>
      <c r="D21" s="62">
        <f>R21</f>
        <v>11.2</v>
      </c>
      <c r="E21" s="62">
        <v>60</v>
      </c>
      <c r="F21" s="53">
        <f t="shared" si="0"/>
        <v>5.7894616905776889E-3</v>
      </c>
      <c r="G21" s="72">
        <f t="shared" si="1"/>
        <v>0.28529168262653887</v>
      </c>
      <c r="H21" s="36"/>
      <c r="I21" s="36"/>
      <c r="J21" s="36"/>
      <c r="M21" s="50">
        <v>5</v>
      </c>
      <c r="N21" s="51">
        <v>15.5</v>
      </c>
      <c r="O21" s="51">
        <v>18</v>
      </c>
      <c r="P21" s="51">
        <v>13.6</v>
      </c>
      <c r="Q21" s="51">
        <v>31</v>
      </c>
      <c r="R21" s="51">
        <v>11.2</v>
      </c>
      <c r="S21" s="51">
        <v>44</v>
      </c>
      <c r="T21" s="51">
        <v>9.1</v>
      </c>
    </row>
    <row r="22" spans="3:20">
      <c r="C22" s="62">
        <v>26</v>
      </c>
      <c r="D22" s="62">
        <f>R17</f>
        <v>11.9</v>
      </c>
      <c r="E22" s="62">
        <v>120</v>
      </c>
      <c r="F22" s="53">
        <f t="shared" si="0"/>
        <v>4.2197590768510308E-3</v>
      </c>
      <c r="G22" s="72">
        <f t="shared" si="1"/>
        <v>0.24836072047423616</v>
      </c>
      <c r="H22" s="36"/>
      <c r="I22" s="36"/>
      <c r="J22" s="36"/>
      <c r="M22" s="50">
        <v>6</v>
      </c>
      <c r="N22" s="51">
        <v>15.3</v>
      </c>
      <c r="O22" s="51">
        <v>19</v>
      </c>
      <c r="P22" s="51">
        <v>13.2</v>
      </c>
      <c r="Q22" s="51">
        <v>32</v>
      </c>
      <c r="R22" s="51">
        <v>11.1</v>
      </c>
      <c r="S22" s="51">
        <v>45</v>
      </c>
      <c r="T22" s="51">
        <v>8.9</v>
      </c>
    </row>
    <row r="23" spans="3:20">
      <c r="C23" s="62">
        <v>23</v>
      </c>
      <c r="D23" s="62">
        <f>P27</f>
        <v>12.4</v>
      </c>
      <c r="E23" s="62">
        <v>240</v>
      </c>
      <c r="F23" s="53">
        <f t="shared" si="0"/>
        <v>3.0458605789935077E-3</v>
      </c>
      <c r="G23" s="72">
        <f t="shared" si="1"/>
        <v>0.22066249886000908</v>
      </c>
      <c r="H23" s="36"/>
      <c r="I23" s="36"/>
      <c r="J23" s="36"/>
      <c r="M23" s="50">
        <v>7</v>
      </c>
      <c r="N23" s="51">
        <v>15.2</v>
      </c>
      <c r="O23" s="51">
        <v>20</v>
      </c>
      <c r="P23" s="51">
        <v>13</v>
      </c>
      <c r="Q23" s="51">
        <v>33</v>
      </c>
      <c r="R23" s="51">
        <v>10.9</v>
      </c>
      <c r="S23" s="51">
        <v>46</v>
      </c>
      <c r="T23" s="51">
        <v>8.8000000000000007</v>
      </c>
    </row>
    <row r="24" spans="3:20">
      <c r="C24" s="62">
        <v>21</v>
      </c>
      <c r="D24" s="62">
        <f>P25</f>
        <v>12.7</v>
      </c>
      <c r="E24" s="62">
        <v>480</v>
      </c>
      <c r="F24" s="53">
        <f t="shared" si="0"/>
        <v>2.1796463780469834E-3</v>
      </c>
      <c r="G24" s="72">
        <f t="shared" si="1"/>
        <v>0.20219701778385768</v>
      </c>
      <c r="H24" s="36"/>
      <c r="I24" s="36"/>
      <c r="J24" s="36"/>
      <c r="M24" s="50">
        <v>8</v>
      </c>
      <c r="N24" s="51">
        <v>15</v>
      </c>
      <c r="O24" s="51">
        <v>21</v>
      </c>
      <c r="P24" s="51">
        <v>12.9</v>
      </c>
      <c r="Q24" s="51">
        <v>34</v>
      </c>
      <c r="R24" s="51">
        <v>10.7</v>
      </c>
      <c r="S24" s="51">
        <v>47</v>
      </c>
      <c r="T24" s="51">
        <v>8.6</v>
      </c>
    </row>
    <row r="25" spans="3:20">
      <c r="C25" s="62">
        <v>17</v>
      </c>
      <c r="D25" s="62">
        <f>P21</f>
        <v>13.6</v>
      </c>
      <c r="E25" s="62">
        <f>E24*3</f>
        <v>1440</v>
      </c>
      <c r="F25" s="53">
        <f t="shared" si="0"/>
        <v>1.3022459231821172E-3</v>
      </c>
      <c r="G25" s="72">
        <f t="shared" si="1"/>
        <v>0.16526605563155489</v>
      </c>
      <c r="H25" s="36"/>
      <c r="I25" s="36"/>
      <c r="J25" s="36"/>
      <c r="M25" s="50">
        <v>9</v>
      </c>
      <c r="N25" s="51">
        <v>14.8</v>
      </c>
      <c r="O25" s="51">
        <v>22</v>
      </c>
      <c r="P25" s="51">
        <v>12.7</v>
      </c>
      <c r="Q25" s="51">
        <v>35</v>
      </c>
      <c r="R25" s="51">
        <v>10.6</v>
      </c>
      <c r="S25" s="51">
        <v>48</v>
      </c>
      <c r="T25" s="51">
        <v>8.4</v>
      </c>
    </row>
    <row r="26" spans="3:20">
      <c r="D26" s="36"/>
      <c r="E26" s="36"/>
      <c r="F26" s="36"/>
      <c r="G26" s="36"/>
      <c r="H26" s="36"/>
      <c r="I26" s="36"/>
      <c r="J26" s="36"/>
      <c r="M26" s="50">
        <v>10</v>
      </c>
      <c r="N26" s="51">
        <v>14.7</v>
      </c>
      <c r="O26" s="51">
        <v>23</v>
      </c>
      <c r="P26" s="51">
        <v>12.5</v>
      </c>
      <c r="Q26" s="51">
        <v>36</v>
      </c>
      <c r="R26" s="51">
        <v>10.4</v>
      </c>
      <c r="S26" s="51">
        <v>49</v>
      </c>
      <c r="T26" s="51">
        <v>8.3000000000000007</v>
      </c>
    </row>
    <row r="27" spans="3:20" ht="28.8">
      <c r="D27" s="36"/>
      <c r="E27" s="203" t="s">
        <v>194</v>
      </c>
      <c r="F27" s="203" t="s">
        <v>193</v>
      </c>
      <c r="G27" s="36"/>
      <c r="H27" s="36"/>
      <c r="I27" s="36"/>
      <c r="J27" s="36"/>
      <c r="M27" s="50">
        <v>11</v>
      </c>
      <c r="N27" s="51">
        <v>14.5</v>
      </c>
      <c r="O27" s="51">
        <v>24</v>
      </c>
      <c r="P27" s="51">
        <v>12.4</v>
      </c>
      <c r="Q27" s="51">
        <v>37</v>
      </c>
      <c r="R27" s="51">
        <v>10.199999999999999</v>
      </c>
      <c r="S27" s="51">
        <v>50</v>
      </c>
      <c r="T27" s="51">
        <v>8.1</v>
      </c>
    </row>
    <row r="28" spans="3:20" ht="15" thickBot="1">
      <c r="D28" s="36"/>
      <c r="E28" s="62" t="s">
        <v>106</v>
      </c>
      <c r="F28" s="56">
        <f>1-D3</f>
        <v>1.2995896032831356E-3</v>
      </c>
      <c r="G28" s="36"/>
      <c r="H28" s="36"/>
      <c r="I28" s="36"/>
      <c r="J28" s="36"/>
      <c r="M28" s="55">
        <v>12</v>
      </c>
      <c r="N28" s="49">
        <v>14.3</v>
      </c>
      <c r="O28" s="49">
        <v>25</v>
      </c>
      <c r="P28" s="49">
        <v>12.2</v>
      </c>
      <c r="Q28" s="49">
        <v>38</v>
      </c>
      <c r="R28" s="49">
        <v>10.1</v>
      </c>
      <c r="S28" s="49">
        <v>51</v>
      </c>
      <c r="T28" s="49">
        <v>7.9</v>
      </c>
    </row>
    <row r="29" spans="3:20">
      <c r="D29" s="36"/>
      <c r="E29" s="62" t="s">
        <v>107</v>
      </c>
      <c r="F29" s="58">
        <f>1-F28-F30-F31</f>
        <v>0.58529411764705896</v>
      </c>
      <c r="G29" s="36"/>
      <c r="H29" s="36"/>
      <c r="I29" s="36"/>
      <c r="J29" s="36"/>
    </row>
    <row r="30" spans="3:20">
      <c r="D30" s="36"/>
      <c r="E30" s="62" t="s">
        <v>108</v>
      </c>
      <c r="F30" s="58">
        <f>D9-F31</f>
        <v>0.21340629274965783</v>
      </c>
      <c r="G30" s="36"/>
      <c r="H30" s="36"/>
      <c r="I30" s="36"/>
      <c r="J30" s="36"/>
    </row>
    <row r="31" spans="3:20">
      <c r="D31" s="36"/>
      <c r="E31" s="62" t="s">
        <v>109</v>
      </c>
      <c r="F31" s="58">
        <v>0.2</v>
      </c>
      <c r="G31" s="36"/>
      <c r="H31" s="36"/>
      <c r="I31" s="36"/>
      <c r="J31" s="36"/>
    </row>
    <row r="32" spans="3:20">
      <c r="D32" s="36"/>
      <c r="E32" s="248" t="s">
        <v>139</v>
      </c>
      <c r="F32" s="248"/>
      <c r="G32" s="36"/>
      <c r="H32" s="36"/>
      <c r="I32" s="36"/>
      <c r="J32" s="36"/>
    </row>
    <row r="33" spans="4:25">
      <c r="D33" s="36"/>
      <c r="E33" s="36"/>
      <c r="F33" s="36"/>
      <c r="G33" s="36"/>
      <c r="H33" s="36"/>
      <c r="I33" s="36"/>
      <c r="J33" s="36"/>
    </row>
    <row r="34" spans="4:25">
      <c r="D34" s="36"/>
      <c r="E34" s="36"/>
      <c r="F34" s="36"/>
      <c r="G34" s="36"/>
      <c r="H34" s="36"/>
      <c r="I34" s="36"/>
      <c r="J34" s="36"/>
    </row>
    <row r="35" spans="4:25">
      <c r="D35" s="36"/>
      <c r="E35" s="36"/>
      <c r="F35" s="36"/>
      <c r="G35" s="36"/>
      <c r="H35" s="36"/>
      <c r="I35" s="36"/>
      <c r="J35" s="36"/>
    </row>
    <row r="41" spans="4:25">
      <c r="Y41" s="256" t="s">
        <v>206</v>
      </c>
    </row>
    <row r="42" spans="4:25">
      <c r="Y42" s="257">
        <v>4.75</v>
      </c>
    </row>
    <row r="43" spans="4:25">
      <c r="Y43" s="258">
        <v>2</v>
      </c>
    </row>
    <row r="44" spans="4:25">
      <c r="Y44" s="258">
        <v>0.4</v>
      </c>
    </row>
    <row r="45" spans="4:25">
      <c r="Y45" s="258">
        <v>0.25</v>
      </c>
    </row>
    <row r="46" spans="4:25">
      <c r="Y46" s="258">
        <v>0.17699999999999999</v>
      </c>
    </row>
    <row r="47" spans="4:25">
      <c r="Y47" s="258">
        <v>0.14899999999999999</v>
      </c>
    </row>
    <row r="48" spans="4:25">
      <c r="Y48" s="258">
        <v>7.3999999999999996E-2</v>
      </c>
    </row>
    <row r="49" spans="25:25">
      <c r="Y49" s="258">
        <v>2.86E-2</v>
      </c>
    </row>
  </sheetData>
  <mergeCells count="7">
    <mergeCell ref="S14:S15"/>
    <mergeCell ref="E32:F32"/>
    <mergeCell ref="B1:D1"/>
    <mergeCell ref="C14:G14"/>
    <mergeCell ref="M14:M15"/>
    <mergeCell ref="O14:O15"/>
    <mergeCell ref="Q14:Q1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W55"/>
  <sheetViews>
    <sheetView zoomScaleNormal="100" workbookViewId="0">
      <selection activeCell="W47" sqref="W47:W55"/>
    </sheetView>
  </sheetViews>
  <sheetFormatPr defaultRowHeight="14.4"/>
  <cols>
    <col min="1" max="1" width="8.88671875" customWidth="1"/>
    <col min="2" max="2" width="9.5546875" style="63" customWidth="1"/>
    <col min="3" max="3" width="16.44140625" customWidth="1"/>
    <col min="4" max="4" width="21.33203125" customWidth="1"/>
    <col min="5" max="5" width="8.88671875" customWidth="1"/>
    <col min="6" max="6" width="10.5546875" customWidth="1"/>
    <col min="8" max="8" width="14" bestFit="1" customWidth="1"/>
    <col min="23" max="23" width="0.21875" customWidth="1"/>
  </cols>
  <sheetData>
    <row r="2" spans="2:5">
      <c r="B2" s="63" t="s">
        <v>133</v>
      </c>
      <c r="C2">
        <v>66.400000000000006</v>
      </c>
    </row>
    <row r="3" spans="2:5">
      <c r="B3" s="63" t="s">
        <v>134</v>
      </c>
      <c r="C3">
        <v>111.65</v>
      </c>
    </row>
    <row r="6" spans="2:5">
      <c r="B6"/>
    </row>
    <row r="7" spans="2:5">
      <c r="B7"/>
      <c r="C7" s="224" t="s">
        <v>94</v>
      </c>
      <c r="D7" s="224"/>
      <c r="E7" s="224"/>
    </row>
    <row r="8" spans="2:5">
      <c r="B8" s="45" t="s">
        <v>156</v>
      </c>
      <c r="C8" s="121" t="s">
        <v>157</v>
      </c>
      <c r="D8" s="121" t="s">
        <v>159</v>
      </c>
      <c r="E8" s="121" t="s">
        <v>160</v>
      </c>
    </row>
    <row r="9" spans="2:5">
      <c r="B9" s="45"/>
      <c r="C9" s="121">
        <v>18.850000000000001</v>
      </c>
      <c r="D9" s="121">
        <v>8.6</v>
      </c>
      <c r="E9" s="123">
        <f>($D$16-D9)/$D$16</f>
        <v>0.9516989609660208</v>
      </c>
    </row>
    <row r="10" spans="2:5">
      <c r="B10" s="45">
        <v>4</v>
      </c>
      <c r="C10" s="124">
        <v>4.75</v>
      </c>
      <c r="D10" s="121">
        <v>20.45</v>
      </c>
      <c r="E10" s="123">
        <f>($D$16-D10-D9)/$D$16</f>
        <v>0.83684358326312847</v>
      </c>
    </row>
    <row r="11" spans="2:5">
      <c r="B11" s="45">
        <v>10</v>
      </c>
      <c r="C11" s="124">
        <v>2</v>
      </c>
      <c r="D11" s="121">
        <v>8.09</v>
      </c>
      <c r="E11" s="123">
        <f>($D$16-D11-D10-D9)/$D$16</f>
        <v>0.79140690817186188</v>
      </c>
    </row>
    <row r="12" spans="2:5">
      <c r="B12" s="45">
        <v>40</v>
      </c>
      <c r="C12" s="124">
        <v>0.4</v>
      </c>
      <c r="D12" s="121">
        <v>13.23</v>
      </c>
      <c r="E12" s="123">
        <f>($D$16-D12-D11-D10-D9)/$D$16</f>
        <v>0.71710193765796137</v>
      </c>
    </row>
    <row r="13" spans="2:5">
      <c r="B13" s="45">
        <v>60</v>
      </c>
      <c r="C13" s="124">
        <v>0.25</v>
      </c>
      <c r="D13" s="121">
        <v>10.26</v>
      </c>
      <c r="E13" s="123">
        <f>($D$16-D13-D12-D11-D10-D9)/$D$16</f>
        <v>0.65947767481044661</v>
      </c>
    </row>
    <row r="14" spans="2:5">
      <c r="B14" s="45">
        <v>200</v>
      </c>
      <c r="C14" s="124">
        <v>7.4999999999999997E-2</v>
      </c>
      <c r="D14" s="121">
        <f>C2-SUM(D9:D13)</f>
        <v>5.7700000000000031</v>
      </c>
      <c r="E14" s="123">
        <f>($D$16-D14-D13-D12-D11-D10-D9)/$D$16</f>
        <v>0.62707104745857911</v>
      </c>
    </row>
    <row r="15" spans="2:5">
      <c r="B15" s="45" t="s">
        <v>158</v>
      </c>
      <c r="C15" s="121"/>
      <c r="D15" s="126">
        <v>111.65</v>
      </c>
      <c r="E15" s="123">
        <v>0.63009999999999999</v>
      </c>
    </row>
    <row r="16" spans="2:5">
      <c r="B16" s="45"/>
      <c r="C16" s="121" t="s">
        <v>161</v>
      </c>
      <c r="D16" s="121">
        <f>C3+C2</f>
        <v>178.05</v>
      </c>
      <c r="E16" s="127">
        <v>0.55000000000000004</v>
      </c>
    </row>
    <row r="17" spans="2:21" ht="15" thickBot="1">
      <c r="B17"/>
    </row>
    <row r="18" spans="2:21">
      <c r="D18" s="246" t="s">
        <v>101</v>
      </c>
      <c r="E18" s="246"/>
      <c r="F18" s="246"/>
      <c r="G18" s="246"/>
      <c r="H18" s="246"/>
      <c r="I18" s="36"/>
      <c r="J18" t="s">
        <v>97</v>
      </c>
      <c r="K18" s="48" t="s">
        <v>98</v>
      </c>
      <c r="L18" t="s">
        <v>99</v>
      </c>
      <c r="M18" t="s">
        <v>138</v>
      </c>
      <c r="N18" s="244" t="s">
        <v>95</v>
      </c>
      <c r="O18" s="46" t="s">
        <v>96</v>
      </c>
      <c r="P18" s="244" t="s">
        <v>95</v>
      </c>
      <c r="Q18" s="46" t="s">
        <v>96</v>
      </c>
      <c r="R18" s="244" t="s">
        <v>95</v>
      </c>
      <c r="S18" s="46" t="s">
        <v>96</v>
      </c>
      <c r="T18" s="244" t="s">
        <v>95</v>
      </c>
      <c r="U18" s="46" t="s">
        <v>96</v>
      </c>
    </row>
    <row r="19" spans="2:21" ht="21" customHeight="1" thickBot="1">
      <c r="D19" s="43" t="s">
        <v>95</v>
      </c>
      <c r="E19" s="62" t="s">
        <v>102</v>
      </c>
      <c r="F19" s="62" t="s">
        <v>103</v>
      </c>
      <c r="G19" s="62" t="s">
        <v>104</v>
      </c>
      <c r="H19" s="62" t="s">
        <v>105</v>
      </c>
      <c r="I19" s="36"/>
      <c r="J19">
        <f>0.000931*98.0665</f>
        <v>9.1299911499999997E-2</v>
      </c>
      <c r="K19">
        <v>1.34E-2</v>
      </c>
      <c r="L19">
        <f>-4.85+23*0.25</f>
        <v>0.90000000000000036</v>
      </c>
      <c r="M19">
        <v>1</v>
      </c>
      <c r="N19" s="245"/>
      <c r="O19" s="49" t="s">
        <v>100</v>
      </c>
      <c r="P19" s="245"/>
      <c r="Q19" s="49" t="s">
        <v>100</v>
      </c>
      <c r="R19" s="245"/>
      <c r="S19" s="49" t="s">
        <v>100</v>
      </c>
      <c r="T19" s="245"/>
      <c r="U19" s="49" t="s">
        <v>100</v>
      </c>
    </row>
    <row r="20" spans="2:21">
      <c r="D20" s="62">
        <v>38</v>
      </c>
      <c r="E20" s="62">
        <f>U20</f>
        <v>9.9</v>
      </c>
      <c r="F20" s="62">
        <v>2</v>
      </c>
      <c r="G20" s="53">
        <f>$K$19*SQRT(E20/F20)</f>
        <v>2.981311791812457E-2</v>
      </c>
      <c r="H20" s="72">
        <f>(D20+$L$19)*100*$K$19/60*$E$15</f>
        <v>0.54740987666666674</v>
      </c>
      <c r="I20" s="36"/>
      <c r="J20" s="36"/>
      <c r="K20" s="36"/>
      <c r="N20" s="50">
        <v>0</v>
      </c>
      <c r="O20" s="51">
        <v>16.3</v>
      </c>
      <c r="P20" s="51">
        <v>13</v>
      </c>
      <c r="Q20" s="51">
        <v>14.2</v>
      </c>
      <c r="R20" s="51">
        <v>26</v>
      </c>
      <c r="S20" s="51">
        <v>12</v>
      </c>
      <c r="T20" s="51">
        <v>39</v>
      </c>
      <c r="U20" s="51">
        <v>9.9</v>
      </c>
    </row>
    <row r="21" spans="2:21">
      <c r="D21" s="62">
        <v>36</v>
      </c>
      <c r="E21" s="62">
        <f>S31</f>
        <v>10.199999999999999</v>
      </c>
      <c r="F21" s="62">
        <v>4</v>
      </c>
      <c r="G21" s="53">
        <f t="shared" ref="G21:G29" si="0">$K$19*SQRT(E21/F21)</f>
        <v>2.139808402637956E-2</v>
      </c>
      <c r="H21" s="72">
        <f>(D21+$L$19)*100*$K$19/60*$E$15</f>
        <v>0.51926541000000004</v>
      </c>
      <c r="I21" s="36"/>
      <c r="J21" s="36"/>
      <c r="K21" s="36"/>
      <c r="N21" s="50">
        <v>1</v>
      </c>
      <c r="O21" s="51">
        <v>16.100000000000001</v>
      </c>
      <c r="P21" s="51">
        <v>14</v>
      </c>
      <c r="Q21" s="51">
        <v>14</v>
      </c>
      <c r="R21" s="51">
        <v>27</v>
      </c>
      <c r="S21" s="51">
        <v>11.9</v>
      </c>
      <c r="T21" s="51">
        <v>40</v>
      </c>
      <c r="U21" s="51">
        <v>9.6999999999999993</v>
      </c>
    </row>
    <row r="22" spans="2:21">
      <c r="D22" s="62">
        <v>34</v>
      </c>
      <c r="E22" s="62">
        <f>S29</f>
        <v>10.6</v>
      </c>
      <c r="F22" s="62">
        <v>8</v>
      </c>
      <c r="G22" s="53">
        <f t="shared" si="0"/>
        <v>1.5424558340516592E-2</v>
      </c>
      <c r="H22" s="72">
        <f t="shared" ref="H22:H29" si="1">(D22+$L$19)*100*$K$19/60*$E$15</f>
        <v>0.49112094333333334</v>
      </c>
      <c r="I22" s="36"/>
      <c r="J22" s="36"/>
      <c r="K22" s="36"/>
      <c r="N22" s="50">
        <v>2</v>
      </c>
      <c r="O22" s="51">
        <v>16</v>
      </c>
      <c r="P22" s="51">
        <v>15</v>
      </c>
      <c r="Q22" s="51">
        <v>13.8</v>
      </c>
      <c r="R22" s="51">
        <v>28</v>
      </c>
      <c r="S22" s="51">
        <v>11.7</v>
      </c>
      <c r="T22" s="51">
        <v>41</v>
      </c>
      <c r="U22" s="51">
        <v>9.6</v>
      </c>
    </row>
    <row r="23" spans="2:21">
      <c r="D23" s="62">
        <v>31</v>
      </c>
      <c r="E23" s="62">
        <f>S26</f>
        <v>11.1</v>
      </c>
      <c r="F23" s="62">
        <v>16</v>
      </c>
      <c r="G23" s="53">
        <f t="shared" si="0"/>
        <v>1.1161081936801646E-2</v>
      </c>
      <c r="H23" s="72">
        <f t="shared" si="1"/>
        <v>0.44890424333333334</v>
      </c>
      <c r="I23" s="36"/>
      <c r="J23" s="36"/>
      <c r="K23" s="36"/>
      <c r="N23" s="50">
        <v>3</v>
      </c>
      <c r="O23" s="51">
        <v>15.8</v>
      </c>
      <c r="P23" s="51">
        <v>16</v>
      </c>
      <c r="Q23" s="51">
        <v>13.7</v>
      </c>
      <c r="R23" s="51">
        <v>29</v>
      </c>
      <c r="S23" s="51">
        <v>11.5</v>
      </c>
      <c r="T23" s="51">
        <v>42</v>
      </c>
      <c r="U23" s="51">
        <v>9.4</v>
      </c>
    </row>
    <row r="24" spans="2:21">
      <c r="D24" s="62">
        <v>29</v>
      </c>
      <c r="E24" s="62">
        <f>S24</f>
        <v>11.4</v>
      </c>
      <c r="F24" s="62">
        <v>30</v>
      </c>
      <c r="G24" s="53">
        <f t="shared" si="0"/>
        <v>8.2603147639784286E-3</v>
      </c>
      <c r="H24" s="72">
        <f t="shared" si="1"/>
        <v>0.4207597766666667</v>
      </c>
      <c r="I24" s="36"/>
      <c r="J24" s="36"/>
      <c r="K24" s="36"/>
      <c r="N24" s="50">
        <v>4</v>
      </c>
      <c r="O24" s="51">
        <v>15.6</v>
      </c>
      <c r="P24" s="51">
        <v>17</v>
      </c>
      <c r="Q24" s="51">
        <v>13.5</v>
      </c>
      <c r="R24" s="51">
        <v>30</v>
      </c>
      <c r="S24" s="51">
        <v>11.4</v>
      </c>
      <c r="T24" s="51">
        <v>43</v>
      </c>
      <c r="U24" s="51">
        <v>9.1999999999999993</v>
      </c>
    </row>
    <row r="25" spans="2:21">
      <c r="D25" s="62">
        <v>26</v>
      </c>
      <c r="E25" s="62">
        <f>S21</f>
        <v>11.9</v>
      </c>
      <c r="F25" s="62">
        <v>60</v>
      </c>
      <c r="G25" s="53">
        <f t="shared" si="0"/>
        <v>5.9676405164297E-3</v>
      </c>
      <c r="H25" s="72">
        <f t="shared" si="1"/>
        <v>0.37854307666666664</v>
      </c>
      <c r="I25" s="36"/>
      <c r="J25" s="36"/>
      <c r="K25" s="36"/>
      <c r="N25" s="50">
        <v>5</v>
      </c>
      <c r="O25" s="51">
        <v>15.5</v>
      </c>
      <c r="P25" s="51">
        <v>18</v>
      </c>
      <c r="Q25" s="51">
        <v>13.6</v>
      </c>
      <c r="R25" s="51">
        <v>31</v>
      </c>
      <c r="S25" s="51">
        <v>11.2</v>
      </c>
      <c r="T25" s="51">
        <v>44</v>
      </c>
      <c r="U25" s="51">
        <v>9.1</v>
      </c>
    </row>
    <row r="26" spans="2:21">
      <c r="D26" s="62">
        <v>24</v>
      </c>
      <c r="E26" s="62">
        <f>Q32</f>
        <v>12.2</v>
      </c>
      <c r="F26" s="62">
        <v>120</v>
      </c>
      <c r="G26" s="53">
        <f t="shared" si="0"/>
        <v>4.2726182449016742E-3</v>
      </c>
      <c r="H26" s="72">
        <f t="shared" si="1"/>
        <v>0.35039861</v>
      </c>
      <c r="I26" s="36"/>
      <c r="J26" s="36"/>
      <c r="K26" s="36"/>
      <c r="N26" s="50">
        <v>6</v>
      </c>
      <c r="O26" s="51">
        <v>15.3</v>
      </c>
      <c r="P26" s="51">
        <v>19</v>
      </c>
      <c r="Q26" s="51">
        <v>13.2</v>
      </c>
      <c r="R26" s="51">
        <v>32</v>
      </c>
      <c r="S26" s="51">
        <v>11.1</v>
      </c>
      <c r="T26" s="51">
        <v>45</v>
      </c>
      <c r="U26" s="51">
        <v>8.9</v>
      </c>
    </row>
    <row r="27" spans="2:21">
      <c r="D27" s="62">
        <v>21</v>
      </c>
      <c r="E27" s="62">
        <f>Q29</f>
        <v>12.7</v>
      </c>
      <c r="F27" s="62">
        <v>240</v>
      </c>
      <c r="G27" s="53">
        <f t="shared" si="0"/>
        <v>3.082485469011438E-3</v>
      </c>
      <c r="H27" s="72">
        <f t="shared" si="1"/>
        <v>0.30818191</v>
      </c>
      <c r="I27" s="36"/>
      <c r="J27" s="36"/>
      <c r="K27" s="36"/>
      <c r="N27" s="50">
        <v>7</v>
      </c>
      <c r="O27" s="51">
        <v>15.2</v>
      </c>
      <c r="P27" s="51">
        <v>20</v>
      </c>
      <c r="Q27" s="51">
        <v>13</v>
      </c>
      <c r="R27" s="51">
        <v>33</v>
      </c>
      <c r="S27" s="51">
        <v>10.9</v>
      </c>
      <c r="T27" s="51">
        <v>46</v>
      </c>
      <c r="U27" s="51">
        <v>8.8000000000000007</v>
      </c>
    </row>
    <row r="28" spans="2:21">
      <c r="D28" s="62">
        <v>19</v>
      </c>
      <c r="E28" s="62">
        <f>Q27</f>
        <v>13</v>
      </c>
      <c r="F28" s="62">
        <v>480</v>
      </c>
      <c r="G28" s="53">
        <f t="shared" si="0"/>
        <v>2.205239971824684E-3</v>
      </c>
      <c r="H28" s="72">
        <f t="shared" si="1"/>
        <v>0.2800374433333333</v>
      </c>
      <c r="I28" s="36"/>
      <c r="J28" s="36"/>
      <c r="K28" s="36"/>
      <c r="N28" s="50">
        <v>8</v>
      </c>
      <c r="O28" s="51">
        <v>15</v>
      </c>
      <c r="P28" s="51">
        <v>21</v>
      </c>
      <c r="Q28" s="51">
        <v>12.9</v>
      </c>
      <c r="R28" s="51">
        <v>34</v>
      </c>
      <c r="S28" s="51">
        <v>10.7</v>
      </c>
      <c r="T28" s="51">
        <v>47</v>
      </c>
      <c r="U28" s="51">
        <v>8.6</v>
      </c>
    </row>
    <row r="29" spans="2:21">
      <c r="D29" s="62">
        <v>16</v>
      </c>
      <c r="E29" s="62">
        <f>Q24</f>
        <v>13.5</v>
      </c>
      <c r="F29" s="62">
        <f>F28*3</f>
        <v>1440</v>
      </c>
      <c r="G29" s="53">
        <f t="shared" si="0"/>
        <v>1.2974494209794848E-3</v>
      </c>
      <c r="H29" s="72">
        <f t="shared" si="1"/>
        <v>0.23782074333333331</v>
      </c>
      <c r="I29" s="36"/>
      <c r="J29" s="36"/>
      <c r="K29" s="36"/>
      <c r="N29" s="50">
        <v>9</v>
      </c>
      <c r="O29" s="51">
        <v>14.8</v>
      </c>
      <c r="P29" s="51">
        <v>22</v>
      </c>
      <c r="Q29" s="51">
        <v>12.7</v>
      </c>
      <c r="R29" s="51">
        <v>35</v>
      </c>
      <c r="S29" s="51">
        <v>10.6</v>
      </c>
      <c r="T29" s="51">
        <v>48</v>
      </c>
      <c r="U29" s="51">
        <v>8.4</v>
      </c>
    </row>
    <row r="30" spans="2:21">
      <c r="E30" s="36"/>
      <c r="F30" s="36"/>
      <c r="G30" s="36"/>
      <c r="H30" s="36"/>
      <c r="I30" s="36"/>
      <c r="J30" s="36"/>
      <c r="K30" s="36"/>
      <c r="N30" s="50">
        <v>10</v>
      </c>
      <c r="O30" s="51">
        <v>14.7</v>
      </c>
      <c r="P30" s="51">
        <v>23</v>
      </c>
      <c r="Q30" s="51">
        <v>12.5</v>
      </c>
      <c r="R30" s="51">
        <v>36</v>
      </c>
      <c r="S30" s="51">
        <v>10.4</v>
      </c>
      <c r="T30" s="51">
        <v>49</v>
      </c>
      <c r="U30" s="51">
        <v>8.3000000000000007</v>
      </c>
    </row>
    <row r="31" spans="2:21" ht="28.8">
      <c r="E31" s="36"/>
      <c r="F31" s="203" t="s">
        <v>194</v>
      </c>
      <c r="G31" s="203" t="s">
        <v>193</v>
      </c>
      <c r="H31" s="36"/>
      <c r="I31" s="36"/>
      <c r="J31" s="36"/>
      <c r="K31" s="36"/>
      <c r="N31" s="50">
        <v>11</v>
      </c>
      <c r="O31" s="51">
        <v>14.5</v>
      </c>
      <c r="P31" s="51">
        <v>24</v>
      </c>
      <c r="Q31" s="51">
        <v>12.4</v>
      </c>
      <c r="R31" s="51">
        <v>37</v>
      </c>
      <c r="S31" s="51">
        <v>10.199999999999999</v>
      </c>
      <c r="T31" s="51">
        <v>50</v>
      </c>
      <c r="U31" s="51">
        <v>8.1</v>
      </c>
    </row>
    <row r="32" spans="2:21" ht="15" thickBot="1">
      <c r="E32" s="36"/>
      <c r="F32" s="62" t="s">
        <v>106</v>
      </c>
      <c r="G32" s="56">
        <f>1-E10</f>
        <v>0.16315641673687153</v>
      </c>
      <c r="H32" s="36"/>
      <c r="I32" s="36"/>
      <c r="J32" s="36"/>
      <c r="K32" s="36"/>
      <c r="N32" s="55">
        <v>12</v>
      </c>
      <c r="O32" s="49">
        <v>14.3</v>
      </c>
      <c r="P32" s="49">
        <v>25</v>
      </c>
      <c r="Q32" s="49">
        <v>12.2</v>
      </c>
      <c r="R32" s="49">
        <v>38</v>
      </c>
      <c r="S32" s="49">
        <v>10.1</v>
      </c>
      <c r="T32" s="49">
        <v>51</v>
      </c>
      <c r="U32" s="49">
        <v>7.9</v>
      </c>
    </row>
    <row r="33" spans="5:23">
      <c r="E33" s="36"/>
      <c r="F33" s="62" t="s">
        <v>107</v>
      </c>
      <c r="G33" s="57">
        <f>1-E15-G32</f>
        <v>0.20674358326312847</v>
      </c>
      <c r="H33" s="36"/>
      <c r="I33" s="36"/>
      <c r="J33" s="36"/>
      <c r="K33" s="36"/>
    </row>
    <row r="34" spans="5:23">
      <c r="E34" s="36"/>
      <c r="F34" s="62" t="s">
        <v>108</v>
      </c>
      <c r="G34" s="57">
        <f>E14-G35</f>
        <v>0.34707104745857909</v>
      </c>
      <c r="H34" s="36"/>
      <c r="I34" s="36"/>
      <c r="J34" s="36"/>
      <c r="K34" s="36"/>
    </row>
    <row r="35" spans="5:23">
      <c r="E35" s="36"/>
      <c r="F35" s="62" t="s">
        <v>109</v>
      </c>
      <c r="G35" s="58">
        <v>0.28000000000000003</v>
      </c>
      <c r="H35" s="125">
        <f>SUM(G32:G35)</f>
        <v>0.99697104745857912</v>
      </c>
      <c r="I35" s="36"/>
      <c r="J35" s="36"/>
      <c r="K35" s="36"/>
    </row>
    <row r="36" spans="5:23">
      <c r="E36" s="36"/>
      <c r="F36" s="248" t="s">
        <v>139</v>
      </c>
      <c r="G36" s="248"/>
      <c r="H36" s="36"/>
      <c r="I36" s="36"/>
      <c r="J36" s="36"/>
      <c r="K36" s="36"/>
    </row>
    <row r="47" spans="5:23" ht="28.8">
      <c r="W47" s="251" t="s">
        <v>206</v>
      </c>
    </row>
    <row r="48" spans="5:23">
      <c r="W48" s="252">
        <v>18.850000000000001</v>
      </c>
    </row>
    <row r="49" spans="23:23">
      <c r="W49" s="253">
        <v>4.75</v>
      </c>
    </row>
    <row r="50" spans="23:23">
      <c r="W50" s="253">
        <v>2</v>
      </c>
    </row>
    <row r="51" spans="23:23">
      <c r="W51" s="253">
        <v>0.4</v>
      </c>
    </row>
    <row r="52" spans="23:23">
      <c r="W52" s="253">
        <v>0.25</v>
      </c>
    </row>
    <row r="53" spans="23:23">
      <c r="W53" s="253">
        <v>7.4999999999999997E-2</v>
      </c>
    </row>
    <row r="54" spans="23:23">
      <c r="W54" s="254">
        <v>7.3999999999999996E-2</v>
      </c>
    </row>
    <row r="55" spans="23:23">
      <c r="W55" s="254">
        <f>G20</f>
        <v>2.981311791812457E-2</v>
      </c>
    </row>
  </sheetData>
  <mergeCells count="7">
    <mergeCell ref="T18:T19"/>
    <mergeCell ref="F36:G36"/>
    <mergeCell ref="C7:E7"/>
    <mergeCell ref="D18:H18"/>
    <mergeCell ref="N18:N19"/>
    <mergeCell ref="P18:P19"/>
    <mergeCell ref="R18:R1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Q52"/>
  <sheetViews>
    <sheetView workbookViewId="0">
      <selection activeCell="P22" sqref="P22"/>
    </sheetView>
  </sheetViews>
  <sheetFormatPr defaultRowHeight="14.4"/>
  <cols>
    <col min="2" max="2" width="23.88671875" style="63" customWidth="1"/>
    <col min="3" max="3" width="16.109375" customWidth="1"/>
    <col min="4" max="4" width="12.88671875" customWidth="1"/>
    <col min="5" max="5" width="15" customWidth="1"/>
    <col min="7" max="7" width="17.88671875" bestFit="1" customWidth="1"/>
    <col min="11" max="11" width="14.6640625" bestFit="1" customWidth="1"/>
    <col min="17" max="17" width="0.44140625" customWidth="1"/>
  </cols>
  <sheetData>
    <row r="2" spans="1:4">
      <c r="B2" s="63" t="s">
        <v>133</v>
      </c>
      <c r="C2">
        <v>31.1</v>
      </c>
    </row>
    <row r="3" spans="1:4">
      <c r="B3" s="63" t="s">
        <v>134</v>
      </c>
      <c r="C3">
        <v>32.4</v>
      </c>
    </row>
    <row r="5" spans="1:4">
      <c r="B5" s="224" t="s">
        <v>94</v>
      </c>
      <c r="C5" s="224"/>
      <c r="D5" s="224"/>
    </row>
    <row r="6" spans="1:4">
      <c r="A6" s="45" t="s">
        <v>156</v>
      </c>
      <c r="B6" s="121" t="s">
        <v>157</v>
      </c>
      <c r="C6" s="121" t="s">
        <v>159</v>
      </c>
      <c r="D6" s="121" t="s">
        <v>160</v>
      </c>
    </row>
    <row r="7" spans="1:4">
      <c r="A7" s="45"/>
      <c r="B7" s="121">
        <v>18.850000000000001</v>
      </c>
      <c r="C7" s="121">
        <v>7.81</v>
      </c>
      <c r="D7" s="123">
        <f>($C$14-C7)/$C$14</f>
        <v>0.87700787401574798</v>
      </c>
    </row>
    <row r="8" spans="1:4">
      <c r="A8" s="45">
        <v>4</v>
      </c>
      <c r="B8" s="124">
        <v>4.75</v>
      </c>
      <c r="C8" s="121">
        <v>13.22</v>
      </c>
      <c r="D8" s="123">
        <f>($C$14-C8-C7)/$C$14</f>
        <v>0.66881889763779523</v>
      </c>
    </row>
    <row r="9" spans="1:4">
      <c r="A9" s="45">
        <v>10</v>
      </c>
      <c r="B9" s="124">
        <v>2</v>
      </c>
      <c r="C9" s="121">
        <v>1.41</v>
      </c>
      <c r="D9" s="123">
        <f>($C$14-C9-C8-C7)/$C$14</f>
        <v>0.64661417322834647</v>
      </c>
    </row>
    <row r="10" spans="1:4">
      <c r="A10" s="45">
        <v>40</v>
      </c>
      <c r="B10" s="124">
        <v>0.4</v>
      </c>
      <c r="C10" s="121">
        <v>1.49</v>
      </c>
      <c r="D10" s="123">
        <f>($C$14-C10-C9-C8-C7)/$C$14</f>
        <v>0.62314960629921257</v>
      </c>
    </row>
    <row r="11" spans="1:4">
      <c r="A11" s="45">
        <v>60</v>
      </c>
      <c r="B11" s="124">
        <v>0.25</v>
      </c>
      <c r="C11" s="121">
        <v>1.01</v>
      </c>
      <c r="D11" s="123">
        <f>($C$14-C11-C10-C9-C8-C7)/$C$14</f>
        <v>0.60724409448818906</v>
      </c>
    </row>
    <row r="12" spans="1:4">
      <c r="A12" s="45">
        <v>200</v>
      </c>
      <c r="B12" s="124">
        <v>7.3999999999999996E-2</v>
      </c>
      <c r="C12" s="121">
        <f>C2-SUM(C7:C11)</f>
        <v>6.16</v>
      </c>
      <c r="D12" s="123">
        <f>($C$14-C12-C11-C10-C9-C8-C7)/$C$14</f>
        <v>0.51023622047244099</v>
      </c>
    </row>
    <row r="13" spans="1:4">
      <c r="A13" s="45" t="s">
        <v>158</v>
      </c>
      <c r="B13" s="121"/>
      <c r="C13" s="126">
        <v>32.4</v>
      </c>
      <c r="D13" s="123">
        <f>C13/C14</f>
        <v>0.51023622047244088</v>
      </c>
    </row>
    <row r="14" spans="1:4">
      <c r="A14" s="45"/>
      <c r="B14" s="121" t="s">
        <v>161</v>
      </c>
      <c r="C14" s="121">
        <f>C2+C3</f>
        <v>63.5</v>
      </c>
      <c r="D14" s="129">
        <v>0.443</v>
      </c>
    </row>
    <row r="18" spans="2:11">
      <c r="B18" s="36"/>
      <c r="C18" s="203" t="s">
        <v>194</v>
      </c>
      <c r="D18" s="203" t="s">
        <v>193</v>
      </c>
      <c r="E18" s="36"/>
      <c r="G18" t="s">
        <v>101</v>
      </c>
    </row>
    <row r="19" spans="2:11">
      <c r="B19" s="36"/>
      <c r="C19" s="62" t="s">
        <v>106</v>
      </c>
      <c r="D19" s="56">
        <f>1-D8</f>
        <v>0.33118110236220477</v>
      </c>
      <c r="E19" s="36"/>
      <c r="G19" s="2" t="s">
        <v>95</v>
      </c>
      <c r="H19" s="2" t="s">
        <v>102</v>
      </c>
      <c r="I19" s="2" t="s">
        <v>103</v>
      </c>
      <c r="J19" s="2" t="s">
        <v>104</v>
      </c>
      <c r="K19" s="2" t="s">
        <v>105</v>
      </c>
    </row>
    <row r="20" spans="2:11">
      <c r="B20" s="36"/>
      <c r="C20" s="62" t="s">
        <v>107</v>
      </c>
      <c r="D20" s="57">
        <f>1-D19-D13</f>
        <v>0.15858267716535435</v>
      </c>
      <c r="E20" s="36"/>
      <c r="G20" s="2">
        <v>38</v>
      </c>
      <c r="H20" s="2">
        <v>9.9</v>
      </c>
      <c r="I20" s="2">
        <v>2</v>
      </c>
      <c r="J20" s="2">
        <v>2.981311791812457E-2</v>
      </c>
      <c r="K20" s="128">
        <v>0.44307100000000005</v>
      </c>
    </row>
    <row r="21" spans="2:11">
      <c r="B21" s="36"/>
      <c r="C21" s="62" t="s">
        <v>108</v>
      </c>
      <c r="D21" s="57">
        <f>D12-D22</f>
        <v>0.29023622047244102</v>
      </c>
      <c r="E21" s="36"/>
      <c r="G21" s="2">
        <v>36</v>
      </c>
      <c r="H21" s="2">
        <v>10.199999999999999</v>
      </c>
      <c r="I21" s="2">
        <v>4</v>
      </c>
      <c r="J21" s="2">
        <v>2.139808402637956E-2</v>
      </c>
      <c r="K21" s="128">
        <v>0.42029100000000003</v>
      </c>
    </row>
    <row r="22" spans="2:11">
      <c r="B22" s="36"/>
      <c r="C22" s="62" t="s">
        <v>109</v>
      </c>
      <c r="D22" s="58">
        <v>0.22</v>
      </c>
      <c r="E22" s="125">
        <f>SUM(D19:D22)</f>
        <v>1.0000000000000002</v>
      </c>
      <c r="G22" s="2">
        <v>34</v>
      </c>
      <c r="H22" s="2">
        <v>10.6</v>
      </c>
      <c r="I22" s="2">
        <v>8</v>
      </c>
      <c r="J22" s="2">
        <v>1.5424558340516592E-2</v>
      </c>
      <c r="K22" s="128">
        <v>0.397511</v>
      </c>
    </row>
    <row r="23" spans="2:11">
      <c r="B23" s="36"/>
      <c r="C23" s="248" t="s">
        <v>139</v>
      </c>
      <c r="D23" s="248"/>
      <c r="E23" s="36"/>
      <c r="G23" s="2">
        <v>31</v>
      </c>
      <c r="H23" s="2">
        <v>11.1</v>
      </c>
      <c r="I23" s="2">
        <v>16</v>
      </c>
      <c r="J23" s="2">
        <v>1.1161081936801646E-2</v>
      </c>
      <c r="K23" s="128">
        <v>0.36334100000000003</v>
      </c>
    </row>
    <row r="24" spans="2:11">
      <c r="B24"/>
      <c r="G24" s="2">
        <v>29</v>
      </c>
      <c r="H24" s="2">
        <v>11.4</v>
      </c>
      <c r="I24" s="2">
        <v>30</v>
      </c>
      <c r="J24" s="2">
        <v>8.2603147639784286E-3</v>
      </c>
      <c r="K24" s="128">
        <v>0.34056100000000006</v>
      </c>
    </row>
    <row r="25" spans="2:11">
      <c r="B25"/>
      <c r="G25" s="2">
        <v>26</v>
      </c>
      <c r="H25" s="2">
        <v>11.9</v>
      </c>
      <c r="I25" s="2">
        <v>60</v>
      </c>
      <c r="J25" s="2">
        <v>5.9676405164297E-3</v>
      </c>
      <c r="K25" s="128">
        <v>0.30639100000000002</v>
      </c>
    </row>
    <row r="26" spans="2:11">
      <c r="B26"/>
      <c r="G26" s="2">
        <v>24</v>
      </c>
      <c r="H26" s="2">
        <v>12.2</v>
      </c>
      <c r="I26" s="2">
        <v>120</v>
      </c>
      <c r="J26" s="2">
        <v>4.2726182449016742E-3</v>
      </c>
      <c r="K26" s="128">
        <v>0.283611</v>
      </c>
    </row>
    <row r="27" spans="2:11">
      <c r="G27" s="2">
        <v>21</v>
      </c>
      <c r="H27" s="2">
        <v>12.7</v>
      </c>
      <c r="I27" s="2">
        <v>240</v>
      </c>
      <c r="J27" s="2">
        <v>3.082485469011438E-3</v>
      </c>
      <c r="K27" s="128">
        <v>0.249441</v>
      </c>
    </row>
    <row r="28" spans="2:11">
      <c r="G28" s="2">
        <v>19</v>
      </c>
      <c r="H28" s="2">
        <v>13</v>
      </c>
      <c r="I28" s="2">
        <v>480</v>
      </c>
      <c r="J28" s="2">
        <v>2.205239971824684E-3</v>
      </c>
      <c r="K28" s="128">
        <v>0.22666099999999997</v>
      </c>
    </row>
    <row r="29" spans="2:11">
      <c r="G29" s="2">
        <v>16</v>
      </c>
      <c r="H29" s="2">
        <v>13.5</v>
      </c>
      <c r="I29" s="2">
        <v>1440</v>
      </c>
      <c r="J29" s="2">
        <v>1.2974494209794848E-3</v>
      </c>
      <c r="K29" s="128">
        <v>0.19249099999999997</v>
      </c>
    </row>
    <row r="44" spans="17:17" ht="28.8">
      <c r="Q44" s="255" t="s">
        <v>206</v>
      </c>
    </row>
    <row r="45" spans="17:17">
      <c r="Q45" s="252">
        <v>18.850000000000001</v>
      </c>
    </row>
    <row r="46" spans="17:17">
      <c r="Q46" s="253">
        <v>4.75</v>
      </c>
    </row>
    <row r="47" spans="17:17">
      <c r="Q47" s="253">
        <v>2</v>
      </c>
    </row>
    <row r="48" spans="17:17">
      <c r="Q48" s="253">
        <v>0.4</v>
      </c>
    </row>
    <row r="49" spans="17:17">
      <c r="Q49" s="253">
        <v>0.25</v>
      </c>
    </row>
    <row r="50" spans="17:17">
      <c r="Q50" s="253">
        <v>7.3999999999999996E-2</v>
      </c>
    </row>
    <row r="51" spans="17:17">
      <c r="Q51" s="253">
        <v>7.3999999999999996E-2</v>
      </c>
    </row>
    <row r="52" spans="17:17">
      <c r="Q52" s="256">
        <f>J20</f>
        <v>2.981311791812457E-2</v>
      </c>
    </row>
  </sheetData>
  <mergeCells count="2">
    <mergeCell ref="B5:D5"/>
    <mergeCell ref="C23:D23"/>
  </mergeCells>
  <pageMargins left="0.7" right="0.7" top="0.75" bottom="0.75" header="0.3" footer="0.3"/>
  <pageSetup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U22"/>
  <sheetViews>
    <sheetView topLeftCell="C1" zoomScaleNormal="100" workbookViewId="0">
      <selection activeCell="L17" sqref="L17"/>
    </sheetView>
  </sheetViews>
  <sheetFormatPr defaultRowHeight="14.4"/>
  <cols>
    <col min="2" max="2" width="23.88671875" style="63" customWidth="1"/>
    <col min="4" max="4" width="12.33203125" customWidth="1"/>
    <col min="8" max="8" width="14" bestFit="1" customWidth="1"/>
    <col min="10" max="10" width="14" customWidth="1"/>
  </cols>
  <sheetData>
    <row r="2" spans="1:21">
      <c r="B2" s="63" t="s">
        <v>133</v>
      </c>
      <c r="C2" s="54">
        <v>0.1</v>
      </c>
    </row>
    <row r="3" spans="1:21">
      <c r="B3" s="63" t="s">
        <v>134</v>
      </c>
      <c r="C3" s="54">
        <v>0.9</v>
      </c>
    </row>
    <row r="4" spans="1:21">
      <c r="A4" s="67"/>
      <c r="B4" s="73"/>
      <c r="C4" s="67"/>
      <c r="D4" s="67"/>
      <c r="E4" s="67"/>
      <c r="F4" s="67"/>
      <c r="G4" s="67"/>
      <c r="H4" s="67"/>
    </row>
    <row r="5" spans="1:21">
      <c r="A5" s="67"/>
      <c r="B5" s="249"/>
      <c r="C5" s="249"/>
      <c r="D5" s="67"/>
      <c r="E5" s="67"/>
      <c r="F5" s="67"/>
      <c r="G5" s="67"/>
      <c r="H5" s="67"/>
    </row>
    <row r="6" spans="1:21">
      <c r="A6" s="67"/>
      <c r="B6" s="69"/>
      <c r="C6" s="69"/>
      <c r="D6" s="67"/>
      <c r="E6" s="67"/>
      <c r="F6" s="67"/>
      <c r="G6" s="67"/>
      <c r="H6" s="67"/>
    </row>
    <row r="7" spans="1:21" ht="15" thickBot="1">
      <c r="A7" s="67"/>
      <c r="B7" s="69"/>
      <c r="C7" s="69"/>
    </row>
    <row r="8" spans="1:21">
      <c r="A8" s="67"/>
      <c r="B8" s="69"/>
      <c r="C8" s="69"/>
      <c r="D8" s="246" t="s">
        <v>101</v>
      </c>
      <c r="E8" s="246"/>
      <c r="F8" s="246"/>
      <c r="G8" s="246"/>
      <c r="H8" s="246"/>
      <c r="I8" s="36"/>
      <c r="J8" t="s">
        <v>97</v>
      </c>
      <c r="K8" s="48" t="s">
        <v>98</v>
      </c>
      <c r="L8" t="s">
        <v>99</v>
      </c>
      <c r="M8" t="s">
        <v>138</v>
      </c>
      <c r="N8" s="244" t="s">
        <v>95</v>
      </c>
      <c r="O8" s="46" t="s">
        <v>96</v>
      </c>
      <c r="P8" s="244" t="s">
        <v>95</v>
      </c>
      <c r="Q8" s="46" t="s">
        <v>96</v>
      </c>
      <c r="R8" s="244" t="s">
        <v>95</v>
      </c>
      <c r="S8" s="46" t="s">
        <v>96</v>
      </c>
      <c r="T8" s="244" t="s">
        <v>95</v>
      </c>
      <c r="U8" s="46" t="s">
        <v>96</v>
      </c>
    </row>
    <row r="9" spans="1:21" ht="29.4" thickBot="1">
      <c r="A9" s="67"/>
      <c r="B9" s="69"/>
      <c r="C9" s="69"/>
      <c r="D9" s="43" t="s">
        <v>95</v>
      </c>
      <c r="E9" s="62" t="s">
        <v>102</v>
      </c>
      <c r="F9" s="62" t="s">
        <v>103</v>
      </c>
      <c r="G9" s="62" t="s">
        <v>104</v>
      </c>
      <c r="H9" s="62" t="s">
        <v>105</v>
      </c>
      <c r="I9" s="36"/>
      <c r="J9">
        <f>0.000931*98.0665</f>
        <v>9.1299911499999997E-2</v>
      </c>
      <c r="K9">
        <v>1.34E-2</v>
      </c>
      <c r="L9">
        <f>-4.85+23*0.25</f>
        <v>0.90000000000000036</v>
      </c>
      <c r="M9">
        <v>1</v>
      </c>
      <c r="N9" s="245"/>
      <c r="O9" s="49" t="s">
        <v>100</v>
      </c>
      <c r="P9" s="245"/>
      <c r="Q9" s="49" t="s">
        <v>100</v>
      </c>
      <c r="R9" s="245"/>
      <c r="S9" s="49" t="s">
        <v>100</v>
      </c>
      <c r="T9" s="245"/>
      <c r="U9" s="49" t="s">
        <v>100</v>
      </c>
    </row>
    <row r="10" spans="1:21">
      <c r="A10" s="67"/>
      <c r="B10" s="69"/>
      <c r="C10" s="69"/>
      <c r="D10" s="62">
        <v>29</v>
      </c>
      <c r="E10" s="62">
        <f>S13</f>
        <v>11.5</v>
      </c>
      <c r="F10" s="62">
        <v>2</v>
      </c>
      <c r="G10" s="53">
        <f>$K$9*SQRT(E10/F10)</f>
        <v>3.2132071206195219E-2</v>
      </c>
      <c r="H10" s="72">
        <f>(D10+$L$9)*100*$K$9/38*0.9</f>
        <v>0.94893157894736846</v>
      </c>
      <c r="I10" s="36"/>
      <c r="J10" s="36"/>
      <c r="K10" s="36"/>
      <c r="N10" s="50">
        <v>0</v>
      </c>
      <c r="O10" s="51">
        <v>16.3</v>
      </c>
      <c r="P10" s="51">
        <v>13</v>
      </c>
      <c r="Q10" s="51">
        <v>14.2</v>
      </c>
      <c r="R10" s="51">
        <v>26</v>
      </c>
      <c r="S10" s="51">
        <v>12</v>
      </c>
      <c r="T10" s="51">
        <v>39</v>
      </c>
      <c r="U10" s="51">
        <v>9.9</v>
      </c>
    </row>
    <row r="11" spans="1:21">
      <c r="A11" s="67"/>
      <c r="B11" s="69"/>
      <c r="C11" s="69"/>
      <c r="D11" s="62">
        <v>28</v>
      </c>
      <c r="E11" s="62">
        <f>S12</f>
        <v>11.7</v>
      </c>
      <c r="F11" s="62">
        <v>4</v>
      </c>
      <c r="G11" s="53">
        <f t="shared" ref="G11:G19" si="0">$K$9*SQRT(E11/F11)</f>
        <v>2.2917526044492674E-2</v>
      </c>
      <c r="H11" s="72">
        <f t="shared" ref="H11:H19" si="1">(D11+$L$9)*100*$K$9/38*0.9</f>
        <v>0.91719473684210528</v>
      </c>
      <c r="I11" s="36"/>
      <c r="J11" s="36"/>
      <c r="K11" s="36"/>
      <c r="N11" s="50">
        <v>1</v>
      </c>
      <c r="O11" s="51">
        <v>16.100000000000001</v>
      </c>
      <c r="P11" s="51">
        <v>14</v>
      </c>
      <c r="Q11" s="51">
        <v>14</v>
      </c>
      <c r="R11" s="51">
        <v>27</v>
      </c>
      <c r="S11" s="51">
        <v>11.9</v>
      </c>
      <c r="T11" s="51">
        <v>40</v>
      </c>
      <c r="U11" s="51">
        <v>9.6999999999999993</v>
      </c>
    </row>
    <row r="12" spans="1:21">
      <c r="A12" s="67"/>
      <c r="B12" s="69"/>
      <c r="C12" s="69"/>
      <c r="D12" s="62">
        <v>28</v>
      </c>
      <c r="E12" s="62">
        <f>S12</f>
        <v>11.7</v>
      </c>
      <c r="F12" s="62">
        <v>8</v>
      </c>
      <c r="G12" s="53">
        <f t="shared" si="0"/>
        <v>1.6205138074080083E-2</v>
      </c>
      <c r="H12" s="72">
        <f t="shared" si="1"/>
        <v>0.91719473684210528</v>
      </c>
      <c r="I12" s="36"/>
      <c r="J12" s="36"/>
      <c r="K12" s="36"/>
      <c r="N12" s="50">
        <v>2</v>
      </c>
      <c r="O12" s="51">
        <v>16</v>
      </c>
      <c r="P12" s="51">
        <v>15</v>
      </c>
      <c r="Q12" s="51">
        <v>13.8</v>
      </c>
      <c r="R12" s="51">
        <v>28</v>
      </c>
      <c r="S12" s="51">
        <v>11.7</v>
      </c>
      <c r="T12" s="51">
        <v>41</v>
      </c>
      <c r="U12" s="51">
        <v>9.6</v>
      </c>
    </row>
    <row r="13" spans="1:21">
      <c r="A13" s="67"/>
      <c r="B13" s="69"/>
      <c r="C13" s="67"/>
      <c r="D13" s="62">
        <v>27</v>
      </c>
      <c r="E13" s="62">
        <f>S11</f>
        <v>11.9</v>
      </c>
      <c r="F13" s="62">
        <v>16</v>
      </c>
      <c r="G13" s="53">
        <f t="shared" si="0"/>
        <v>1.1556286168142428E-2</v>
      </c>
      <c r="H13" s="72">
        <f t="shared" si="1"/>
        <v>0.88545789473684222</v>
      </c>
      <c r="I13" s="36"/>
      <c r="J13" s="36"/>
      <c r="K13" s="36"/>
      <c r="N13" s="50">
        <v>3</v>
      </c>
      <c r="O13" s="51">
        <v>15.8</v>
      </c>
      <c r="P13" s="51">
        <v>16</v>
      </c>
      <c r="Q13" s="51">
        <v>13.7</v>
      </c>
      <c r="R13" s="51">
        <v>29</v>
      </c>
      <c r="S13" s="51">
        <v>11.5</v>
      </c>
      <c r="T13" s="51">
        <v>42</v>
      </c>
      <c r="U13" s="51">
        <v>9.4</v>
      </c>
    </row>
    <row r="14" spans="1:21">
      <c r="A14" s="67"/>
      <c r="B14" s="69"/>
      <c r="C14" s="69"/>
      <c r="D14" s="62">
        <v>24</v>
      </c>
      <c r="E14" s="62">
        <f>Q21</f>
        <v>12.4</v>
      </c>
      <c r="F14" s="62">
        <v>30</v>
      </c>
      <c r="G14" s="53">
        <f t="shared" si="0"/>
        <v>8.6149946798203727E-3</v>
      </c>
      <c r="H14" s="72">
        <f t="shared" si="1"/>
        <v>0.79024736842105259</v>
      </c>
      <c r="I14" s="36"/>
      <c r="J14" s="36"/>
      <c r="K14" s="36"/>
      <c r="N14" s="50">
        <v>4</v>
      </c>
      <c r="O14" s="51">
        <v>15.6</v>
      </c>
      <c r="P14" s="51">
        <v>17</v>
      </c>
      <c r="Q14" s="51">
        <v>13.5</v>
      </c>
      <c r="R14" s="51">
        <v>30</v>
      </c>
      <c r="S14" s="51">
        <v>11.4</v>
      </c>
      <c r="T14" s="51">
        <v>43</v>
      </c>
      <c r="U14" s="51">
        <v>9.1999999999999993</v>
      </c>
    </row>
    <row r="15" spans="1:21">
      <c r="A15" s="67"/>
      <c r="B15" s="73"/>
      <c r="C15" s="67"/>
      <c r="D15" s="62">
        <v>22</v>
      </c>
      <c r="E15" s="62">
        <f>Q19</f>
        <v>12.7</v>
      </c>
      <c r="F15" s="62">
        <v>60</v>
      </c>
      <c r="G15" s="53">
        <f t="shared" si="0"/>
        <v>6.164970938022876E-3</v>
      </c>
      <c r="H15" s="72">
        <f t="shared" si="1"/>
        <v>0.72677368421052635</v>
      </c>
      <c r="I15" s="36"/>
      <c r="J15" s="36"/>
      <c r="K15" s="36"/>
      <c r="N15" s="50">
        <v>5</v>
      </c>
      <c r="O15" s="51">
        <v>15.5</v>
      </c>
      <c r="P15" s="51">
        <v>18</v>
      </c>
      <c r="Q15" s="51">
        <v>13.6</v>
      </c>
      <c r="R15" s="51">
        <v>31</v>
      </c>
      <c r="S15" s="51">
        <v>11.2</v>
      </c>
      <c r="T15" s="51">
        <v>44</v>
      </c>
      <c r="U15" s="51">
        <v>9.1</v>
      </c>
    </row>
    <row r="16" spans="1:21">
      <c r="D16" s="62">
        <v>20</v>
      </c>
      <c r="E16" s="62">
        <f>Q17</f>
        <v>13</v>
      </c>
      <c r="F16" s="62">
        <v>120</v>
      </c>
      <c r="G16" s="53">
        <f t="shared" si="0"/>
        <v>4.410479943649368E-3</v>
      </c>
      <c r="H16" s="72">
        <f t="shared" si="1"/>
        <v>0.6633</v>
      </c>
      <c r="I16" s="36"/>
      <c r="J16" s="36"/>
      <c r="K16" s="36"/>
      <c r="N16" s="50">
        <v>6</v>
      </c>
      <c r="O16" s="51">
        <v>15.3</v>
      </c>
      <c r="P16" s="51">
        <v>19</v>
      </c>
      <c r="Q16" s="51">
        <v>13.2</v>
      </c>
      <c r="R16" s="51">
        <v>32</v>
      </c>
      <c r="S16" s="51">
        <v>11.1</v>
      </c>
      <c r="T16" s="51">
        <v>45</v>
      </c>
      <c r="U16" s="51">
        <v>8.9</v>
      </c>
    </row>
    <row r="17" spans="2:21">
      <c r="D17" s="62">
        <v>18</v>
      </c>
      <c r="E17" s="62">
        <f>Q15</f>
        <v>13.6</v>
      </c>
      <c r="F17" s="62">
        <v>240</v>
      </c>
      <c r="G17" s="53">
        <f t="shared" si="0"/>
        <v>3.1898380314158061E-3</v>
      </c>
      <c r="H17" s="72">
        <f t="shared" si="1"/>
        <v>0.59982631578947365</v>
      </c>
      <c r="I17" s="36"/>
      <c r="J17" s="36"/>
      <c r="K17" s="36"/>
      <c r="N17" s="50">
        <v>7</v>
      </c>
      <c r="O17" s="51">
        <v>15.2</v>
      </c>
      <c r="P17" s="51">
        <v>20</v>
      </c>
      <c r="Q17" s="51">
        <v>13</v>
      </c>
      <c r="R17" s="51">
        <v>33</v>
      </c>
      <c r="S17" s="51">
        <v>10.9</v>
      </c>
      <c r="T17" s="51">
        <v>46</v>
      </c>
      <c r="U17" s="51">
        <v>8.8000000000000007</v>
      </c>
    </row>
    <row r="18" spans="2:21">
      <c r="B18"/>
      <c r="D18" s="62">
        <v>17</v>
      </c>
      <c r="E18" s="62">
        <f>Q14</f>
        <v>13.5</v>
      </c>
      <c r="F18" s="62">
        <v>480</v>
      </c>
      <c r="G18" s="53">
        <f t="shared" si="0"/>
        <v>2.2472483173872886E-3</v>
      </c>
      <c r="H18" s="72">
        <f t="shared" si="1"/>
        <v>0.56808947368421048</v>
      </c>
      <c r="I18" s="36"/>
      <c r="J18" s="36"/>
      <c r="K18" s="36"/>
      <c r="N18" s="50">
        <v>8</v>
      </c>
      <c r="O18" s="51">
        <v>15</v>
      </c>
      <c r="P18" s="51">
        <v>21</v>
      </c>
      <c r="Q18" s="51">
        <v>12.9</v>
      </c>
      <c r="R18" s="51">
        <v>34</v>
      </c>
      <c r="S18" s="51">
        <v>10.7</v>
      </c>
      <c r="T18" s="51">
        <v>47</v>
      </c>
      <c r="U18" s="51">
        <v>8.6</v>
      </c>
    </row>
    <row r="19" spans="2:21">
      <c r="D19" s="62">
        <v>14</v>
      </c>
      <c r="E19" s="62">
        <f>Q11</f>
        <v>14</v>
      </c>
      <c r="F19" s="62">
        <f>F18*3</f>
        <v>1440</v>
      </c>
      <c r="G19" s="53">
        <f t="shared" si="0"/>
        <v>1.321257818225581E-3</v>
      </c>
      <c r="H19" s="72">
        <f t="shared" si="1"/>
        <v>0.47287894736842112</v>
      </c>
      <c r="I19" s="36"/>
      <c r="J19" s="36"/>
      <c r="K19" s="36"/>
      <c r="N19" s="50">
        <v>9</v>
      </c>
      <c r="O19" s="51">
        <v>14.8</v>
      </c>
      <c r="P19" s="51">
        <v>22</v>
      </c>
      <c r="Q19" s="51">
        <v>12.7</v>
      </c>
      <c r="R19" s="51">
        <v>35</v>
      </c>
      <c r="S19" s="51">
        <v>10.6</v>
      </c>
      <c r="T19" s="51">
        <v>48</v>
      </c>
      <c r="U19" s="51">
        <v>8.4</v>
      </c>
    </row>
    <row r="20" spans="2:21">
      <c r="E20" s="36"/>
      <c r="F20" s="36"/>
      <c r="G20" s="36"/>
      <c r="H20" s="36"/>
      <c r="I20" s="36"/>
      <c r="J20" s="36"/>
      <c r="K20" s="36"/>
      <c r="N20" s="50">
        <v>10</v>
      </c>
      <c r="O20" s="51">
        <v>14.7</v>
      </c>
      <c r="P20" s="51">
        <v>23</v>
      </c>
      <c r="Q20" s="51">
        <v>12.5</v>
      </c>
      <c r="R20" s="51">
        <v>36</v>
      </c>
      <c r="S20" s="51">
        <v>10.4</v>
      </c>
      <c r="T20" s="51">
        <v>49</v>
      </c>
      <c r="U20" s="51">
        <v>8.3000000000000007</v>
      </c>
    </row>
    <row r="21" spans="2:21">
      <c r="H21" s="36"/>
      <c r="I21" s="36"/>
      <c r="J21" s="36"/>
      <c r="K21" s="36"/>
      <c r="N21" s="50">
        <v>11</v>
      </c>
      <c r="O21" s="51">
        <v>14.5</v>
      </c>
      <c r="P21" s="51">
        <v>24</v>
      </c>
      <c r="Q21" s="51">
        <v>12.4</v>
      </c>
      <c r="R21" s="51">
        <v>37</v>
      </c>
      <c r="S21" s="51">
        <v>10.199999999999999</v>
      </c>
      <c r="T21" s="51">
        <v>50</v>
      </c>
      <c r="U21" s="51">
        <v>8.1</v>
      </c>
    </row>
    <row r="22" spans="2:21" ht="15" thickBot="1">
      <c r="H22" s="36"/>
      <c r="I22" s="36"/>
      <c r="J22" s="36"/>
      <c r="K22" s="36"/>
      <c r="N22" s="55">
        <v>12</v>
      </c>
      <c r="O22" s="49">
        <v>14.3</v>
      </c>
      <c r="P22" s="49">
        <v>25</v>
      </c>
      <c r="Q22" s="49">
        <v>12.2</v>
      </c>
      <c r="R22" s="49">
        <v>38</v>
      </c>
      <c r="S22" s="49">
        <v>10.1</v>
      </c>
      <c r="T22" s="49">
        <v>51</v>
      </c>
      <c r="U22" s="49">
        <v>7.9</v>
      </c>
    </row>
  </sheetData>
  <mergeCells count="6">
    <mergeCell ref="N8:N9"/>
    <mergeCell ref="P8:P9"/>
    <mergeCell ref="R8:R9"/>
    <mergeCell ref="T8:T9"/>
    <mergeCell ref="B5:C5"/>
    <mergeCell ref="D8:H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0"/>
  <sheetViews>
    <sheetView workbookViewId="0">
      <selection activeCell="N35" sqref="N35"/>
    </sheetView>
  </sheetViews>
  <sheetFormatPr defaultRowHeight="14.4"/>
  <cols>
    <col min="1" max="1" width="20.6640625" customWidth="1"/>
  </cols>
  <sheetData>
    <row r="1" spans="1:2">
      <c r="A1" t="s">
        <v>207</v>
      </c>
      <c r="B1" s="208" t="s">
        <v>180</v>
      </c>
    </row>
    <row r="2" spans="1:2">
      <c r="B2" s="208"/>
    </row>
    <row r="3" spans="1:2">
      <c r="A3" t="s">
        <v>21</v>
      </c>
    </row>
    <row r="4" spans="1:2">
      <c r="A4" t="s">
        <v>11</v>
      </c>
      <c r="B4">
        <v>2.82</v>
      </c>
    </row>
    <row r="5" spans="1:2">
      <c r="A5" t="s">
        <v>12</v>
      </c>
      <c r="B5">
        <v>6.13</v>
      </c>
    </row>
    <row r="6" spans="1:2">
      <c r="A6" t="s">
        <v>15</v>
      </c>
      <c r="B6">
        <f>(PI()*B5^2)*0.0001/4</f>
        <v>2.9512828246169576E-3</v>
      </c>
    </row>
    <row r="7" spans="1:2">
      <c r="A7" t="s">
        <v>13</v>
      </c>
      <c r="B7">
        <f>(B4*PI()*B5^2)/4</f>
        <v>83.226175654198201</v>
      </c>
    </row>
    <row r="10" spans="1:2">
      <c r="A10" t="s">
        <v>30</v>
      </c>
      <c r="B10">
        <v>110.71</v>
      </c>
    </row>
    <row r="11" spans="1:2">
      <c r="A11" t="s">
        <v>17</v>
      </c>
      <c r="B11">
        <v>268.93</v>
      </c>
    </row>
    <row r="12" spans="1:2">
      <c r="A12" t="s">
        <v>18</v>
      </c>
      <c r="B12">
        <v>233.79</v>
      </c>
    </row>
    <row r="13" spans="1:2">
      <c r="A13" t="s">
        <v>19</v>
      </c>
      <c r="B13">
        <f>(B11-B12)/(B12-B10)</f>
        <v>0.28550536236594098</v>
      </c>
    </row>
    <row r="14" spans="1:2">
      <c r="A14" s="1" t="s">
        <v>20</v>
      </c>
      <c r="B14" s="1">
        <f>(B11-B10)/B7</f>
        <v>1.9010845897497262</v>
      </c>
    </row>
    <row r="16" spans="1:2">
      <c r="A16" t="s">
        <v>3</v>
      </c>
    </row>
    <row r="17" spans="1:2">
      <c r="A17" t="s">
        <v>31</v>
      </c>
      <c r="B17">
        <v>156.69999999999999</v>
      </c>
    </row>
    <row r="18" spans="1:2">
      <c r="A18" t="s">
        <v>32</v>
      </c>
      <c r="B18">
        <v>337.8</v>
      </c>
    </row>
    <row r="19" spans="1:2">
      <c r="A19" t="s">
        <v>33</v>
      </c>
      <c r="B19">
        <f>B18-B17</f>
        <v>181.10000000000002</v>
      </c>
    </row>
    <row r="21" spans="1:2">
      <c r="A21" t="s">
        <v>39</v>
      </c>
      <c r="B21">
        <f>B22*B23</f>
        <v>103.8851554265169</v>
      </c>
    </row>
    <row r="22" spans="1:2">
      <c r="A22" t="s">
        <v>40</v>
      </c>
      <c r="B22">
        <f>PI()*0.25*6.13^2</f>
        <v>29.512828246169576</v>
      </c>
    </row>
    <row r="23" spans="1:2">
      <c r="A23" t="s">
        <v>41</v>
      </c>
      <c r="B23">
        <f>6.62-3.1</f>
        <v>3.52</v>
      </c>
    </row>
    <row r="24" spans="1:2">
      <c r="A24" t="s">
        <v>45</v>
      </c>
      <c r="B24">
        <v>197.06</v>
      </c>
    </row>
    <row r="25" spans="1:2">
      <c r="A25" t="s">
        <v>46</v>
      </c>
      <c r="B25">
        <f>303.8-B17</f>
        <v>147.10000000000002</v>
      </c>
    </row>
    <row r="26" spans="1:2">
      <c r="A26" s="1" t="s">
        <v>20</v>
      </c>
      <c r="B26" s="1">
        <f>B24/B21</f>
        <v>1.8969023937148581</v>
      </c>
    </row>
    <row r="28" spans="1:2">
      <c r="A28" t="s">
        <v>2</v>
      </c>
    </row>
    <row r="29" spans="1:2">
      <c r="A29" t="s">
        <v>16</v>
      </c>
      <c r="B29">
        <v>125.51</v>
      </c>
    </row>
    <row r="30" spans="1:2">
      <c r="A30" t="s">
        <v>11</v>
      </c>
      <c r="B30">
        <v>2.82</v>
      </c>
    </row>
    <row r="31" spans="1:2">
      <c r="A31" t="s">
        <v>12</v>
      </c>
      <c r="B31">
        <v>6.13</v>
      </c>
    </row>
    <row r="32" spans="1:2">
      <c r="A32" t="s">
        <v>15</v>
      </c>
      <c r="B32">
        <f>(PI()*B31^2)*0.0001/4</f>
        <v>2.9512828246169576E-3</v>
      </c>
    </row>
    <row r="33" spans="1:2">
      <c r="A33" t="s">
        <v>13</v>
      </c>
      <c r="B33">
        <f>(B30*PI()*B31^2)/4</f>
        <v>83.226175654198201</v>
      </c>
    </row>
    <row r="34" spans="1:2">
      <c r="A34" t="s">
        <v>14</v>
      </c>
      <c r="B34">
        <f>B29/B33</f>
        <v>1.5080592014883585</v>
      </c>
    </row>
    <row r="36" spans="1:2">
      <c r="A36" t="s">
        <v>30</v>
      </c>
      <c r="B36">
        <v>126.55</v>
      </c>
    </row>
    <row r="37" spans="1:2">
      <c r="A37" t="s">
        <v>17</v>
      </c>
      <c r="B37">
        <v>265.3</v>
      </c>
    </row>
    <row r="38" spans="1:2">
      <c r="A38" t="s">
        <v>18</v>
      </c>
      <c r="B38">
        <v>219.14</v>
      </c>
    </row>
    <row r="39" spans="1:2">
      <c r="A39" t="s">
        <v>19</v>
      </c>
      <c r="B39">
        <f>(B37-B38)/(B38-B36)</f>
        <v>0.49854195917485722</v>
      </c>
    </row>
    <row r="40" spans="1:2">
      <c r="A40" s="1" t="s">
        <v>20</v>
      </c>
      <c r="B40" s="1">
        <f>(B37-B36)/B33</f>
        <v>1.6671437670823819</v>
      </c>
    </row>
    <row r="42" spans="1:2">
      <c r="A42" t="s">
        <v>6</v>
      </c>
    </row>
    <row r="43" spans="1:2">
      <c r="A43" t="s">
        <v>39</v>
      </c>
      <c r="B43">
        <f>B44*B45</f>
        <v>88.538484738508728</v>
      </c>
    </row>
    <row r="44" spans="1:2">
      <c r="A44" t="s">
        <v>40</v>
      </c>
      <c r="B44">
        <f>PI()*0.25*6.13^2</f>
        <v>29.512828246169576</v>
      </c>
    </row>
    <row r="45" spans="1:2">
      <c r="A45" t="s">
        <v>41</v>
      </c>
      <c r="B45">
        <v>3</v>
      </c>
    </row>
    <row r="46" spans="1:2">
      <c r="A46" t="s">
        <v>45</v>
      </c>
      <c r="B46">
        <v>158</v>
      </c>
    </row>
    <row r="47" spans="1:2">
      <c r="A47" t="s">
        <v>46</v>
      </c>
      <c r="B47">
        <v>112</v>
      </c>
    </row>
    <row r="48" spans="1:2">
      <c r="A48" s="1" t="s">
        <v>20</v>
      </c>
      <c r="B48" s="1">
        <f>B46/B43</f>
        <v>1.7845347191861285</v>
      </c>
    </row>
    <row r="50" spans="1:2">
      <c r="A50" t="s">
        <v>7</v>
      </c>
    </row>
    <row r="51" spans="1:2">
      <c r="A51" t="s">
        <v>31</v>
      </c>
      <c r="B51">
        <v>168.9</v>
      </c>
    </row>
    <row r="52" spans="1:2">
      <c r="A52" t="s">
        <v>141</v>
      </c>
      <c r="B52">
        <v>331.3</v>
      </c>
    </row>
    <row r="53" spans="1:2">
      <c r="A53" t="s">
        <v>35</v>
      </c>
      <c r="B53">
        <f>(B54-B51)/(1+D59)</f>
        <v>174.70000000000002</v>
      </c>
    </row>
    <row r="54" spans="1:2">
      <c r="A54" t="s">
        <v>142</v>
      </c>
      <c r="B54">
        <v>343.6</v>
      </c>
    </row>
    <row r="55" spans="1:2">
      <c r="A55" t="s">
        <v>39</v>
      </c>
      <c r="B55">
        <f>B56*B57</f>
        <v>89.128741303432122</v>
      </c>
    </row>
    <row r="56" spans="1:2">
      <c r="A56" t="s">
        <v>40</v>
      </c>
      <c r="B56">
        <f>PI()*0.25*6.13^2</f>
        <v>29.512828246169576</v>
      </c>
    </row>
    <row r="57" spans="1:2">
      <c r="A57" t="s">
        <v>41</v>
      </c>
      <c r="B57">
        <v>3.02</v>
      </c>
    </row>
    <row r="58" spans="1:2">
      <c r="A58" t="s">
        <v>45</v>
      </c>
      <c r="B58">
        <f>261.3-100.3</f>
        <v>161</v>
      </c>
    </row>
    <row r="59" spans="1:2">
      <c r="A59" t="s">
        <v>46</v>
      </c>
      <c r="B59">
        <f>215.2-100.3</f>
        <v>114.89999999999999</v>
      </c>
    </row>
    <row r="60" spans="1:2">
      <c r="A60" s="1" t="s">
        <v>20</v>
      </c>
      <c r="B60" s="1">
        <f>B58/B55</f>
        <v>1.8063757845730992</v>
      </c>
    </row>
  </sheetData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140"/>
  <sheetViews>
    <sheetView workbookViewId="0">
      <selection activeCell="A17" sqref="A17"/>
    </sheetView>
  </sheetViews>
  <sheetFormatPr defaultRowHeight="14.4"/>
  <cols>
    <col min="1" max="1" width="17.88671875" bestFit="1" customWidth="1"/>
    <col min="2" max="2" width="22" bestFit="1" customWidth="1"/>
    <col min="3" max="3" width="15.6640625" bestFit="1" customWidth="1"/>
    <col min="4" max="4" width="17.33203125" customWidth="1"/>
    <col min="5" max="5" width="16.77734375" bestFit="1" customWidth="1"/>
    <col min="8" max="8" width="15.21875" bestFit="1" customWidth="1"/>
    <col min="26" max="26" width="14.33203125" customWidth="1"/>
    <col min="27" max="27" width="20.77734375" customWidth="1"/>
    <col min="29" max="29" width="10.5546875" customWidth="1"/>
    <col min="33" max="33" width="11.21875" bestFit="1" customWidth="1"/>
  </cols>
  <sheetData>
    <row r="1" spans="1:25">
      <c r="A1" t="s">
        <v>146</v>
      </c>
      <c r="E1">
        <f>0.284+0.769</f>
        <v>1.0529999999999999</v>
      </c>
    </row>
    <row r="2" spans="1:25">
      <c r="A2" t="s">
        <v>147</v>
      </c>
      <c r="E2">
        <v>0.04</v>
      </c>
    </row>
    <row r="3" spans="1:25">
      <c r="A3" t="s">
        <v>0</v>
      </c>
      <c r="B3" t="s">
        <v>145</v>
      </c>
    </row>
    <row r="4" spans="1:25">
      <c r="G4" s="133"/>
    </row>
    <row r="5" spans="1:25" ht="28.8">
      <c r="A5" s="78" t="s">
        <v>144</v>
      </c>
      <c r="B5" s="83" t="s">
        <v>5</v>
      </c>
      <c r="C5" s="154" t="s">
        <v>10</v>
      </c>
      <c r="D5" s="155" t="s">
        <v>9</v>
      </c>
      <c r="E5" s="78" t="s">
        <v>164</v>
      </c>
      <c r="F5" s="148" t="s">
        <v>29</v>
      </c>
      <c r="G5" s="78" t="s">
        <v>149</v>
      </c>
      <c r="H5" s="130" t="s">
        <v>144</v>
      </c>
      <c r="I5" s="4"/>
    </row>
    <row r="6" spans="1:25">
      <c r="A6" s="156" t="s">
        <v>43</v>
      </c>
      <c r="B6" s="157">
        <v>0.92</v>
      </c>
      <c r="C6" s="156">
        <v>4.0694400000000002</v>
      </c>
      <c r="D6" s="158">
        <f>C6-$E$2</f>
        <v>4.0294400000000001</v>
      </c>
      <c r="E6" s="156">
        <v>8.5226399999999991</v>
      </c>
      <c r="F6" s="158">
        <v>4.58</v>
      </c>
      <c r="G6" s="159">
        <f>ATAN(0.84)*(180/PI())</f>
        <v>40.030259271889697</v>
      </c>
      <c r="H6" s="157" t="s">
        <v>150</v>
      </c>
    </row>
    <row r="7" spans="1:25">
      <c r="A7" s="160"/>
      <c r="B7" s="161"/>
      <c r="C7" s="160">
        <v>7.0379999999999994</v>
      </c>
      <c r="D7" s="162">
        <f>C7-$E$2</f>
        <v>6.9979999999999993</v>
      </c>
      <c r="E7" s="160">
        <v>9.671759999999999</v>
      </c>
      <c r="F7" s="162"/>
      <c r="G7" s="163"/>
      <c r="H7" s="161" t="s">
        <v>150</v>
      </c>
    </row>
    <row r="8" spans="1:25">
      <c r="A8" s="164"/>
      <c r="B8" s="165"/>
      <c r="C8" s="164">
        <v>13.023</v>
      </c>
      <c r="D8" s="166">
        <f>C8-$E$2</f>
        <v>12.983000000000001</v>
      </c>
      <c r="E8" s="164">
        <v>15.8004</v>
      </c>
      <c r="F8" s="166"/>
      <c r="G8" s="167"/>
      <c r="H8" s="165" t="s">
        <v>150</v>
      </c>
    </row>
    <row r="9" spans="1:25">
      <c r="A9" s="94" t="s">
        <v>3</v>
      </c>
      <c r="B9" s="90">
        <v>0.56999999999999995</v>
      </c>
      <c r="C9" s="94">
        <v>0.2</v>
      </c>
      <c r="D9" s="81">
        <v>0.17199999999999999</v>
      </c>
      <c r="E9" s="95">
        <v>1.125</v>
      </c>
      <c r="F9" s="91"/>
      <c r="G9" s="151"/>
      <c r="H9" s="94" t="s">
        <v>150</v>
      </c>
    </row>
    <row r="10" spans="1:25">
      <c r="A10" s="95"/>
      <c r="B10" s="81"/>
      <c r="C10" s="95">
        <v>3.0639599999999998</v>
      </c>
      <c r="D10" s="81">
        <f>C10-$E$2</f>
        <v>3.0239599999999998</v>
      </c>
      <c r="E10" s="95">
        <v>7.7565600000000003</v>
      </c>
      <c r="F10" s="81">
        <v>4.42</v>
      </c>
      <c r="G10" s="153">
        <f>ATAN(0.695)*(180/PI())</f>
        <v>34.799300509907305</v>
      </c>
      <c r="H10" s="95" t="s">
        <v>150</v>
      </c>
    </row>
    <row r="11" spans="1:25">
      <c r="A11" s="95"/>
      <c r="B11" s="81"/>
      <c r="C11" s="95">
        <v>4.2130799999999997</v>
      </c>
      <c r="D11" s="81">
        <f t="shared" ref="D11:D13" si="0">C11-$E$2</f>
        <v>4.1730799999999997</v>
      </c>
      <c r="E11" s="95">
        <v>10.0548</v>
      </c>
      <c r="F11" s="81"/>
      <c r="G11" s="153"/>
      <c r="H11" s="95" t="s">
        <v>150</v>
      </c>
    </row>
    <row r="12" spans="1:25">
      <c r="A12" s="95"/>
      <c r="B12" s="81"/>
      <c r="C12" s="95">
        <v>11.059919999999998</v>
      </c>
      <c r="D12" s="81">
        <f t="shared" si="0"/>
        <v>11.019919999999999</v>
      </c>
      <c r="E12" s="95">
        <v>14.74704</v>
      </c>
      <c r="F12" s="81"/>
      <c r="G12" s="153"/>
      <c r="H12" s="95" t="s">
        <v>150</v>
      </c>
    </row>
    <row r="13" spans="1:25">
      <c r="A13" s="95"/>
      <c r="B13" s="132"/>
      <c r="C13" s="95">
        <v>20.205000000000002</v>
      </c>
      <c r="D13" s="95">
        <f t="shared" si="0"/>
        <v>20.165000000000003</v>
      </c>
      <c r="E13" s="95">
        <v>17.332560000000001</v>
      </c>
      <c r="F13" s="91"/>
      <c r="G13" s="91"/>
      <c r="H13" s="95" t="s">
        <v>151</v>
      </c>
    </row>
    <row r="14" spans="1:25">
      <c r="A14" s="95"/>
      <c r="B14" s="81"/>
      <c r="C14" s="95">
        <v>40</v>
      </c>
      <c r="D14" s="95">
        <v>39.85</v>
      </c>
      <c r="E14" s="95">
        <v>32.44</v>
      </c>
      <c r="F14" s="133"/>
      <c r="G14" s="91"/>
      <c r="H14" s="95" t="s">
        <v>150</v>
      </c>
      <c r="R14" s="5"/>
      <c r="S14" s="5"/>
      <c r="T14" s="5"/>
      <c r="U14" s="5"/>
      <c r="V14" s="5"/>
      <c r="W14" s="5"/>
      <c r="X14" s="5"/>
      <c r="Y14" s="5"/>
    </row>
    <row r="15" spans="1:25">
      <c r="A15" s="95"/>
      <c r="B15" s="81"/>
      <c r="C15" s="95">
        <v>60</v>
      </c>
      <c r="D15" s="133">
        <v>59.85</v>
      </c>
      <c r="E15" s="95">
        <v>43.42</v>
      </c>
      <c r="F15" s="133"/>
      <c r="G15" s="91"/>
      <c r="H15" s="95" t="s">
        <v>150</v>
      </c>
      <c r="R15" s="5"/>
      <c r="S15" s="5"/>
      <c r="T15" s="5"/>
      <c r="U15" s="5"/>
      <c r="V15" s="5"/>
      <c r="W15" s="5"/>
      <c r="X15" s="5"/>
      <c r="Y15" s="5"/>
    </row>
    <row r="16" spans="1:25">
      <c r="A16" s="150"/>
      <c r="B16" s="92"/>
      <c r="C16" s="150">
        <v>120</v>
      </c>
      <c r="D16" s="133">
        <v>119.85</v>
      </c>
      <c r="E16" s="95">
        <v>86.604900000000001</v>
      </c>
      <c r="F16" s="133"/>
      <c r="G16" s="91"/>
      <c r="H16" s="150" t="s">
        <v>150</v>
      </c>
      <c r="R16" s="5"/>
      <c r="S16" s="5"/>
      <c r="T16" s="5"/>
      <c r="U16" s="5"/>
      <c r="V16" s="5"/>
      <c r="W16" s="5"/>
      <c r="X16" s="5"/>
      <c r="Y16" s="5"/>
    </row>
    <row r="17" spans="1:37" ht="17.399999999999999" customHeight="1">
      <c r="A17" s="149" t="s">
        <v>152</v>
      </c>
      <c r="B17" s="139"/>
      <c r="C17" s="140">
        <f>D17+$E$2</f>
        <v>0.21155579999999993</v>
      </c>
      <c r="D17" s="135">
        <v>0.17155579999999993</v>
      </c>
      <c r="E17" s="136">
        <v>1.08</v>
      </c>
      <c r="F17" s="134"/>
      <c r="G17" s="98"/>
      <c r="H17" s="137" t="s">
        <v>150</v>
      </c>
      <c r="R17" s="5"/>
      <c r="S17" s="5"/>
      <c r="T17" s="5"/>
      <c r="U17" s="102"/>
      <c r="V17" s="103"/>
      <c r="W17" s="103"/>
      <c r="X17" s="5"/>
      <c r="Y17" s="5"/>
    </row>
    <row r="18" spans="1:37" ht="16.8" customHeight="1">
      <c r="A18" s="171" t="s">
        <v>165</v>
      </c>
      <c r="B18" s="139"/>
      <c r="C18" s="140">
        <f t="shared" ref="C18:C24" si="1">D18+$E$2</f>
        <v>0.98055579999999998</v>
      </c>
      <c r="D18" s="141">
        <v>0.94055579999999994</v>
      </c>
      <c r="E18" s="138">
        <v>1.77</v>
      </c>
      <c r="F18" s="139"/>
      <c r="G18" s="138"/>
      <c r="H18" s="142" t="s">
        <v>150</v>
      </c>
      <c r="M18" s="133"/>
      <c r="N18" s="133"/>
      <c r="R18" s="5"/>
      <c r="S18" s="5"/>
      <c r="T18" s="5"/>
      <c r="U18" s="5"/>
      <c r="V18" s="5"/>
      <c r="W18" s="5"/>
      <c r="X18" s="5"/>
      <c r="Y18" s="5"/>
    </row>
    <row r="19" spans="1:37">
      <c r="A19" s="138"/>
      <c r="B19" s="139"/>
      <c r="C19" s="140">
        <f t="shared" si="1"/>
        <v>1.9805557999999999</v>
      </c>
      <c r="D19" s="139">
        <v>1.9405557999999998</v>
      </c>
      <c r="E19" s="138">
        <v>3.1949999999999998</v>
      </c>
      <c r="F19" s="139"/>
      <c r="G19" s="138"/>
      <c r="H19" s="142" t="s">
        <v>150</v>
      </c>
      <c r="M19" s="133"/>
      <c r="N19" s="133"/>
      <c r="R19" s="5"/>
      <c r="S19" s="5"/>
      <c r="T19" s="5"/>
      <c r="U19" s="5"/>
      <c r="V19" s="5"/>
      <c r="W19" s="5"/>
      <c r="X19" s="5"/>
      <c r="Y19" s="5"/>
      <c r="AH19" s="5"/>
      <c r="AI19" s="5"/>
      <c r="AJ19" s="5"/>
      <c r="AK19" s="5"/>
    </row>
    <row r="20" spans="1:37">
      <c r="A20" s="138"/>
      <c r="B20" s="139"/>
      <c r="C20" s="140">
        <f t="shared" si="1"/>
        <v>4.9805558000000003</v>
      </c>
      <c r="D20" s="139">
        <v>4.9405558000000003</v>
      </c>
      <c r="E20" s="138">
        <v>5.3739999999999997</v>
      </c>
      <c r="F20" s="139"/>
      <c r="G20" s="138"/>
      <c r="H20" s="142" t="s">
        <v>150</v>
      </c>
      <c r="M20" s="133"/>
      <c r="N20" s="133"/>
      <c r="AH20" s="5"/>
      <c r="AI20" s="5"/>
      <c r="AJ20" s="5"/>
      <c r="AK20" s="5"/>
    </row>
    <row r="21" spans="1:37">
      <c r="A21" s="138"/>
      <c r="B21" s="139"/>
      <c r="C21" s="140">
        <f t="shared" si="1"/>
        <v>6.9805558000000003</v>
      </c>
      <c r="D21" s="141">
        <v>6.9405558000000003</v>
      </c>
      <c r="E21" s="138">
        <v>4.2880000000000003</v>
      </c>
      <c r="F21" s="139"/>
      <c r="G21" s="138"/>
      <c r="H21" s="142" t="s">
        <v>150</v>
      </c>
      <c r="M21" s="133"/>
      <c r="N21" s="133"/>
      <c r="U21" s="25"/>
      <c r="V21" s="25"/>
      <c r="W21" s="25"/>
      <c r="X21" s="25"/>
      <c r="Y21" s="25"/>
      <c r="AH21" s="5"/>
      <c r="AI21" s="5"/>
      <c r="AJ21" s="5"/>
      <c r="AK21" s="5"/>
    </row>
    <row r="22" spans="1:37">
      <c r="A22" s="138"/>
      <c r="B22" s="139"/>
      <c r="C22" s="140">
        <f t="shared" si="1"/>
        <v>15.980555799999999</v>
      </c>
      <c r="D22" s="141">
        <v>15.9405558</v>
      </c>
      <c r="E22" s="138">
        <v>15.314</v>
      </c>
      <c r="F22" s="139"/>
      <c r="G22" s="138"/>
      <c r="H22" s="142" t="s">
        <v>150</v>
      </c>
      <c r="M22" s="133"/>
      <c r="N22" s="133"/>
      <c r="U22" s="25"/>
      <c r="V22" s="25"/>
      <c r="W22" s="25"/>
      <c r="X22" s="25"/>
      <c r="Y22" s="25"/>
      <c r="AH22" s="5"/>
      <c r="AI22" s="5"/>
      <c r="AJ22" s="5"/>
      <c r="AK22" s="5"/>
    </row>
    <row r="23" spans="1:37">
      <c r="A23" s="138"/>
      <c r="B23" s="139"/>
      <c r="C23" s="140">
        <f t="shared" si="1"/>
        <v>30.980555799999998</v>
      </c>
      <c r="D23" s="141">
        <v>30.940555799999998</v>
      </c>
      <c r="E23" s="138">
        <v>25.029</v>
      </c>
      <c r="F23" s="139"/>
      <c r="G23" s="138"/>
      <c r="H23" s="142" t="s">
        <v>150</v>
      </c>
      <c r="M23" s="133"/>
      <c r="N23" s="133"/>
      <c r="U23" s="25"/>
      <c r="V23" s="25"/>
      <c r="W23" s="25"/>
      <c r="X23" s="25"/>
      <c r="Y23" s="25"/>
      <c r="AH23" s="103"/>
      <c r="AI23" s="5"/>
      <c r="AJ23" s="5"/>
      <c r="AK23" s="5"/>
    </row>
    <row r="24" spans="1:37">
      <c r="A24" s="143"/>
      <c r="B24" s="144"/>
      <c r="C24" s="145">
        <f t="shared" si="1"/>
        <v>60.980555799999991</v>
      </c>
      <c r="D24" s="146">
        <v>60.940555799999991</v>
      </c>
      <c r="E24" s="143">
        <v>52.338999999999999</v>
      </c>
      <c r="F24" s="144"/>
      <c r="G24" s="143"/>
      <c r="H24" s="147" t="s">
        <v>150</v>
      </c>
      <c r="M24" s="133"/>
      <c r="N24" s="133"/>
      <c r="U24" s="25"/>
      <c r="V24" s="25"/>
      <c r="W24" s="25"/>
      <c r="X24" s="25"/>
      <c r="Y24" s="25"/>
      <c r="AH24" s="5"/>
      <c r="AI24" s="5"/>
      <c r="AJ24" s="5"/>
      <c r="AK24" s="5"/>
    </row>
    <row r="25" spans="1:37">
      <c r="A25" s="160" t="s">
        <v>2</v>
      </c>
      <c r="B25" s="162">
        <f>0.92-0.7</f>
        <v>0.22000000000000008</v>
      </c>
      <c r="C25" s="160">
        <v>7.0379999999999994</v>
      </c>
      <c r="D25" s="162">
        <f>C25-$E$2</f>
        <v>6.9979999999999993</v>
      </c>
      <c r="E25" s="168">
        <v>10.38996</v>
      </c>
      <c r="F25" s="169">
        <v>0.42</v>
      </c>
      <c r="G25" s="163">
        <f>ATAN(1.37)*(180/PI())</f>
        <v>53.873284227210085</v>
      </c>
      <c r="H25" s="160" t="s">
        <v>150</v>
      </c>
      <c r="M25" s="133"/>
      <c r="N25" s="133"/>
      <c r="U25" s="25"/>
      <c r="V25" s="25"/>
      <c r="W25" s="25"/>
      <c r="X25" s="25"/>
      <c r="Y25" s="25"/>
      <c r="Z25" s="25"/>
      <c r="AB25" s="5"/>
      <c r="AC25" s="5"/>
      <c r="AD25" s="5"/>
      <c r="AE25" s="5"/>
      <c r="AF25" s="5"/>
      <c r="AG25" s="5"/>
      <c r="AH25" s="5"/>
      <c r="AI25" s="5"/>
      <c r="AJ25" s="5"/>
      <c r="AK25" s="5"/>
    </row>
    <row r="26" spans="1:37">
      <c r="A26" s="160"/>
      <c r="B26" s="162"/>
      <c r="C26" s="160">
        <v>4.0694400000000002</v>
      </c>
      <c r="D26" s="162">
        <f>C26-$E$2</f>
        <v>4.0294400000000001</v>
      </c>
      <c r="E26" s="168">
        <v>5.0274000000000001</v>
      </c>
      <c r="F26" s="162"/>
      <c r="G26" s="163"/>
      <c r="H26" s="160" t="s">
        <v>150</v>
      </c>
      <c r="U26" s="25"/>
      <c r="V26" s="25"/>
      <c r="W26" s="25"/>
      <c r="X26" s="25"/>
      <c r="Y26" s="25"/>
      <c r="Z26" s="25"/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 spans="1:37">
      <c r="A27" s="164"/>
      <c r="B27" s="166"/>
      <c r="C27" s="164">
        <v>2.0584799999999999</v>
      </c>
      <c r="D27" s="166">
        <f>C27-$E$2</f>
        <v>2.0184799999999998</v>
      </c>
      <c r="E27" s="170">
        <v>3.7346399999999997</v>
      </c>
      <c r="F27" s="166"/>
      <c r="G27" s="167"/>
      <c r="H27" s="164" t="s">
        <v>150</v>
      </c>
      <c r="U27" s="25"/>
      <c r="V27" s="25"/>
      <c r="W27" s="25"/>
      <c r="X27" s="25"/>
      <c r="Y27" s="25"/>
      <c r="Z27" s="25"/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 spans="1:37" ht="15.6">
      <c r="A28" s="100"/>
      <c r="B28" s="101"/>
      <c r="C28" s="100"/>
      <c r="D28" s="100"/>
      <c r="E28" s="100"/>
      <c r="F28" s="67"/>
      <c r="G28" s="67"/>
      <c r="H28" s="67"/>
      <c r="U28" s="25"/>
      <c r="V28" s="25"/>
      <c r="W28" s="25"/>
      <c r="X28" s="25"/>
      <c r="Y28" s="25"/>
      <c r="Z28" s="25"/>
      <c r="AB28" s="5"/>
      <c r="AC28" s="5"/>
      <c r="AJ28" s="5"/>
      <c r="AK28" s="5"/>
    </row>
    <row r="29" spans="1:37" ht="15.6">
      <c r="A29" s="100"/>
      <c r="B29" s="101"/>
      <c r="C29" s="100"/>
      <c r="D29" s="100"/>
      <c r="E29" s="100"/>
      <c r="F29" s="67"/>
      <c r="G29" s="67"/>
      <c r="H29" s="67"/>
      <c r="U29" s="25"/>
      <c r="V29" s="25"/>
      <c r="W29" s="25"/>
      <c r="X29" s="25"/>
      <c r="Y29" s="25"/>
      <c r="Z29" s="25"/>
      <c r="AB29" s="5"/>
      <c r="AC29" s="5"/>
      <c r="AJ29" s="5"/>
      <c r="AK29" s="5"/>
    </row>
    <row r="30" spans="1:37" ht="15.6">
      <c r="A30" s="100"/>
      <c r="B30" s="100"/>
      <c r="C30" s="100"/>
      <c r="D30" s="100"/>
      <c r="E30" s="100"/>
      <c r="F30" s="67"/>
      <c r="G30" s="67"/>
      <c r="H30" s="67"/>
    </row>
    <row r="31" spans="1:37" ht="15.6">
      <c r="A31" s="100"/>
      <c r="B31" s="100"/>
      <c r="C31" s="100"/>
      <c r="D31" s="100"/>
      <c r="E31" s="100"/>
      <c r="F31" s="67"/>
      <c r="G31" s="67"/>
      <c r="H31" s="67"/>
    </row>
    <row r="32" spans="1:37" ht="15.6">
      <c r="A32" s="100"/>
      <c r="B32" s="101"/>
      <c r="C32" s="100"/>
      <c r="D32" s="101"/>
      <c r="E32" s="100"/>
      <c r="F32" s="67"/>
      <c r="G32" s="67"/>
      <c r="H32" s="67"/>
    </row>
    <row r="33" spans="1:23" ht="15.6">
      <c r="A33" s="100"/>
      <c r="B33" s="101"/>
      <c r="C33" s="100"/>
      <c r="D33" s="101"/>
      <c r="E33" s="100"/>
      <c r="F33" s="5"/>
      <c r="G33" s="5"/>
      <c r="H33" s="5"/>
    </row>
    <row r="34" spans="1:23" ht="15.6">
      <c r="A34" s="100"/>
      <c r="B34" s="101"/>
      <c r="C34" s="100"/>
      <c r="D34" s="101"/>
      <c r="E34" s="100"/>
      <c r="F34" s="5"/>
      <c r="G34" s="5"/>
      <c r="H34" s="5"/>
    </row>
    <row r="35" spans="1:23" ht="15.6">
      <c r="A35" s="100"/>
      <c r="B35" s="101"/>
      <c r="C35" s="100"/>
      <c r="D35" s="101"/>
      <c r="E35" s="100"/>
      <c r="F35" s="5"/>
      <c r="G35" s="5"/>
      <c r="H35" s="5"/>
    </row>
    <row r="36" spans="1:23">
      <c r="A36" s="5"/>
      <c r="B36" s="5"/>
      <c r="C36" s="5"/>
      <c r="D36" s="102"/>
      <c r="E36" s="103"/>
      <c r="F36" s="103"/>
      <c r="G36" s="5"/>
      <c r="H36" s="5"/>
      <c r="I36" s="25"/>
      <c r="J36" s="25"/>
      <c r="K36" s="25"/>
      <c r="L36" s="25"/>
      <c r="M36" s="25"/>
      <c r="N36" s="25"/>
      <c r="O36" s="25"/>
      <c r="P36" s="25"/>
    </row>
    <row r="37" spans="1:23">
      <c r="A37" s="5"/>
      <c r="B37" s="5"/>
      <c r="C37" s="5"/>
      <c r="D37" s="5"/>
      <c r="E37" s="5"/>
      <c r="F37" s="5"/>
      <c r="G37" s="5"/>
      <c r="H37" s="5"/>
      <c r="I37" s="25"/>
      <c r="J37" s="25"/>
      <c r="K37" s="25"/>
      <c r="L37" s="25"/>
      <c r="M37" s="25"/>
      <c r="N37" s="25"/>
      <c r="O37" s="25"/>
      <c r="P37" s="25"/>
    </row>
    <row r="38" spans="1:23">
      <c r="A38" s="5"/>
      <c r="B38" s="5"/>
      <c r="C38" s="5"/>
      <c r="D38" s="5"/>
      <c r="E38" s="5"/>
      <c r="F38" s="5"/>
      <c r="G38" s="5"/>
      <c r="H38" s="5"/>
      <c r="I38" s="99"/>
      <c r="J38" s="25"/>
      <c r="K38" s="25"/>
      <c r="L38" s="25"/>
      <c r="M38" s="25"/>
      <c r="N38" s="25"/>
      <c r="O38" s="25"/>
      <c r="P38" s="25"/>
    </row>
    <row r="39" spans="1:23">
      <c r="A39" s="5"/>
      <c r="B39" s="5"/>
      <c r="C39" s="5"/>
      <c r="D39" s="5"/>
      <c r="E39" s="5"/>
      <c r="F39" s="5"/>
      <c r="G39" s="5"/>
      <c r="H39" s="5"/>
      <c r="I39" s="25"/>
      <c r="J39" s="25"/>
      <c r="K39" s="25"/>
      <c r="L39" s="25"/>
      <c r="M39" s="25"/>
      <c r="N39" s="25"/>
      <c r="O39" s="25"/>
      <c r="P39" s="25"/>
    </row>
    <row r="40" spans="1:23">
      <c r="A40" s="5"/>
      <c r="B40" s="5"/>
      <c r="C40" s="5"/>
      <c r="D40" s="5"/>
      <c r="E40" s="5"/>
      <c r="F40" s="5"/>
      <c r="G40" s="5"/>
      <c r="H40" s="5"/>
      <c r="I40" s="25"/>
      <c r="J40" s="25"/>
      <c r="K40" s="25"/>
      <c r="L40" s="25"/>
      <c r="M40" s="25"/>
      <c r="N40" s="25"/>
      <c r="O40" s="25"/>
      <c r="P40" s="25"/>
    </row>
    <row r="41" spans="1:23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</row>
    <row r="42" spans="1:23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</row>
    <row r="43" spans="1:2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</row>
    <row r="44" spans="1:23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U44" s="25"/>
      <c r="V44" s="25"/>
      <c r="W44" s="25"/>
    </row>
    <row r="45" spans="1:23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U45" s="25"/>
      <c r="V45" s="25"/>
      <c r="W45" s="25"/>
    </row>
    <row r="46" spans="1:23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U46" s="25"/>
      <c r="V46" s="25"/>
      <c r="W46" s="82"/>
    </row>
    <row r="47" spans="1:23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U47" s="25"/>
      <c r="V47" s="25"/>
      <c r="W47" s="25"/>
    </row>
    <row r="48" spans="1:23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U48" s="25"/>
      <c r="V48" s="25"/>
      <c r="W48" s="25"/>
    </row>
    <row r="49" spans="1:16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</row>
    <row r="50" spans="1:16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</row>
    <row r="51" spans="1:16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</row>
    <row r="52" spans="1:16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</row>
    <row r="53" spans="1:16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</row>
    <row r="54" spans="1:16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</row>
    <row r="55" spans="1:16">
      <c r="I55" s="25"/>
      <c r="J55" s="25"/>
      <c r="K55" s="25"/>
      <c r="L55" s="25"/>
      <c r="M55" s="25"/>
      <c r="N55" s="25"/>
      <c r="O55" s="25"/>
      <c r="P55" s="25"/>
    </row>
    <row r="56" spans="1:16">
      <c r="I56" s="25"/>
      <c r="J56" s="25"/>
      <c r="K56" s="25"/>
      <c r="L56" s="25"/>
      <c r="M56" s="25"/>
      <c r="N56" s="25"/>
      <c r="O56" s="82"/>
      <c r="P56" s="25"/>
    </row>
    <row r="57" spans="1:16">
      <c r="I57" s="25"/>
      <c r="J57" s="25"/>
      <c r="K57" s="25"/>
      <c r="L57" s="25"/>
      <c r="M57" s="25"/>
      <c r="N57" s="25"/>
      <c r="O57" s="25"/>
      <c r="P57" s="25"/>
    </row>
    <row r="66" spans="1:24">
      <c r="A66" s="5"/>
      <c r="B66" s="5"/>
      <c r="C66" s="5"/>
      <c r="D66" s="5"/>
      <c r="E66" s="5"/>
      <c r="F66" s="5"/>
      <c r="G66" s="5"/>
    </row>
    <row r="67" spans="1:24">
      <c r="A67" s="5"/>
      <c r="B67" s="5"/>
      <c r="C67" s="5"/>
      <c r="D67" s="5"/>
      <c r="E67" s="5"/>
      <c r="F67" s="5"/>
      <c r="G67" s="5"/>
      <c r="H67" s="99"/>
    </row>
    <row r="68" spans="1:24">
      <c r="A68" s="5"/>
      <c r="B68" s="5"/>
      <c r="C68" s="5"/>
      <c r="D68" s="102"/>
      <c r="E68" s="103"/>
      <c r="F68" s="103"/>
      <c r="G68" s="5"/>
    </row>
    <row r="69" spans="1:24">
      <c r="A69" s="5"/>
      <c r="B69" s="5"/>
      <c r="C69" s="5"/>
      <c r="D69" s="5"/>
      <c r="E69" s="5"/>
      <c r="F69" s="5"/>
      <c r="G69" s="5"/>
    </row>
    <row r="70" spans="1:24">
      <c r="A70" s="5"/>
      <c r="B70" s="5"/>
      <c r="C70" s="5"/>
      <c r="D70" s="5"/>
      <c r="E70" s="5"/>
      <c r="F70" s="5"/>
      <c r="G70" s="5"/>
      <c r="I70" s="4"/>
    </row>
    <row r="77" spans="1:24">
      <c r="W77" s="1"/>
      <c r="X77" s="7"/>
    </row>
    <row r="78" spans="1:24">
      <c r="W78" s="1"/>
      <c r="X78" s="1"/>
    </row>
    <row r="96" spans="5:17"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</row>
    <row r="97" spans="1:28">
      <c r="E97" s="133"/>
      <c r="F97" s="206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</row>
    <row r="98" spans="1:28"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</row>
    <row r="99" spans="1:28"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</row>
    <row r="100" spans="1:28"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206"/>
      <c r="P100" s="133"/>
      <c r="Q100" s="133"/>
    </row>
    <row r="101" spans="1:28"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</row>
    <row r="102" spans="1:28"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</row>
    <row r="103" spans="1:28">
      <c r="A103" t="s">
        <v>146</v>
      </c>
      <c r="E103" s="133">
        <f>0.284+0.769</f>
        <v>1.0529999999999999</v>
      </c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</row>
    <row r="104" spans="1:28">
      <c r="A104" t="s">
        <v>147</v>
      </c>
      <c r="E104" s="133">
        <v>0.04</v>
      </c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</row>
    <row r="105" spans="1:28">
      <c r="A105" t="s">
        <v>44</v>
      </c>
      <c r="B105" t="s">
        <v>153</v>
      </c>
      <c r="C105" t="s">
        <v>154</v>
      </c>
    </row>
    <row r="106" spans="1:28">
      <c r="C106" t="s">
        <v>148</v>
      </c>
      <c r="G106" s="25"/>
    </row>
    <row r="107" spans="1:28" ht="28.8">
      <c r="A107" s="78" t="s">
        <v>144</v>
      </c>
      <c r="B107" s="79" t="s">
        <v>5</v>
      </c>
      <c r="C107" s="154" t="s">
        <v>163</v>
      </c>
      <c r="D107" s="154" t="s">
        <v>9</v>
      </c>
      <c r="E107" s="78" t="s">
        <v>42</v>
      </c>
      <c r="F107" s="148" t="s">
        <v>29</v>
      </c>
      <c r="G107" s="78" t="s">
        <v>149</v>
      </c>
      <c r="H107" s="130" t="s">
        <v>144</v>
      </c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  <c r="AA107" s="133"/>
      <c r="AB107" s="133"/>
    </row>
    <row r="108" spans="1:28">
      <c r="A108" s="78" t="s">
        <v>8</v>
      </c>
      <c r="B108" s="79">
        <v>0.43</v>
      </c>
      <c r="C108" s="178">
        <v>3.0639599999999998</v>
      </c>
      <c r="D108" s="178">
        <f>C108-E104</f>
        <v>3.0239599999999998</v>
      </c>
      <c r="E108" s="179">
        <v>7.2777599999999998</v>
      </c>
      <c r="F108" s="84">
        <v>5.13</v>
      </c>
      <c r="G108" s="180">
        <f>ATAN(0.6984)*(180/PI())</f>
        <v>34.930448270712404</v>
      </c>
      <c r="H108" s="131" t="s">
        <v>151</v>
      </c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206"/>
      <c r="Y108" s="133"/>
      <c r="Z108" s="133"/>
      <c r="AA108" s="133"/>
      <c r="AB108" s="133"/>
    </row>
    <row r="109" spans="1:28">
      <c r="A109" s="85"/>
      <c r="B109" s="85"/>
      <c r="C109" s="172">
        <v>5.0749199999999997</v>
      </c>
      <c r="D109" s="172">
        <f>C109-E105</f>
        <v>5.0749199999999997</v>
      </c>
      <c r="E109" s="176">
        <v>8.6183999999999994</v>
      </c>
      <c r="F109" s="96"/>
      <c r="G109" s="85"/>
      <c r="H109" s="152" t="s">
        <v>151</v>
      </c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</row>
    <row r="110" spans="1:28">
      <c r="A110" s="86"/>
      <c r="B110" s="86"/>
      <c r="C110" s="175">
        <v>8.0434799999999989</v>
      </c>
      <c r="D110" s="175">
        <f>C110-E106</f>
        <v>8.0434799999999989</v>
      </c>
      <c r="E110" s="177">
        <v>10.773</v>
      </c>
      <c r="F110" s="97"/>
      <c r="G110" s="86"/>
      <c r="H110" s="93" t="s">
        <v>151</v>
      </c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  <c r="AB110" s="133"/>
    </row>
    <row r="111" spans="1:28">
      <c r="A111" s="89"/>
      <c r="B111" s="94"/>
      <c r="C111" s="181">
        <v>0.2</v>
      </c>
      <c r="D111" s="184">
        <v>0.2</v>
      </c>
      <c r="E111" s="181">
        <v>2.3149999999999999</v>
      </c>
      <c r="F111" s="94"/>
      <c r="G111" s="90"/>
      <c r="H111" s="94" t="s">
        <v>162</v>
      </c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</row>
    <row r="112" spans="1:28">
      <c r="A112" s="91"/>
      <c r="B112" s="95"/>
      <c r="C112" s="173">
        <v>1</v>
      </c>
      <c r="D112" s="185">
        <v>0.85</v>
      </c>
      <c r="E112" s="173">
        <v>2.0870000000000002</v>
      </c>
      <c r="F112" s="95"/>
      <c r="G112" s="81"/>
      <c r="H112" s="95" t="s">
        <v>162</v>
      </c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</row>
    <row r="113" spans="1:28">
      <c r="A113" s="91" t="s">
        <v>7</v>
      </c>
      <c r="B113" s="95">
        <v>0.9</v>
      </c>
      <c r="C113" s="173">
        <v>4.2130799999999997</v>
      </c>
      <c r="D113" s="185">
        <f>C113-$E$104</f>
        <v>4.1730799999999997</v>
      </c>
      <c r="E113" s="173">
        <v>6.17652</v>
      </c>
      <c r="F113" s="95">
        <v>0</v>
      </c>
      <c r="G113" s="105">
        <f>ATAN(0.7144)*(180/PI())</f>
        <v>35.542013454433992</v>
      </c>
      <c r="H113" s="95" t="s">
        <v>151</v>
      </c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</row>
    <row r="114" spans="1:28">
      <c r="A114" s="91"/>
      <c r="B114" s="95"/>
      <c r="C114" s="173">
        <v>20</v>
      </c>
      <c r="D114" s="185">
        <v>19.850000000000001</v>
      </c>
      <c r="E114" s="173">
        <v>15.93</v>
      </c>
      <c r="F114" s="95"/>
      <c r="G114" s="105"/>
      <c r="H114" s="95" t="s">
        <v>162</v>
      </c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</row>
    <row r="115" spans="1:28">
      <c r="A115" s="91"/>
      <c r="B115" s="95"/>
      <c r="C115" s="173">
        <v>40</v>
      </c>
      <c r="D115" s="185">
        <v>39.85</v>
      </c>
      <c r="E115" s="173">
        <v>32.299999999999997</v>
      </c>
      <c r="F115" s="95"/>
      <c r="G115" s="105"/>
      <c r="H115" s="95" t="s">
        <v>162</v>
      </c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</row>
    <row r="116" spans="1:28">
      <c r="A116" s="91"/>
      <c r="B116" s="152"/>
      <c r="C116" s="173">
        <v>50</v>
      </c>
      <c r="D116" s="185">
        <v>49.85</v>
      </c>
      <c r="E116" s="173">
        <v>39.356000000000002</v>
      </c>
      <c r="F116" s="152"/>
      <c r="G116" s="67"/>
      <c r="H116" s="95" t="s">
        <v>151</v>
      </c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3"/>
    </row>
    <row r="117" spans="1:28">
      <c r="A117" s="91"/>
      <c r="B117" s="95"/>
      <c r="C117" s="173">
        <v>60</v>
      </c>
      <c r="D117" s="185">
        <v>59.85</v>
      </c>
      <c r="E117" s="173">
        <v>38.18</v>
      </c>
      <c r="F117" s="95"/>
      <c r="G117" s="105"/>
      <c r="H117" s="95" t="s">
        <v>151</v>
      </c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</row>
    <row r="118" spans="1:28">
      <c r="A118" s="91"/>
      <c r="B118" s="152"/>
      <c r="C118" s="173">
        <v>60</v>
      </c>
      <c r="D118" s="185">
        <v>59.85</v>
      </c>
      <c r="E118" s="173">
        <v>34.159999999999997</v>
      </c>
      <c r="F118" s="152"/>
      <c r="G118" s="67"/>
      <c r="H118" s="95" t="s">
        <v>151</v>
      </c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</row>
    <row r="119" spans="1:28">
      <c r="A119" s="182"/>
      <c r="B119" s="152"/>
      <c r="C119" s="173">
        <v>80</v>
      </c>
      <c r="D119" s="185">
        <v>79.849999999999994</v>
      </c>
      <c r="E119" s="183">
        <v>60.917656848510553</v>
      </c>
      <c r="F119" s="152"/>
      <c r="G119" s="67"/>
      <c r="H119" s="152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</row>
    <row r="120" spans="1:28">
      <c r="A120" s="91"/>
      <c r="B120" s="152"/>
      <c r="C120" s="173">
        <v>120</v>
      </c>
      <c r="D120" s="185">
        <v>119.85</v>
      </c>
      <c r="E120" s="173">
        <v>86.778000000000006</v>
      </c>
      <c r="F120" s="152"/>
      <c r="G120" s="67"/>
      <c r="H120" s="95" t="s">
        <v>151</v>
      </c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</row>
    <row r="121" spans="1:28">
      <c r="A121" s="91"/>
      <c r="B121" s="95"/>
      <c r="C121" s="173">
        <v>7.0379999999999994</v>
      </c>
      <c r="D121" s="185">
        <f t="shared" ref="D121:D126" si="2">C121-$E$104</f>
        <v>6.9979999999999993</v>
      </c>
      <c r="E121" s="173">
        <v>9.5760000000000005</v>
      </c>
      <c r="F121" s="95"/>
      <c r="G121" s="105"/>
      <c r="H121" s="95" t="s">
        <v>151</v>
      </c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</row>
    <row r="122" spans="1:28">
      <c r="A122" s="104"/>
      <c r="B122" s="150"/>
      <c r="C122" s="174">
        <v>13.023</v>
      </c>
      <c r="D122" s="186">
        <f t="shared" si="2"/>
        <v>12.983000000000001</v>
      </c>
      <c r="E122" s="174">
        <v>14.65128</v>
      </c>
      <c r="F122" s="150"/>
      <c r="G122" s="106"/>
      <c r="H122" s="95" t="s">
        <v>151</v>
      </c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</row>
    <row r="123" spans="1:28">
      <c r="A123" s="77" t="s">
        <v>6</v>
      </c>
      <c r="B123" s="85">
        <v>1.17</v>
      </c>
      <c r="C123" s="172">
        <v>5.0270399999999995</v>
      </c>
      <c r="D123" s="172">
        <f t="shared" si="2"/>
        <v>4.9870399999999995</v>
      </c>
      <c r="E123" s="176">
        <v>7.5650399999999998</v>
      </c>
      <c r="F123" s="80">
        <v>2.2869000000000002</v>
      </c>
      <c r="G123" s="187">
        <f>ATAN(1.02)*(180/PI())</f>
        <v>45.567266409857936</v>
      </c>
      <c r="H123" s="78" t="s">
        <v>151</v>
      </c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</row>
    <row r="124" spans="1:28">
      <c r="A124" s="77"/>
      <c r="B124" s="85"/>
      <c r="C124" s="172">
        <v>7.0379999999999994</v>
      </c>
      <c r="D124" s="172">
        <f t="shared" si="2"/>
        <v>6.9979999999999993</v>
      </c>
      <c r="E124" s="176">
        <v>9.7675199999999993</v>
      </c>
      <c r="F124" s="80"/>
      <c r="G124" s="187"/>
      <c r="H124" s="77" t="s">
        <v>151</v>
      </c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</row>
    <row r="125" spans="1:28">
      <c r="A125" s="77"/>
      <c r="B125" s="85"/>
      <c r="C125" s="172">
        <v>17.044920000000001</v>
      </c>
      <c r="D125" s="172">
        <f t="shared" si="2"/>
        <v>17.004920000000002</v>
      </c>
      <c r="E125" s="176">
        <v>18.673200000000001</v>
      </c>
      <c r="F125" s="80"/>
      <c r="G125" s="187"/>
      <c r="H125" s="77" t="s">
        <v>151</v>
      </c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</row>
    <row r="126" spans="1:28">
      <c r="A126" s="88"/>
      <c r="B126" s="86"/>
      <c r="C126" s="175">
        <v>29.780999999999999</v>
      </c>
      <c r="D126" s="175">
        <f t="shared" si="2"/>
        <v>29.741</v>
      </c>
      <c r="E126" s="177">
        <v>33.085079999999998</v>
      </c>
      <c r="F126" s="87"/>
      <c r="G126" s="86"/>
      <c r="H126" s="88" t="s">
        <v>151</v>
      </c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</row>
    <row r="127" spans="1:28"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</row>
    <row r="128" spans="1:28"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</row>
    <row r="129" spans="11:28"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</row>
    <row r="130" spans="11:28"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</row>
    <row r="131" spans="11:28"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</row>
    <row r="132" spans="11:28"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</row>
    <row r="133" spans="11:28"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</row>
    <row r="134" spans="11:28">
      <c r="K134" s="133"/>
      <c r="L134" s="133"/>
      <c r="M134" s="133"/>
      <c r="N134" s="206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</row>
    <row r="135" spans="11:28"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</row>
    <row r="136" spans="11:28"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  <c r="AB136" s="133"/>
    </row>
    <row r="137" spans="11:28"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</row>
    <row r="138" spans="11:28"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  <c r="AA138" s="133"/>
      <c r="AB138" s="133"/>
    </row>
    <row r="139" spans="11:28"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  <c r="AB139" s="133"/>
    </row>
    <row r="140" spans="11:28"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  <c r="AA140" s="133"/>
      <c r="AB140" s="133"/>
    </row>
  </sheetData>
  <pageMargins left="0.7" right="0.7" top="0.75" bottom="0.75" header="0.3" footer="0.3"/>
  <pageSetup orientation="portrait" horizontalDpi="200" verticalDpi="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B17"/>
  <sheetViews>
    <sheetView workbookViewId="0">
      <selection activeCell="H22" sqref="H22"/>
    </sheetView>
  </sheetViews>
  <sheetFormatPr defaultRowHeight="14.4"/>
  <sheetData>
    <row r="2" spans="2:2">
      <c r="B2" s="195" t="s">
        <v>166</v>
      </c>
    </row>
    <row r="3" spans="2:2" ht="15">
      <c r="B3" s="196" t="s">
        <v>167</v>
      </c>
    </row>
    <row r="4" spans="2:2" ht="15">
      <c r="B4" s="196"/>
    </row>
    <row r="5" spans="2:2" ht="15">
      <c r="B5" s="196" t="s">
        <v>168</v>
      </c>
    </row>
    <row r="6" spans="2:2" ht="15">
      <c r="B6" s="196"/>
    </row>
    <row r="7" spans="2:2" ht="15">
      <c r="B7" s="196" t="s">
        <v>169</v>
      </c>
    </row>
    <row r="8" spans="2:2" ht="15">
      <c r="B8" s="196"/>
    </row>
    <row r="9" spans="2:2" ht="15">
      <c r="B9" s="196" t="s">
        <v>170</v>
      </c>
    </row>
    <row r="10" spans="2:2" ht="15">
      <c r="B10" s="196"/>
    </row>
    <row r="11" spans="2:2" ht="15">
      <c r="B11" s="196" t="s">
        <v>171</v>
      </c>
    </row>
    <row r="12" spans="2:2" ht="15">
      <c r="B12" s="196"/>
    </row>
    <row r="13" spans="2:2" ht="15">
      <c r="B13" s="196" t="s">
        <v>172</v>
      </c>
    </row>
    <row r="14" spans="2:2" ht="15">
      <c r="B14" s="196"/>
    </row>
    <row r="15" spans="2:2" ht="15">
      <c r="B15" s="196" t="s">
        <v>173</v>
      </c>
    </row>
    <row r="17" spans="2:2" ht="15">
      <c r="B17" s="196" t="s">
        <v>174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6"/>
  <dimension ref="A1:D71"/>
  <sheetViews>
    <sheetView workbookViewId="0">
      <selection activeCell="Q76" sqref="Q76"/>
    </sheetView>
  </sheetViews>
  <sheetFormatPr defaultRowHeight="14.4"/>
  <cols>
    <col min="1" max="1" width="12.88671875" bestFit="1" customWidth="1"/>
  </cols>
  <sheetData>
    <row r="1" spans="1:2">
      <c r="A1" t="s">
        <v>0</v>
      </c>
    </row>
    <row r="3" spans="1:2">
      <c r="A3" s="2" t="s">
        <v>1</v>
      </c>
    </row>
    <row r="4" spans="1:2">
      <c r="A4" s="59" t="s">
        <v>2</v>
      </c>
    </row>
    <row r="5" spans="1:2">
      <c r="A5" s="5" t="s">
        <v>37</v>
      </c>
      <c r="B5" s="1">
        <v>2.6</v>
      </c>
    </row>
    <row r="6" spans="1:2">
      <c r="A6" t="s">
        <v>31</v>
      </c>
      <c r="B6">
        <v>168.69</v>
      </c>
    </row>
    <row r="7" spans="1:2">
      <c r="A7" t="s">
        <v>32</v>
      </c>
      <c r="B7">
        <v>265.3</v>
      </c>
    </row>
    <row r="8" spans="1:2">
      <c r="A8" t="s">
        <v>33</v>
      </c>
      <c r="B8">
        <f>B7-B6</f>
        <v>96.610000000000014</v>
      </c>
    </row>
    <row r="9" spans="1:2">
      <c r="A9" t="s">
        <v>34</v>
      </c>
      <c r="B9">
        <f>(95.88-84.88)/(84.88-39.04)</f>
        <v>0.23996509598603841</v>
      </c>
    </row>
    <row r="10" spans="1:2">
      <c r="A10" t="s">
        <v>35</v>
      </c>
      <c r="B10">
        <f>B8/(1+B9)</f>
        <v>77.91348346235047</v>
      </c>
    </row>
    <row r="11" spans="1:2">
      <c r="A11" t="s">
        <v>36</v>
      </c>
      <c r="B11">
        <f>1-(45.884/(B5*1*0.25*PI()*6.13^2))</f>
        <v>0.40203317145713491</v>
      </c>
    </row>
    <row r="12" spans="1:2">
      <c r="A12" t="s">
        <v>38</v>
      </c>
    </row>
    <row r="13" spans="1:2">
      <c r="A13" t="s">
        <v>39</v>
      </c>
      <c r="B13">
        <f>B14*B15</f>
        <v>92.080024128049075</v>
      </c>
    </row>
    <row r="14" spans="1:2">
      <c r="A14" t="s">
        <v>40</v>
      </c>
      <c r="B14">
        <f>PI()*0.25*6.13^2</f>
        <v>29.512828246169576</v>
      </c>
    </row>
    <row r="15" spans="1:2">
      <c r="A15" t="s">
        <v>41</v>
      </c>
      <c r="B15">
        <f>6.62-3.5</f>
        <v>3.12</v>
      </c>
    </row>
    <row r="16" spans="1:2">
      <c r="A16" t="s">
        <v>45</v>
      </c>
      <c r="B16">
        <f>325.9-154.6</f>
        <v>171.29999999999998</v>
      </c>
    </row>
    <row r="17" spans="1:4">
      <c r="A17" t="s">
        <v>46</v>
      </c>
      <c r="B17">
        <f>283.5-154.6</f>
        <v>128.9</v>
      </c>
      <c r="D17">
        <f>B16/B13</f>
        <v>1.8603383483239033</v>
      </c>
    </row>
    <row r="18" spans="1:4">
      <c r="A18" t="s">
        <v>25</v>
      </c>
      <c r="B18">
        <f>1-(B17/(B5*B13))</f>
        <v>0.46158872625858549</v>
      </c>
      <c r="C18" s="8">
        <f>(B16-B17)/B13</f>
        <v>0.46046903659622573</v>
      </c>
    </row>
    <row r="19" spans="1:4">
      <c r="A19" t="s">
        <v>47</v>
      </c>
      <c r="B19">
        <f>B18*B13</f>
        <v>42.503101051125995</v>
      </c>
      <c r="C19">
        <f>C18*B13</f>
        <v>42.399999999999977</v>
      </c>
    </row>
    <row r="21" spans="1:4">
      <c r="A21" s="59" t="s">
        <v>3</v>
      </c>
    </row>
    <row r="22" spans="1:4">
      <c r="A22" s="5" t="s">
        <v>37</v>
      </c>
      <c r="B22" s="1">
        <v>2.4</v>
      </c>
    </row>
    <row r="23" spans="1:4">
      <c r="A23" t="s">
        <v>31</v>
      </c>
      <c r="B23">
        <v>156.69999999999999</v>
      </c>
    </row>
    <row r="24" spans="1:4">
      <c r="A24" t="s">
        <v>32</v>
      </c>
      <c r="B24">
        <v>337.8</v>
      </c>
    </row>
    <row r="25" spans="1:4">
      <c r="A25" t="s">
        <v>33</v>
      </c>
      <c r="B25">
        <f>B24-B23</f>
        <v>181.10000000000002</v>
      </c>
    </row>
    <row r="27" spans="1:4">
      <c r="A27" t="s">
        <v>39</v>
      </c>
      <c r="B27">
        <f>B28*B29</f>
        <v>103.8851554265169</v>
      </c>
    </row>
    <row r="28" spans="1:4">
      <c r="A28" t="s">
        <v>40</v>
      </c>
      <c r="B28">
        <f>PI()*0.25*6.13^2</f>
        <v>29.512828246169576</v>
      </c>
    </row>
    <row r="29" spans="1:4">
      <c r="A29" t="s">
        <v>41</v>
      </c>
      <c r="B29">
        <f>6.62-3.1</f>
        <v>3.52</v>
      </c>
    </row>
    <row r="30" spans="1:4">
      <c r="A30" t="s">
        <v>45</v>
      </c>
      <c r="B30">
        <v>197.06</v>
      </c>
    </row>
    <row r="31" spans="1:4">
      <c r="A31" t="s">
        <v>46</v>
      </c>
      <c r="B31">
        <f>303.8-B23</f>
        <v>147.10000000000002</v>
      </c>
      <c r="D31">
        <f>B30/B27</f>
        <v>1.8969023937148581</v>
      </c>
    </row>
    <row r="32" spans="1:4">
      <c r="A32" t="s">
        <v>25</v>
      </c>
      <c r="B32">
        <f>1-(B31/(B22*B27))</f>
        <v>0.41000553529497008</v>
      </c>
      <c r="C32" s="8">
        <f>(B30-B31)/B27</f>
        <v>0.48091567842278632</v>
      </c>
    </row>
    <row r="33" spans="1:3">
      <c r="A33" t="s">
        <v>47</v>
      </c>
      <c r="B33">
        <f>B32*B27</f>
        <v>42.593488759850231</v>
      </c>
      <c r="C33">
        <f>C32*B27</f>
        <v>49.95999999999998</v>
      </c>
    </row>
    <row r="35" spans="1:3">
      <c r="A35" s="59" t="s">
        <v>43</v>
      </c>
    </row>
    <row r="36" spans="1:3">
      <c r="A36" s="5" t="s">
        <v>37</v>
      </c>
      <c r="B36" s="1">
        <v>2.6</v>
      </c>
    </row>
    <row r="37" spans="1:3">
      <c r="A37" t="s">
        <v>31</v>
      </c>
      <c r="B37">
        <v>156.69999999999999</v>
      </c>
    </row>
    <row r="38" spans="1:3">
      <c r="A38" t="s">
        <v>32</v>
      </c>
      <c r="B38">
        <v>268.93</v>
      </c>
    </row>
    <row r="39" spans="1:3">
      <c r="A39" t="s">
        <v>35</v>
      </c>
      <c r="B39">
        <v>233.79</v>
      </c>
    </row>
    <row r="41" spans="1:3">
      <c r="A41" t="s">
        <v>39</v>
      </c>
      <c r="B41">
        <f>B42*B43</f>
        <v>82.045662524351428</v>
      </c>
    </row>
    <row r="42" spans="1:3">
      <c r="A42" t="s">
        <v>40</v>
      </c>
      <c r="B42">
        <f>PI()*0.25*6.13^2</f>
        <v>29.512828246169576</v>
      </c>
    </row>
    <row r="43" spans="1:3">
      <c r="A43" t="s">
        <v>41</v>
      </c>
      <c r="B43">
        <f>6.62-3.84</f>
        <v>2.7800000000000002</v>
      </c>
    </row>
    <row r="44" spans="1:3">
      <c r="A44" t="s">
        <v>45</v>
      </c>
      <c r="B44">
        <f>306.8-B37</f>
        <v>150.10000000000002</v>
      </c>
    </row>
    <row r="45" spans="1:3">
      <c r="A45" t="s">
        <v>46</v>
      </c>
      <c r="B45">
        <f>270.45-B37</f>
        <v>113.75</v>
      </c>
    </row>
    <row r="46" spans="1:3">
      <c r="A46" t="s">
        <v>25</v>
      </c>
      <c r="B46" s="60">
        <f>1-(B45/(B36*B41))</f>
        <v>0.46676035449144126</v>
      </c>
      <c r="C46" s="74">
        <f>(B44-B45)/B41</f>
        <v>0.44304596832539711</v>
      </c>
    </row>
    <row r="47" spans="1:3">
      <c r="A47" t="s">
        <v>47</v>
      </c>
      <c r="B47">
        <f>B46*B41</f>
        <v>38.295662524351428</v>
      </c>
      <c r="C47">
        <f>C46*B41</f>
        <v>36.350000000000023</v>
      </c>
    </row>
    <row r="49" spans="1:4">
      <c r="A49" s="59" t="s">
        <v>140</v>
      </c>
    </row>
    <row r="50" spans="1:4">
      <c r="A50" s="5" t="s">
        <v>37</v>
      </c>
      <c r="B50" s="1">
        <v>2.57</v>
      </c>
    </row>
    <row r="51" spans="1:4">
      <c r="A51" t="s">
        <v>31</v>
      </c>
      <c r="B51">
        <v>168.9</v>
      </c>
    </row>
    <row r="52" spans="1:4">
      <c r="A52" t="s">
        <v>141</v>
      </c>
      <c r="B52">
        <v>331.3</v>
      </c>
    </row>
    <row r="53" spans="1:4">
      <c r="A53" t="s">
        <v>35</v>
      </c>
      <c r="B53">
        <f>(B54-B51)/(1+D59)</f>
        <v>124.67720496894411</v>
      </c>
    </row>
    <row r="54" spans="1:4">
      <c r="A54" t="s">
        <v>142</v>
      </c>
      <c r="B54">
        <v>343.6</v>
      </c>
    </row>
    <row r="55" spans="1:4">
      <c r="A55" t="s">
        <v>39</v>
      </c>
      <c r="B55">
        <f>B56*B57</f>
        <v>89.128741303432122</v>
      </c>
    </row>
    <row r="56" spans="1:4">
      <c r="A56" t="s">
        <v>40</v>
      </c>
      <c r="B56">
        <f>PI()*0.25*6.13^2</f>
        <v>29.512828246169576</v>
      </c>
    </row>
    <row r="57" spans="1:4">
      <c r="A57" t="s">
        <v>41</v>
      </c>
      <c r="B57">
        <v>3.02</v>
      </c>
    </row>
    <row r="58" spans="1:4">
      <c r="A58" t="s">
        <v>45</v>
      </c>
      <c r="B58">
        <f>261.3-100.3</f>
        <v>161</v>
      </c>
      <c r="D58">
        <f>B58/B55</f>
        <v>1.8063757845730992</v>
      </c>
    </row>
    <row r="59" spans="1:4">
      <c r="A59" t="s">
        <v>46</v>
      </c>
      <c r="B59">
        <f>215.2-100.3</f>
        <v>114.89999999999999</v>
      </c>
      <c r="D59">
        <f>(B58-B59)/B59</f>
        <v>0.40121845082680602</v>
      </c>
    </row>
    <row r="60" spans="1:4">
      <c r="A60" t="s">
        <v>25</v>
      </c>
      <c r="B60" s="60">
        <f>1-(B59/(B50*B55))</f>
        <v>0.49838659727034551</v>
      </c>
      <c r="C60" s="74">
        <f>(B58-B59)/B55</f>
        <v>0.51722933955788752</v>
      </c>
    </row>
    <row r="61" spans="1:4">
      <c r="A61" t="s">
        <v>47</v>
      </c>
      <c r="B61">
        <f>B60*B55</f>
        <v>44.420570097206436</v>
      </c>
      <c r="C61">
        <f>C60*B55</f>
        <v>46.100000000000009</v>
      </c>
    </row>
    <row r="63" spans="1:4">
      <c r="A63" s="59" t="s">
        <v>143</v>
      </c>
    </row>
    <row r="64" spans="1:4">
      <c r="A64" s="5" t="s">
        <v>37</v>
      </c>
      <c r="B64" s="1">
        <v>2.57</v>
      </c>
    </row>
    <row r="65" spans="1:4">
      <c r="A65" t="s">
        <v>39</v>
      </c>
      <c r="B65">
        <f>B66*B67</f>
        <v>88.538484738508728</v>
      </c>
    </row>
    <row r="66" spans="1:4">
      <c r="A66" t="s">
        <v>40</v>
      </c>
      <c r="B66">
        <f>PI()*0.25*6.13^2</f>
        <v>29.512828246169576</v>
      </c>
    </row>
    <row r="67" spans="1:4">
      <c r="A67" t="s">
        <v>41</v>
      </c>
      <c r="B67">
        <v>3</v>
      </c>
    </row>
    <row r="68" spans="1:4">
      <c r="A68" t="s">
        <v>45</v>
      </c>
      <c r="B68">
        <v>158</v>
      </c>
      <c r="D68">
        <f>B68/B65</f>
        <v>1.7845347191861285</v>
      </c>
    </row>
    <row r="69" spans="1:4">
      <c r="A69" t="s">
        <v>46</v>
      </c>
      <c r="B69">
        <v>112</v>
      </c>
      <c r="D69">
        <f>(B68-B69)/B69</f>
        <v>0.4107142857142857</v>
      </c>
    </row>
    <row r="70" spans="1:4">
      <c r="A70" t="s">
        <v>25</v>
      </c>
      <c r="B70" s="60">
        <f>1-(B69/(B64*B65))</f>
        <v>0.50778730101746938</v>
      </c>
      <c r="C70" s="74">
        <f>(B68-B69)/B65</f>
        <v>0.51954808280102471</v>
      </c>
    </row>
    <row r="71" spans="1:4">
      <c r="A71" t="s">
        <v>47</v>
      </c>
      <c r="B71">
        <f>B70*B65</f>
        <v>44.958718201543753</v>
      </c>
      <c r="C71">
        <f>C70*B65</f>
        <v>45.999999999999993</v>
      </c>
    </row>
  </sheetData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7"/>
  <dimension ref="A1:Z168"/>
  <sheetViews>
    <sheetView workbookViewId="0">
      <selection activeCell="C13" sqref="C13"/>
    </sheetView>
  </sheetViews>
  <sheetFormatPr defaultColWidth="9.109375" defaultRowHeight="13.2"/>
  <cols>
    <col min="1" max="16384" width="9.109375" style="10"/>
  </cols>
  <sheetData>
    <row r="1" spans="1:26">
      <c r="A1" s="9" t="s">
        <v>48</v>
      </c>
      <c r="I1" s="9" t="s">
        <v>48</v>
      </c>
      <c r="M1" s="11"/>
      <c r="O1" s="12"/>
      <c r="P1" s="12"/>
    </row>
    <row r="2" spans="1:26">
      <c r="A2" s="12" t="s">
        <v>49</v>
      </c>
      <c r="I2" s="12" t="s">
        <v>50</v>
      </c>
      <c r="M2" s="11"/>
      <c r="O2" s="12"/>
      <c r="X2" s="11"/>
      <c r="Y2" s="11"/>
      <c r="Z2" s="11"/>
    </row>
    <row r="3" spans="1:26">
      <c r="A3" s="13" t="s">
        <v>51</v>
      </c>
      <c r="B3" s="14">
        <v>4.2000000000000003E-2</v>
      </c>
      <c r="C3" s="10">
        <f>B3*10.19</f>
        <v>0.42798000000000003</v>
      </c>
      <c r="D3" s="10">
        <f>1/C3</f>
        <v>2.3365577830739754</v>
      </c>
      <c r="F3" s="15"/>
      <c r="G3" s="15"/>
      <c r="I3" s="13" t="s">
        <v>52</v>
      </c>
      <c r="J3" s="16">
        <v>4.2000000000000003E-2</v>
      </c>
      <c r="K3" s="10">
        <f>J3*10.19</f>
        <v>0.42798000000000003</v>
      </c>
      <c r="L3" s="10">
        <f>1/K3</f>
        <v>2.3365577830739754</v>
      </c>
      <c r="M3" s="11"/>
      <c r="O3" s="12"/>
      <c r="P3" s="17"/>
    </row>
    <row r="4" spans="1:26">
      <c r="A4" s="10" t="s">
        <v>53</v>
      </c>
      <c r="B4" s="17">
        <v>1.5860000000000001</v>
      </c>
      <c r="F4" s="18"/>
      <c r="G4" s="18"/>
      <c r="I4" s="10" t="s">
        <v>53</v>
      </c>
      <c r="J4" s="14">
        <v>1.55</v>
      </c>
      <c r="M4" s="11"/>
      <c r="P4" s="17"/>
    </row>
    <row r="5" spans="1:26">
      <c r="A5" s="10" t="s">
        <v>54</v>
      </c>
      <c r="B5" s="19">
        <f>1-1/B4</f>
        <v>0.36948297604035307</v>
      </c>
      <c r="F5" s="18"/>
      <c r="G5" s="18"/>
      <c r="I5" s="10" t="s">
        <v>54</v>
      </c>
      <c r="J5" s="19">
        <f>1-1/J4</f>
        <v>0.35483870967741937</v>
      </c>
      <c r="M5" s="11"/>
      <c r="P5" s="19"/>
    </row>
    <row r="6" spans="1:26" ht="15.6">
      <c r="A6" s="13" t="s">
        <v>55</v>
      </c>
      <c r="B6" s="17">
        <v>0.1</v>
      </c>
      <c r="F6" s="18"/>
      <c r="G6" s="18"/>
      <c r="I6" s="13" t="s">
        <v>55</v>
      </c>
      <c r="J6" s="17">
        <v>0.1</v>
      </c>
      <c r="M6" s="11"/>
      <c r="O6" s="13"/>
      <c r="P6" s="17"/>
    </row>
    <row r="7" spans="1:26" ht="15.6">
      <c r="A7" s="13" t="s">
        <v>56</v>
      </c>
      <c r="B7" s="20">
        <v>0.46</v>
      </c>
      <c r="F7" s="21"/>
      <c r="G7" s="21"/>
      <c r="I7" s="13" t="s">
        <v>56</v>
      </c>
      <c r="J7" s="22">
        <v>0.36799999999999999</v>
      </c>
      <c r="M7" s="11"/>
      <c r="O7" s="13"/>
      <c r="P7" s="20"/>
    </row>
    <row r="8" spans="1:26" ht="15.6">
      <c r="A8" s="12" t="s">
        <v>57</v>
      </c>
      <c r="B8" s="14">
        <v>1E-4</v>
      </c>
      <c r="F8" s="15"/>
      <c r="G8" s="15"/>
      <c r="I8" s="12" t="s">
        <v>57</v>
      </c>
      <c r="J8" s="14">
        <v>4.7899999999999999E-5</v>
      </c>
      <c r="M8" s="11"/>
      <c r="O8" s="12"/>
      <c r="P8" s="14"/>
    </row>
    <row r="9" spans="1:26">
      <c r="A9" s="12" t="s">
        <v>58</v>
      </c>
      <c r="B9" s="17">
        <v>0.5</v>
      </c>
      <c r="F9" s="18"/>
      <c r="G9" s="18"/>
      <c r="I9" s="12" t="s">
        <v>58</v>
      </c>
      <c r="J9" s="17">
        <v>0.5</v>
      </c>
      <c r="M9" s="11"/>
      <c r="O9" s="12"/>
      <c r="P9" s="17"/>
    </row>
    <row r="10" spans="1:26">
      <c r="A10" s="12"/>
      <c r="B10" s="12"/>
      <c r="I10" s="12"/>
      <c r="J10" s="12"/>
      <c r="M10" s="11"/>
      <c r="O10" s="12"/>
      <c r="P10" s="12"/>
    </row>
    <row r="11" spans="1:26">
      <c r="A11" s="10" t="s">
        <v>59</v>
      </c>
      <c r="I11" s="10" t="s">
        <v>59</v>
      </c>
      <c r="M11" s="11"/>
    </row>
    <row r="12" spans="1:26">
      <c r="M12" s="11"/>
    </row>
    <row r="13" spans="1:26">
      <c r="A13" s="10" t="s">
        <v>60</v>
      </c>
      <c r="B13" s="10" t="s">
        <v>61</v>
      </c>
      <c r="C13" s="13" t="s">
        <v>62</v>
      </c>
      <c r="D13" s="10" t="s">
        <v>63</v>
      </c>
      <c r="E13" s="12" t="s">
        <v>64</v>
      </c>
      <c r="G13" s="12" t="s">
        <v>65</v>
      </c>
      <c r="H13" s="12"/>
      <c r="I13" s="10" t="s">
        <v>60</v>
      </c>
      <c r="J13" s="10" t="s">
        <v>61</v>
      </c>
      <c r="K13" s="13" t="s">
        <v>62</v>
      </c>
      <c r="L13" s="10" t="s">
        <v>63</v>
      </c>
      <c r="M13" s="23" t="s">
        <v>64</v>
      </c>
      <c r="O13" s="12" t="s">
        <v>65</v>
      </c>
      <c r="Q13" s="13"/>
    </row>
    <row r="14" spans="1:26">
      <c r="A14" s="10">
        <v>1</v>
      </c>
      <c r="B14" s="10">
        <f t="shared" ref="B14:B77" si="0">0.098967*A14</f>
        <v>9.8966999999999999E-2</v>
      </c>
      <c r="C14" s="10">
        <f t="shared" ref="C14:C77" si="1">$B$6+(($B$7-$B$6)/(1+($B$3*A14)^$B$4)^$B$5)</f>
        <v>0.45913218505835229</v>
      </c>
      <c r="D14" s="10">
        <f t="shared" ref="D14:D77" si="2">(C14-$B$6)/($B$7-$B$6)</f>
        <v>0.99758940293986753</v>
      </c>
      <c r="E14" s="10">
        <f t="shared" ref="E14:E77" si="3">$B$8*D14^$B$9*(1-(1-D14^(1/$B$5))^$B$5)^2</f>
        <v>7.1205092165151548E-5</v>
      </c>
      <c r="F14" s="10">
        <f t="shared" ref="F14:F77" si="4">$B$8*((1-(($B$3*A14)^($B$4-1))*(1+($B$3*A14)^$B$4)^(-1+1/$B$4))^2)/(1+($B$3*A14)^$B$4)^(0.5-(1/(2*$B$4)))</f>
        <v>7.1205092165151074E-5</v>
      </c>
      <c r="G14" s="10">
        <f>D14*B14</f>
        <v>9.8728430440749873E-2</v>
      </c>
      <c r="I14" s="10">
        <v>1</v>
      </c>
      <c r="J14" s="10">
        <f t="shared" ref="J14:J77" si="5">0.098967*I14</f>
        <v>9.8966999999999999E-2</v>
      </c>
      <c r="K14" s="11">
        <f t="shared" ref="K14:K77" si="6">$J$6+(($J$7-$J$6)/(1+($J$3*I14)^$J$4)^$J$5)</f>
        <v>0.36730489866933957</v>
      </c>
      <c r="L14" s="10">
        <f t="shared" ref="L14:L77" si="7">(K14-$J$6)/($J$7-$J$6)</f>
        <v>0.99740633831843128</v>
      </c>
      <c r="M14" s="11">
        <f>$J$8*L14^$J$9*(1-(1-L14^(1/$J$5))^$J$5)^2</f>
        <v>3.2603430647346172E-5</v>
      </c>
      <c r="N14" s="11">
        <f t="shared" ref="N14:N77" si="8">$J$8*((1-(($J$3*I14)^($J$4-1))*(1+($J$3*I14)^$J$4)^(-1+1/$J$4))^2)/(1+($J$3*I14)^$J$4)^(0.5-(1/(2*$J$4)))</f>
        <v>3.2603430647345861E-5</v>
      </c>
      <c r="O14" s="10">
        <f t="shared" ref="O14:O77" si="9">L14*J14</f>
        <v>9.8710313084360193E-2</v>
      </c>
    </row>
    <row r="15" spans="1:26">
      <c r="A15" s="10">
        <v>2</v>
      </c>
      <c r="B15" s="10">
        <f t="shared" si="0"/>
        <v>0.197934</v>
      </c>
      <c r="C15" s="10">
        <f t="shared" si="1"/>
        <v>0.45741771646026141</v>
      </c>
      <c r="D15" s="10">
        <f t="shared" si="2"/>
        <v>0.99282699016739295</v>
      </c>
      <c r="E15" s="10">
        <f t="shared" si="3"/>
        <v>5.8687569459157776E-5</v>
      </c>
      <c r="F15" s="10">
        <f t="shared" si="4"/>
        <v>5.8687569459157606E-5</v>
      </c>
      <c r="G15" s="10">
        <f t="shared" ref="G15:G78" si="10">D15*B15</f>
        <v>0.19651421747179276</v>
      </c>
      <c r="I15" s="10">
        <v>2</v>
      </c>
      <c r="J15" s="10">
        <f t="shared" si="5"/>
        <v>0.197934</v>
      </c>
      <c r="K15" s="11">
        <f t="shared" si="6"/>
        <v>0.36598381448185324</v>
      </c>
      <c r="L15" s="10">
        <f t="shared" si="7"/>
        <v>0.99247691970840768</v>
      </c>
      <c r="M15" s="11">
        <f t="shared" ref="M15:M77" si="11">$J$8*L15^$J$9*(1-(1-L15^(1/$J$5))^$J$5)^2</f>
        <v>2.654664701670434E-5</v>
      </c>
      <c r="N15" s="11">
        <f t="shared" si="8"/>
        <v>2.6546647016704326E-5</v>
      </c>
      <c r="O15" s="10">
        <f t="shared" si="9"/>
        <v>0.19644492662556395</v>
      </c>
    </row>
    <row r="16" spans="1:26">
      <c r="A16" s="10">
        <v>4</v>
      </c>
      <c r="B16" s="10">
        <f t="shared" si="0"/>
        <v>0.395868</v>
      </c>
      <c r="C16" s="10">
        <f t="shared" si="1"/>
        <v>0.45244699009929401</v>
      </c>
      <c r="D16" s="10">
        <f t="shared" si="2"/>
        <v>0.97901941694248351</v>
      </c>
      <c r="E16" s="10">
        <f t="shared" si="3"/>
        <v>4.2552611478540086E-5</v>
      </c>
      <c r="F16" s="10">
        <f t="shared" si="4"/>
        <v>4.2552611478540025E-5</v>
      </c>
      <c r="G16" s="10">
        <f t="shared" si="10"/>
        <v>0.38756245854618704</v>
      </c>
      <c r="I16" s="10">
        <v>4</v>
      </c>
      <c r="J16" s="10">
        <f t="shared" si="5"/>
        <v>0.395868</v>
      </c>
      <c r="K16" s="10">
        <f t="shared" si="6"/>
        <v>0.36225398864968461</v>
      </c>
      <c r="L16" s="10">
        <f t="shared" si="7"/>
        <v>0.97855965914061427</v>
      </c>
      <c r="M16" s="11">
        <f t="shared" si="11"/>
        <v>1.8994177827112988E-5</v>
      </c>
      <c r="N16" s="11">
        <f t="shared" si="8"/>
        <v>1.8994177827112961E-5</v>
      </c>
      <c r="O16" s="10">
        <f t="shared" si="9"/>
        <v>0.38738045514467667</v>
      </c>
    </row>
    <row r="17" spans="1:15">
      <c r="A17" s="10">
        <v>5</v>
      </c>
      <c r="B17" s="10">
        <f t="shared" si="0"/>
        <v>0.49483500000000002</v>
      </c>
      <c r="C17" s="10">
        <f t="shared" si="1"/>
        <v>0.44941213593998175</v>
      </c>
      <c r="D17" s="10">
        <f t="shared" si="2"/>
        <v>0.97058926649994937</v>
      </c>
      <c r="E17" s="10">
        <f t="shared" si="3"/>
        <v>3.67891147629953E-5</v>
      </c>
      <c r="F17" s="10">
        <f t="shared" si="4"/>
        <v>3.6789114762995246E-5</v>
      </c>
      <c r="G17" s="10">
        <f t="shared" si="10"/>
        <v>0.48028153968850246</v>
      </c>
      <c r="I17" s="10">
        <v>5</v>
      </c>
      <c r="J17" s="10">
        <f t="shared" si="5"/>
        <v>0.49483500000000002</v>
      </c>
      <c r="K17" s="11">
        <f t="shared" si="6"/>
        <v>0.36001261661329265</v>
      </c>
      <c r="L17" s="10">
        <f t="shared" si="7"/>
        <v>0.97019633064661437</v>
      </c>
      <c r="M17" s="11">
        <f t="shared" si="11"/>
        <v>1.6355470008461216E-5</v>
      </c>
      <c r="N17" s="11">
        <f t="shared" si="8"/>
        <v>1.6355470008461206E-5</v>
      </c>
      <c r="O17" s="10">
        <f t="shared" si="9"/>
        <v>0.48008710127551746</v>
      </c>
    </row>
    <row r="18" spans="1:15">
      <c r="A18" s="10">
        <v>6</v>
      </c>
      <c r="B18" s="10">
        <f t="shared" si="0"/>
        <v>0.59380199999999994</v>
      </c>
      <c r="C18" s="10">
        <f t="shared" si="1"/>
        <v>0.44611089524333358</v>
      </c>
      <c r="D18" s="10">
        <f t="shared" si="2"/>
        <v>0.96141915345370454</v>
      </c>
      <c r="E18" s="10">
        <f t="shared" si="3"/>
        <v>3.2004779738171112E-5</v>
      </c>
      <c r="F18" s="10">
        <f t="shared" si="4"/>
        <v>3.2004779738171051E-5</v>
      </c>
      <c r="G18" s="10">
        <f t="shared" si="10"/>
        <v>0.57089261615911657</v>
      </c>
      <c r="I18" s="10">
        <v>6</v>
      </c>
      <c r="J18" s="10">
        <f t="shared" si="5"/>
        <v>0.59380199999999994</v>
      </c>
      <c r="K18" s="10">
        <f t="shared" si="6"/>
        <v>0.35759352758813967</v>
      </c>
      <c r="L18" s="10">
        <f t="shared" si="7"/>
        <v>0.96116987906022266</v>
      </c>
      <c r="M18" s="11">
        <f t="shared" si="11"/>
        <v>1.4186485410499669E-5</v>
      </c>
      <c r="N18" s="11">
        <f t="shared" si="8"/>
        <v>1.4186485410499694E-5</v>
      </c>
      <c r="O18" s="10">
        <f t="shared" si="9"/>
        <v>0.5707445965257183</v>
      </c>
    </row>
    <row r="19" spans="1:15">
      <c r="A19" s="10">
        <v>8</v>
      </c>
      <c r="B19" s="10">
        <f t="shared" si="0"/>
        <v>0.791736</v>
      </c>
      <c r="C19" s="10">
        <f t="shared" si="1"/>
        <v>0.43892786104751225</v>
      </c>
      <c r="D19" s="10">
        <f t="shared" si="2"/>
        <v>0.94146628068753413</v>
      </c>
      <c r="E19" s="10">
        <f t="shared" si="3"/>
        <v>2.456230450818827E-5</v>
      </c>
      <c r="F19" s="10">
        <f t="shared" si="4"/>
        <v>2.4562304508188267E-5</v>
      </c>
      <c r="G19" s="10">
        <f t="shared" si="10"/>
        <v>0.74539274720642557</v>
      </c>
      <c r="I19" s="10">
        <v>8</v>
      </c>
      <c r="J19" s="10">
        <f t="shared" si="5"/>
        <v>0.791736</v>
      </c>
      <c r="K19" s="10">
        <f t="shared" si="6"/>
        <v>0.35237778703545986</v>
      </c>
      <c r="L19" s="10">
        <f t="shared" si="7"/>
        <v>0.94170816058007412</v>
      </c>
      <c r="M19" s="11">
        <f t="shared" si="11"/>
        <v>1.0848643795584661E-5</v>
      </c>
      <c r="N19" s="11">
        <f t="shared" si="8"/>
        <v>1.0848643795584619E-5</v>
      </c>
      <c r="O19" s="10">
        <f t="shared" si="9"/>
        <v>0.74558425222502556</v>
      </c>
    </row>
    <row r="20" spans="1:15">
      <c r="A20" s="10">
        <v>10</v>
      </c>
      <c r="B20" s="10">
        <f t="shared" si="0"/>
        <v>0.98967000000000005</v>
      </c>
      <c r="C20" s="10">
        <f t="shared" si="1"/>
        <v>0.43125275486549874</v>
      </c>
      <c r="D20" s="10">
        <f t="shared" si="2"/>
        <v>0.92014654129305218</v>
      </c>
      <c r="E20" s="10">
        <f t="shared" si="3"/>
        <v>1.9127667663350718E-5</v>
      </c>
      <c r="F20" s="10">
        <f t="shared" si="4"/>
        <v>1.9127667663350684E-5</v>
      </c>
      <c r="G20" s="10">
        <f t="shared" si="10"/>
        <v>0.91064142752149502</v>
      </c>
      <c r="I20" s="10">
        <v>10</v>
      </c>
      <c r="J20" s="10">
        <f t="shared" si="5"/>
        <v>0.98967000000000005</v>
      </c>
      <c r="K20" s="10">
        <f t="shared" si="6"/>
        <v>0.34685477153822564</v>
      </c>
      <c r="L20" s="10">
        <f t="shared" si="7"/>
        <v>0.92109989379934931</v>
      </c>
      <c r="M20" s="11">
        <f t="shared" si="11"/>
        <v>8.4369111575732128E-6</v>
      </c>
      <c r="N20" s="11">
        <f t="shared" si="8"/>
        <v>8.4369111575732365E-6</v>
      </c>
      <c r="O20" s="10">
        <f t="shared" si="9"/>
        <v>0.91158493189640211</v>
      </c>
    </row>
    <row r="21" spans="1:15">
      <c r="A21" s="10">
        <v>11</v>
      </c>
      <c r="B21" s="10">
        <f t="shared" si="0"/>
        <v>1.0886370000000001</v>
      </c>
      <c r="C21" s="10">
        <f t="shared" si="1"/>
        <v>0.42731325183096314</v>
      </c>
      <c r="D21" s="10">
        <f t="shared" si="2"/>
        <v>0.90920347730823103</v>
      </c>
      <c r="E21" s="10">
        <f t="shared" si="3"/>
        <v>1.6957834844468791E-5</v>
      </c>
      <c r="F21" s="10">
        <f t="shared" si="4"/>
        <v>1.6957834844468757E-5</v>
      </c>
      <c r="G21" s="10">
        <f t="shared" si="10"/>
        <v>0.98979254592640076</v>
      </c>
      <c r="I21" s="10">
        <v>11</v>
      </c>
      <c r="J21" s="10">
        <f t="shared" si="5"/>
        <v>1.0886370000000001</v>
      </c>
      <c r="K21" s="10">
        <f t="shared" si="6"/>
        <v>0.34403431239530402</v>
      </c>
      <c r="L21" s="10">
        <f t="shared" si="7"/>
        <v>0.91057579251979104</v>
      </c>
      <c r="M21" s="11">
        <f t="shared" si="11"/>
        <v>7.4794153421890288E-6</v>
      </c>
      <c r="N21" s="11">
        <f t="shared" si="8"/>
        <v>7.4794153421890322E-6</v>
      </c>
      <c r="O21" s="10">
        <f t="shared" si="9"/>
        <v>0.99128649904136779</v>
      </c>
    </row>
    <row r="22" spans="1:15">
      <c r="A22" s="10">
        <v>13</v>
      </c>
      <c r="B22" s="10">
        <f t="shared" si="0"/>
        <v>1.2865709999999999</v>
      </c>
      <c r="C22" s="10">
        <f t="shared" si="1"/>
        <v>0.4193539211285281</v>
      </c>
      <c r="D22" s="10">
        <f t="shared" si="2"/>
        <v>0.88709422535702254</v>
      </c>
      <c r="E22" s="10">
        <f t="shared" si="3"/>
        <v>1.3439858411769062E-5</v>
      </c>
      <c r="F22" s="10">
        <f t="shared" si="4"/>
        <v>1.3439858411769055E-5</v>
      </c>
      <c r="G22" s="10">
        <f t="shared" si="10"/>
        <v>1.1413097046118097</v>
      </c>
      <c r="I22" s="10">
        <v>13</v>
      </c>
      <c r="J22" s="10">
        <f t="shared" si="5"/>
        <v>1.2865709999999999</v>
      </c>
      <c r="K22" s="10">
        <f t="shared" si="6"/>
        <v>0.33835798169147602</v>
      </c>
      <c r="L22" s="10">
        <f t="shared" si="7"/>
        <v>0.88939545407267162</v>
      </c>
      <c r="M22" s="11">
        <f t="shared" si="11"/>
        <v>5.9326724306602208E-6</v>
      </c>
      <c r="N22" s="11">
        <f t="shared" si="8"/>
        <v>5.9326724306602132E-6</v>
      </c>
      <c r="O22" s="10">
        <f t="shared" si="9"/>
        <v>1.1442703987417311</v>
      </c>
    </row>
    <row r="23" spans="1:15">
      <c r="A23" s="10">
        <v>15</v>
      </c>
      <c r="B23" s="10">
        <f t="shared" si="0"/>
        <v>1.484505</v>
      </c>
      <c r="C23" s="10">
        <f t="shared" si="1"/>
        <v>0.41140975442858663</v>
      </c>
      <c r="D23" s="10">
        <f t="shared" si="2"/>
        <v>0.86502709563496294</v>
      </c>
      <c r="E23" s="10">
        <f t="shared" si="3"/>
        <v>1.0761265914002143E-5</v>
      </c>
      <c r="F23" s="10">
        <f t="shared" si="4"/>
        <v>1.0761265914002126E-5</v>
      </c>
      <c r="G23" s="10">
        <f t="shared" si="10"/>
        <v>1.2841370486055805</v>
      </c>
      <c r="I23" s="10">
        <v>15</v>
      </c>
      <c r="J23" s="10">
        <f t="shared" si="5"/>
        <v>1.484505</v>
      </c>
      <c r="K23" s="10">
        <f t="shared" si="6"/>
        <v>0.3327145972336325</v>
      </c>
      <c r="L23" s="10">
        <f t="shared" si="7"/>
        <v>0.86833804937922565</v>
      </c>
      <c r="M23" s="11">
        <f t="shared" si="11"/>
        <v>4.7587578182473761E-6</v>
      </c>
      <c r="N23" s="11">
        <f t="shared" si="8"/>
        <v>4.7587578182473888E-6</v>
      </c>
      <c r="O23" s="10">
        <f t="shared" si="9"/>
        <v>1.2890521759937072</v>
      </c>
    </row>
    <row r="24" spans="1:15">
      <c r="A24" s="10">
        <v>17</v>
      </c>
      <c r="B24" s="10">
        <f t="shared" si="0"/>
        <v>1.682439</v>
      </c>
      <c r="C24" s="10">
        <f t="shared" si="1"/>
        <v>0.40358802396288163</v>
      </c>
      <c r="D24" s="10">
        <f t="shared" si="2"/>
        <v>0.84330006656356016</v>
      </c>
      <c r="E24" s="10">
        <f t="shared" si="3"/>
        <v>8.6985871785323372E-6</v>
      </c>
      <c r="F24" s="10">
        <f t="shared" si="4"/>
        <v>8.6985871785323101E-6</v>
      </c>
      <c r="G24" s="10">
        <f t="shared" si="10"/>
        <v>1.4188009206891297</v>
      </c>
      <c r="I24" s="10">
        <v>17</v>
      </c>
      <c r="J24" s="10">
        <f t="shared" si="5"/>
        <v>1.682439</v>
      </c>
      <c r="K24" s="10">
        <f t="shared" si="6"/>
        <v>0.32717333592769304</v>
      </c>
      <c r="L24" s="10">
        <f t="shared" si="7"/>
        <v>0.84766170122273521</v>
      </c>
      <c r="M24" s="11">
        <f t="shared" si="11"/>
        <v>3.8561572264322529E-6</v>
      </c>
      <c r="N24" s="11">
        <f t="shared" si="8"/>
        <v>3.8561572264322495E-6</v>
      </c>
      <c r="O24" s="10">
        <f t="shared" si="9"/>
        <v>1.4261391049434775</v>
      </c>
    </row>
    <row r="25" spans="1:15">
      <c r="A25" s="10">
        <v>19</v>
      </c>
      <c r="B25" s="10">
        <f t="shared" si="0"/>
        <v>1.8803730000000001</v>
      </c>
      <c r="C25" s="10">
        <f t="shared" si="1"/>
        <v>0.39596125043395913</v>
      </c>
      <c r="D25" s="10">
        <f t="shared" si="2"/>
        <v>0.82211458453877551</v>
      </c>
      <c r="E25" s="10">
        <f t="shared" si="3"/>
        <v>7.0939652263898351E-6</v>
      </c>
      <c r="F25" s="10">
        <f t="shared" si="4"/>
        <v>7.0939652263898292E-6</v>
      </c>
      <c r="G25" s="10">
        <f t="shared" si="10"/>
        <v>1.545882067672931</v>
      </c>
      <c r="I25" s="10">
        <v>19</v>
      </c>
      <c r="J25" s="10">
        <f t="shared" si="5"/>
        <v>1.8803730000000001</v>
      </c>
      <c r="K25" s="10">
        <f t="shared" si="6"/>
        <v>0.3217800259870639</v>
      </c>
      <c r="L25" s="10">
        <f t="shared" si="7"/>
        <v>0.82753741039949213</v>
      </c>
      <c r="M25" s="11">
        <f t="shared" si="11"/>
        <v>3.1541828827733294E-6</v>
      </c>
      <c r="N25" s="11">
        <f t="shared" si="8"/>
        <v>3.1541828827733324E-6</v>
      </c>
      <c r="O25" s="10">
        <f t="shared" si="9"/>
        <v>1.5560790030051244</v>
      </c>
    </row>
    <row r="26" spans="1:15">
      <c r="A26" s="10">
        <v>21</v>
      </c>
      <c r="B26" s="10">
        <f t="shared" si="0"/>
        <v>2.0783070000000001</v>
      </c>
      <c r="C26" s="10">
        <f t="shared" si="1"/>
        <v>0.38857625598171264</v>
      </c>
      <c r="D26" s="10">
        <f t="shared" si="2"/>
        <v>0.80160071106031294</v>
      </c>
      <c r="E26" s="10">
        <f t="shared" si="3"/>
        <v>5.8338629483551406E-6</v>
      </c>
      <c r="F26" s="10">
        <f t="shared" si="4"/>
        <v>5.8338629483551448E-6</v>
      </c>
      <c r="G26" s="10">
        <f t="shared" si="10"/>
        <v>1.6659723690016259</v>
      </c>
      <c r="I26" s="10">
        <v>21</v>
      </c>
      <c r="J26" s="10">
        <f t="shared" si="5"/>
        <v>2.0783070000000001</v>
      </c>
      <c r="K26" s="10">
        <f t="shared" si="6"/>
        <v>0.31656353814105953</v>
      </c>
      <c r="L26" s="10">
        <f t="shared" si="7"/>
        <v>0.80807290351141614</v>
      </c>
      <c r="M26" s="11">
        <f t="shared" si="11"/>
        <v>2.6025432503799307E-6</v>
      </c>
      <c r="N26" s="11">
        <f t="shared" si="8"/>
        <v>2.6025432503799333E-6</v>
      </c>
      <c r="O26" s="10">
        <f t="shared" si="9"/>
        <v>1.6794235718781008</v>
      </c>
    </row>
    <row r="27" spans="1:15">
      <c r="A27" s="10">
        <v>23</v>
      </c>
      <c r="B27" s="10">
        <f t="shared" si="0"/>
        <v>2.2762410000000002</v>
      </c>
      <c r="C27" s="10">
        <f t="shared" si="1"/>
        <v>0.38146109961760288</v>
      </c>
      <c r="D27" s="10">
        <f t="shared" si="2"/>
        <v>0.78183638782667475</v>
      </c>
      <c r="E27" s="10">
        <f t="shared" si="3"/>
        <v>4.8355002108764379E-6</v>
      </c>
      <c r="F27" s="10">
        <f t="shared" si="4"/>
        <v>4.8355002108764379E-6</v>
      </c>
      <c r="G27" s="10">
        <f t="shared" si="10"/>
        <v>1.779648041262978</v>
      </c>
      <c r="I27" s="10">
        <v>23</v>
      </c>
      <c r="J27" s="10">
        <f t="shared" si="5"/>
        <v>2.2762410000000002</v>
      </c>
      <c r="K27" s="10">
        <f t="shared" si="6"/>
        <v>0.31154054508502682</v>
      </c>
      <c r="L27" s="10">
        <f t="shared" si="7"/>
        <v>0.78933039210830902</v>
      </c>
      <c r="M27" s="11">
        <f t="shared" si="11"/>
        <v>2.1648656274424059E-6</v>
      </c>
      <c r="N27" s="11">
        <f t="shared" si="8"/>
        <v>2.1648656274424055E-6</v>
      </c>
      <c r="O27" s="10">
        <f t="shared" si="9"/>
        <v>1.7967062010630095</v>
      </c>
    </row>
    <row r="28" spans="1:15">
      <c r="A28" s="10">
        <v>25</v>
      </c>
      <c r="B28" s="10">
        <f t="shared" si="0"/>
        <v>2.4741749999999998</v>
      </c>
      <c r="C28" s="10">
        <f t="shared" si="1"/>
        <v>0.37463033256047729</v>
      </c>
      <c r="D28" s="10">
        <f t="shared" si="2"/>
        <v>0.76286203489021476</v>
      </c>
      <c r="E28" s="10">
        <f t="shared" si="3"/>
        <v>4.0378392984981627E-6</v>
      </c>
      <c r="F28" s="10">
        <f t="shared" si="4"/>
        <v>4.0378392984981542E-6</v>
      </c>
      <c r="G28" s="10">
        <f t="shared" si="10"/>
        <v>1.8874541751744969</v>
      </c>
      <c r="I28" s="10">
        <v>25</v>
      </c>
      <c r="J28" s="10">
        <f t="shared" si="5"/>
        <v>2.4741749999999998</v>
      </c>
      <c r="K28" s="10">
        <f t="shared" si="6"/>
        <v>0.30671904994110949</v>
      </c>
      <c r="L28" s="10">
        <f t="shared" si="7"/>
        <v>0.7713397385862294</v>
      </c>
      <c r="M28" s="11">
        <f t="shared" si="11"/>
        <v>1.814486764369364E-6</v>
      </c>
      <c r="N28" s="11">
        <f t="shared" si="8"/>
        <v>1.8144867643693621E-6</v>
      </c>
      <c r="O28" s="10">
        <f t="shared" si="9"/>
        <v>1.9084294977165839</v>
      </c>
    </row>
    <row r="29" spans="1:15">
      <c r="A29" s="10">
        <v>27</v>
      </c>
      <c r="B29" s="10">
        <f t="shared" si="0"/>
        <v>2.6721089999999998</v>
      </c>
      <c r="C29" s="10">
        <f t="shared" si="1"/>
        <v>0.36808893488907835</v>
      </c>
      <c r="D29" s="10">
        <f t="shared" si="2"/>
        <v>0.74469148580299549</v>
      </c>
      <c r="E29" s="10">
        <f t="shared" si="3"/>
        <v>3.3954262292023518E-6</v>
      </c>
      <c r="F29" s="10">
        <f t="shared" si="4"/>
        <v>3.3954262292023522E-6</v>
      </c>
      <c r="G29" s="10">
        <f t="shared" si="10"/>
        <v>1.9898968214375563</v>
      </c>
      <c r="I29" s="10">
        <v>27</v>
      </c>
      <c r="J29" s="10">
        <f t="shared" si="5"/>
        <v>2.6721089999999998</v>
      </c>
      <c r="K29" s="10">
        <f t="shared" si="6"/>
        <v>0.30210098472820457</v>
      </c>
      <c r="L29" s="10">
        <f t="shared" si="7"/>
        <v>0.75410815197091252</v>
      </c>
      <c r="M29" s="11">
        <f t="shared" si="11"/>
        <v>1.5316311799885611E-6</v>
      </c>
      <c r="N29" s="11">
        <f t="shared" si="8"/>
        <v>1.5316311799885609E-6</v>
      </c>
      <c r="O29" s="10">
        <f t="shared" si="9"/>
        <v>2.015059179854843</v>
      </c>
    </row>
    <row r="30" spans="1:15">
      <c r="A30" s="10">
        <v>30</v>
      </c>
      <c r="B30" s="10">
        <f t="shared" si="0"/>
        <v>2.9690099999999999</v>
      </c>
      <c r="C30" s="10">
        <f t="shared" si="1"/>
        <v>0.35881446610642731</v>
      </c>
      <c r="D30" s="10">
        <f t="shared" si="2"/>
        <v>0.71892907251785376</v>
      </c>
      <c r="E30" s="10">
        <f t="shared" si="3"/>
        <v>2.6504999978550715E-6</v>
      </c>
      <c r="F30" s="10">
        <f t="shared" si="4"/>
        <v>2.6504999978550715E-6</v>
      </c>
      <c r="G30" s="10">
        <f t="shared" si="10"/>
        <v>2.1345076055962329</v>
      </c>
      <c r="I30" s="10">
        <v>30</v>
      </c>
      <c r="J30" s="10">
        <f t="shared" si="5"/>
        <v>2.9690099999999999</v>
      </c>
      <c r="K30" s="10">
        <f t="shared" si="6"/>
        <v>0.29554962784677008</v>
      </c>
      <c r="L30" s="10">
        <f t="shared" si="7"/>
        <v>0.72966279047302263</v>
      </c>
      <c r="M30" s="11">
        <f t="shared" si="11"/>
        <v>1.2025447487909869E-6</v>
      </c>
      <c r="N30" s="11">
        <f t="shared" si="8"/>
        <v>1.2025447487909838E-6</v>
      </c>
      <c r="O30" s="10">
        <f t="shared" si="9"/>
        <v>2.1663761215423087</v>
      </c>
    </row>
    <row r="31" spans="1:15">
      <c r="A31" s="10">
        <v>40</v>
      </c>
      <c r="B31" s="10">
        <f t="shared" si="0"/>
        <v>3.9586800000000002</v>
      </c>
      <c r="C31" s="10">
        <f t="shared" si="1"/>
        <v>0.33219267242427908</v>
      </c>
      <c r="D31" s="10">
        <f t="shared" si="2"/>
        <v>0.64497964562299748</v>
      </c>
      <c r="E31" s="10">
        <f t="shared" si="3"/>
        <v>1.2723320939133164E-6</v>
      </c>
      <c r="F31" s="10">
        <f t="shared" si="4"/>
        <v>1.2723320939133162E-6</v>
      </c>
      <c r="G31" s="10">
        <f t="shared" si="10"/>
        <v>2.5532680235348479</v>
      </c>
      <c r="I31" s="10">
        <v>40</v>
      </c>
      <c r="J31" s="10">
        <f t="shared" si="5"/>
        <v>3.9586800000000002</v>
      </c>
      <c r="K31" s="10">
        <f t="shared" si="6"/>
        <v>0.27669467529657449</v>
      </c>
      <c r="L31" s="10">
        <f t="shared" si="7"/>
        <v>0.65930848991259128</v>
      </c>
      <c r="M31" s="11">
        <f t="shared" si="11"/>
        <v>5.8824623216007772E-7</v>
      </c>
      <c r="N31" s="11">
        <f t="shared" si="8"/>
        <v>5.8824623216007867E-7</v>
      </c>
      <c r="O31" s="10">
        <f t="shared" si="9"/>
        <v>2.6099913328471769</v>
      </c>
    </row>
    <row r="32" spans="1:15">
      <c r="A32" s="10">
        <v>50</v>
      </c>
      <c r="B32" s="10">
        <f t="shared" si="0"/>
        <v>4.9483499999999996</v>
      </c>
      <c r="C32" s="10">
        <f t="shared" si="1"/>
        <v>0.31103854233934186</v>
      </c>
      <c r="D32" s="10">
        <f t="shared" si="2"/>
        <v>0.58621817316483849</v>
      </c>
      <c r="E32" s="10">
        <f t="shared" si="3"/>
        <v>6.8400518558152094E-7</v>
      </c>
      <c r="F32" s="10">
        <f t="shared" si="4"/>
        <v>6.8400518558152094E-7</v>
      </c>
      <c r="G32" s="10">
        <f t="shared" si="10"/>
        <v>2.9008126971802284</v>
      </c>
      <c r="I32" s="10">
        <v>50</v>
      </c>
      <c r="J32" s="10">
        <f t="shared" si="5"/>
        <v>4.9483499999999996</v>
      </c>
      <c r="K32" s="10">
        <f t="shared" si="6"/>
        <v>0.26163043242974937</v>
      </c>
      <c r="L32" s="10">
        <f t="shared" si="7"/>
        <v>0.60309862846921403</v>
      </c>
      <c r="M32" s="11">
        <f t="shared" si="11"/>
        <v>3.2170890825157508E-7</v>
      </c>
      <c r="N32" s="11">
        <f t="shared" si="8"/>
        <v>3.2170890825157508E-7</v>
      </c>
      <c r="O32" s="10">
        <f t="shared" si="9"/>
        <v>2.9843430981856351</v>
      </c>
    </row>
    <row r="33" spans="1:15">
      <c r="A33" s="10">
        <v>60</v>
      </c>
      <c r="B33" s="10">
        <f t="shared" si="0"/>
        <v>5.9380199999999999</v>
      </c>
      <c r="C33" s="10">
        <f t="shared" si="1"/>
        <v>0.29397650839637607</v>
      </c>
      <c r="D33" s="10">
        <f t="shared" si="2"/>
        <v>0.53882363443437797</v>
      </c>
      <c r="E33" s="10">
        <f t="shared" si="3"/>
        <v>4.0065892100175849E-7</v>
      </c>
      <c r="F33" s="10">
        <f t="shared" si="4"/>
        <v>4.0065892100175843E-7</v>
      </c>
      <c r="G33" s="10">
        <f t="shared" si="10"/>
        <v>3.1995455177440251</v>
      </c>
      <c r="I33" s="10">
        <v>60</v>
      </c>
      <c r="J33" s="10">
        <f t="shared" si="5"/>
        <v>5.9380199999999999</v>
      </c>
      <c r="K33" s="10">
        <f t="shared" si="6"/>
        <v>0.24940946221211557</v>
      </c>
      <c r="L33" s="10">
        <f t="shared" si="7"/>
        <v>0.55749799332878935</v>
      </c>
      <c r="M33" s="11">
        <f t="shared" si="11"/>
        <v>1.9132891727017614E-7</v>
      </c>
      <c r="N33" s="11">
        <f t="shared" si="8"/>
        <v>1.9132891727017677E-7</v>
      </c>
      <c r="O33" s="10">
        <f t="shared" si="9"/>
        <v>3.3104342343462179</v>
      </c>
    </row>
    <row r="34" spans="1:15">
      <c r="A34" s="10">
        <v>70</v>
      </c>
      <c r="B34" s="10">
        <f t="shared" si="0"/>
        <v>6.9276900000000001</v>
      </c>
      <c r="C34" s="10">
        <f t="shared" si="1"/>
        <v>0.27996285791395215</v>
      </c>
      <c r="D34" s="10">
        <f t="shared" si="2"/>
        <v>0.49989682753875597</v>
      </c>
      <c r="E34" s="10">
        <f t="shared" si="3"/>
        <v>2.5079770865561366E-7</v>
      </c>
      <c r="F34" s="10">
        <f t="shared" si="4"/>
        <v>2.5079770865561271E-7</v>
      </c>
      <c r="G34" s="10">
        <f t="shared" si="10"/>
        <v>3.4631302531719643</v>
      </c>
      <c r="I34" s="10">
        <v>70</v>
      </c>
      <c r="J34" s="10">
        <f t="shared" si="5"/>
        <v>6.9276900000000001</v>
      </c>
      <c r="K34" s="10">
        <f t="shared" si="6"/>
        <v>0.23931612782058723</v>
      </c>
      <c r="L34" s="10">
        <f t="shared" si="7"/>
        <v>0.519836297838012</v>
      </c>
      <c r="M34" s="11">
        <f t="shared" si="11"/>
        <v>1.2138703598481185E-7</v>
      </c>
      <c r="N34" s="11">
        <f t="shared" si="8"/>
        <v>1.2138703598481233E-7</v>
      </c>
      <c r="O34" s="10">
        <f t="shared" si="9"/>
        <v>3.6012647221694172</v>
      </c>
    </row>
    <row r="35" spans="1:15">
      <c r="A35" s="10">
        <v>80</v>
      </c>
      <c r="B35" s="10">
        <f t="shared" si="0"/>
        <v>7.9173600000000004</v>
      </c>
      <c r="C35" s="10">
        <f t="shared" si="1"/>
        <v>0.26825146068723138</v>
      </c>
      <c r="D35" s="10">
        <f t="shared" si="2"/>
        <v>0.4673651685756427</v>
      </c>
      <c r="E35" s="10">
        <f t="shared" si="3"/>
        <v>1.6545565437517724E-7</v>
      </c>
      <c r="F35" s="10">
        <f t="shared" si="4"/>
        <v>1.6545565437517647E-7</v>
      </c>
      <c r="G35" s="10">
        <f t="shared" si="10"/>
        <v>3.7002982910740507</v>
      </c>
      <c r="I35" s="10">
        <v>80</v>
      </c>
      <c r="J35" s="10">
        <f t="shared" si="5"/>
        <v>7.9173600000000004</v>
      </c>
      <c r="K35" s="10">
        <f t="shared" si="6"/>
        <v>0.23083776157563726</v>
      </c>
      <c r="L35" s="10">
        <f t="shared" si="7"/>
        <v>0.48820060289416883</v>
      </c>
      <c r="M35" s="11">
        <f t="shared" si="11"/>
        <v>8.1045605948535704E-8</v>
      </c>
      <c r="N35" s="11">
        <f t="shared" si="8"/>
        <v>8.1045605948536101E-8</v>
      </c>
      <c r="O35" s="10">
        <f t="shared" si="9"/>
        <v>3.8652599253301769</v>
      </c>
    </row>
    <row r="36" spans="1:15">
      <c r="A36" s="10">
        <v>90</v>
      </c>
      <c r="B36" s="10">
        <f t="shared" si="0"/>
        <v>8.9070300000000007</v>
      </c>
      <c r="C36" s="10">
        <f t="shared" si="1"/>
        <v>0.25831113256809957</v>
      </c>
      <c r="D36" s="10">
        <f t="shared" si="2"/>
        <v>0.43975314602249882</v>
      </c>
      <c r="E36" s="10">
        <f t="shared" si="3"/>
        <v>1.138809346379802E-7</v>
      </c>
      <c r="F36" s="10">
        <f t="shared" si="4"/>
        <v>1.1388093463797897E-7</v>
      </c>
      <c r="G36" s="10">
        <f t="shared" si="10"/>
        <v>3.916894464216778</v>
      </c>
      <c r="I36" s="10">
        <v>90</v>
      </c>
      <c r="J36" s="10">
        <f t="shared" si="5"/>
        <v>8.9070300000000007</v>
      </c>
      <c r="K36" s="10">
        <f t="shared" si="6"/>
        <v>0.22360791931681401</v>
      </c>
      <c r="L36" s="10">
        <f t="shared" si="7"/>
        <v>0.4612235795403507</v>
      </c>
      <c r="M36" s="11">
        <f t="shared" si="11"/>
        <v>5.6384559149941653E-8</v>
      </c>
      <c r="N36" s="11">
        <f t="shared" si="8"/>
        <v>5.6384559149941958E-8</v>
      </c>
      <c r="O36" s="10">
        <f t="shared" si="9"/>
        <v>4.1081322596732903</v>
      </c>
    </row>
    <row r="37" spans="1:15">
      <c r="A37" s="10">
        <v>100</v>
      </c>
      <c r="B37" s="10">
        <f t="shared" si="0"/>
        <v>9.8966999999999992</v>
      </c>
      <c r="C37" s="10">
        <f t="shared" si="1"/>
        <v>0.24975890200787898</v>
      </c>
      <c r="D37" s="10">
        <f t="shared" si="2"/>
        <v>0.41599695002188608</v>
      </c>
      <c r="E37" s="10">
        <f t="shared" si="3"/>
        <v>8.1161401860407088E-8</v>
      </c>
      <c r="F37" s="10">
        <f t="shared" si="4"/>
        <v>8.1161401860406598E-8</v>
      </c>
      <c r="G37" s="10">
        <f t="shared" si="10"/>
        <v>4.1169970152815996</v>
      </c>
      <c r="I37" s="10">
        <v>100</v>
      </c>
      <c r="J37" s="10">
        <f t="shared" si="5"/>
        <v>9.8966999999999992</v>
      </c>
      <c r="K37" s="10">
        <f t="shared" si="6"/>
        <v>0.2173612079952334</v>
      </c>
      <c r="L37" s="10">
        <f t="shared" si="7"/>
        <v>0.43791495520609469</v>
      </c>
      <c r="M37" s="11">
        <f t="shared" si="11"/>
        <v>4.0576126079830783E-8</v>
      </c>
      <c r="N37" s="11">
        <f t="shared" si="8"/>
        <v>4.0576126079830777E-8</v>
      </c>
      <c r="O37" s="10">
        <f t="shared" si="9"/>
        <v>4.3339129371881571</v>
      </c>
    </row>
    <row r="38" spans="1:15">
      <c r="A38" s="10">
        <v>110</v>
      </c>
      <c r="B38" s="10">
        <f t="shared" si="0"/>
        <v>10.886369999999999</v>
      </c>
      <c r="C38" s="10">
        <f t="shared" si="1"/>
        <v>0.24231372769819015</v>
      </c>
      <c r="D38" s="10">
        <f t="shared" si="2"/>
        <v>0.39531591027275043</v>
      </c>
      <c r="E38" s="10">
        <f t="shared" si="3"/>
        <v>5.9549153972774854E-8</v>
      </c>
      <c r="F38" s="10">
        <f t="shared" si="4"/>
        <v>5.9549153972774861E-8</v>
      </c>
      <c r="G38" s="10">
        <f t="shared" si="10"/>
        <v>4.3035552661159615</v>
      </c>
      <c r="I38" s="10">
        <v>150</v>
      </c>
      <c r="J38" s="10">
        <f t="shared" si="5"/>
        <v>14.845050000000001</v>
      </c>
      <c r="K38" s="10">
        <f t="shared" si="6"/>
        <v>0.19546753437515019</v>
      </c>
      <c r="L38" s="10">
        <f t="shared" si="7"/>
        <v>0.35622214319085888</v>
      </c>
      <c r="M38" s="11">
        <f t="shared" si="11"/>
        <v>1.1097032637745339E-8</v>
      </c>
      <c r="N38" s="11">
        <f t="shared" si="8"/>
        <v>1.1097032637745089E-8</v>
      </c>
      <c r="O38" s="10">
        <f t="shared" si="9"/>
        <v>5.2881355267754602</v>
      </c>
    </row>
    <row r="39" spans="1:15">
      <c r="A39" s="10">
        <v>130</v>
      </c>
      <c r="B39" s="10">
        <f t="shared" si="0"/>
        <v>12.86571</v>
      </c>
      <c r="C39" s="10">
        <f t="shared" si="1"/>
        <v>0.22995436062057723</v>
      </c>
      <c r="D39" s="10">
        <f t="shared" si="2"/>
        <v>0.36098433505715893</v>
      </c>
      <c r="E39" s="10">
        <f t="shared" si="3"/>
        <v>3.4390901548611525E-8</v>
      </c>
      <c r="F39" s="10">
        <f t="shared" si="4"/>
        <v>3.4390901548610566E-8</v>
      </c>
      <c r="G39" s="10">
        <f t="shared" si="10"/>
        <v>4.6443197693882405</v>
      </c>
      <c r="I39" s="10">
        <v>200</v>
      </c>
      <c r="J39" s="10">
        <f t="shared" si="5"/>
        <v>19.793399999999998</v>
      </c>
      <c r="K39" s="10">
        <f t="shared" si="6"/>
        <v>0.18207158676221202</v>
      </c>
      <c r="L39" s="10">
        <f t="shared" si="7"/>
        <v>0.30623726403810453</v>
      </c>
      <c r="M39" s="11">
        <f t="shared" si="11"/>
        <v>4.3329309284622494E-9</v>
      </c>
      <c r="N39" s="11">
        <f t="shared" si="8"/>
        <v>4.3329309284621733E-9</v>
      </c>
      <c r="O39" s="10">
        <f t="shared" si="9"/>
        <v>6.0614766620118177</v>
      </c>
    </row>
    <row r="40" spans="1:15">
      <c r="A40" s="10">
        <v>150</v>
      </c>
      <c r="B40" s="10">
        <f t="shared" si="0"/>
        <v>14.845050000000001</v>
      </c>
      <c r="C40" s="10">
        <f t="shared" si="1"/>
        <v>0.22007497935405812</v>
      </c>
      <c r="D40" s="10">
        <f t="shared" si="2"/>
        <v>0.33354160931682814</v>
      </c>
      <c r="E40" s="10">
        <f t="shared" si="3"/>
        <v>2.1374689797300948E-8</v>
      </c>
      <c r="F40" s="10">
        <f t="shared" si="4"/>
        <v>2.1374689797300451E-8</v>
      </c>
      <c r="G40" s="10">
        <f t="shared" si="10"/>
        <v>4.9514418673887794</v>
      </c>
      <c r="I40" s="10">
        <v>250</v>
      </c>
      <c r="J40" s="10">
        <f t="shared" si="5"/>
        <v>24.74175</v>
      </c>
      <c r="K40" s="10">
        <f t="shared" si="6"/>
        <v>0.17286273760199669</v>
      </c>
      <c r="L40" s="10">
        <f t="shared" si="7"/>
        <v>0.27187588657461448</v>
      </c>
      <c r="M40" s="11">
        <f t="shared" si="11"/>
        <v>2.0734661387673119E-9</v>
      </c>
      <c r="N40" s="11">
        <f t="shared" si="8"/>
        <v>2.0734661387673119E-9</v>
      </c>
      <c r="O40" s="10">
        <f t="shared" si="9"/>
        <v>6.7266852166574678</v>
      </c>
    </row>
    <row r="41" spans="1:15">
      <c r="A41" s="10">
        <v>170</v>
      </c>
      <c r="B41" s="10">
        <f t="shared" si="0"/>
        <v>16.824390000000001</v>
      </c>
      <c r="C41" s="10">
        <f t="shared" si="1"/>
        <v>0.21196583199444374</v>
      </c>
      <c r="D41" s="10">
        <f t="shared" si="2"/>
        <v>0.31101619998456592</v>
      </c>
      <c r="E41" s="10">
        <f t="shared" si="3"/>
        <v>1.4055022982131861E-8</v>
      </c>
      <c r="F41" s="10">
        <f t="shared" si="4"/>
        <v>1.405502298213206E-8</v>
      </c>
      <c r="G41" s="10">
        <f t="shared" si="10"/>
        <v>5.2326578448583314</v>
      </c>
      <c r="I41" s="10">
        <v>300</v>
      </c>
      <c r="J41" s="10">
        <f t="shared" si="5"/>
        <v>29.690100000000001</v>
      </c>
      <c r="K41" s="10">
        <f t="shared" si="6"/>
        <v>0.16605792536609343</v>
      </c>
      <c r="L41" s="10">
        <f t="shared" si="7"/>
        <v>0.24648479614213961</v>
      </c>
      <c r="M41" s="11">
        <f t="shared" si="11"/>
        <v>1.1314989031393586E-9</v>
      </c>
      <c r="N41" s="11">
        <f t="shared" si="8"/>
        <v>1.1314989031393586E-9</v>
      </c>
      <c r="O41" s="10">
        <f t="shared" si="9"/>
        <v>7.3181582459397392</v>
      </c>
    </row>
    <row r="42" spans="1:15">
      <c r="A42" s="10">
        <v>200</v>
      </c>
      <c r="B42" s="10">
        <f t="shared" si="0"/>
        <v>19.793399999999998</v>
      </c>
      <c r="C42" s="10">
        <f t="shared" si="1"/>
        <v>0.20215929674358613</v>
      </c>
      <c r="D42" s="10">
        <f t="shared" si="2"/>
        <v>0.28377582428773923</v>
      </c>
      <c r="E42" s="10">
        <f t="shared" si="3"/>
        <v>8.1250047879042188E-9</v>
      </c>
      <c r="F42" s="10">
        <f t="shared" si="4"/>
        <v>8.1250047879039276E-9</v>
      </c>
      <c r="G42" s="10">
        <f t="shared" si="10"/>
        <v>5.6168884004569373</v>
      </c>
      <c r="I42" s="10">
        <v>350</v>
      </c>
      <c r="J42" s="10">
        <f t="shared" si="5"/>
        <v>34.638449999999999</v>
      </c>
      <c r="K42" s="10">
        <f t="shared" si="6"/>
        <v>0.16077685098553351</v>
      </c>
      <c r="L42" s="10">
        <f t="shared" si="7"/>
        <v>0.22677929472213995</v>
      </c>
      <c r="M42" s="11">
        <f t="shared" si="11"/>
        <v>6.767854068865471E-10</v>
      </c>
      <c r="N42" s="11">
        <f t="shared" si="8"/>
        <v>6.767854068865746E-10</v>
      </c>
      <c r="O42" s="10">
        <f t="shared" si="9"/>
        <v>7.8552832612681085</v>
      </c>
    </row>
    <row r="43" spans="1:15">
      <c r="A43" s="10">
        <v>230</v>
      </c>
      <c r="B43" s="10">
        <f t="shared" si="0"/>
        <v>22.762409999999999</v>
      </c>
      <c r="C43" s="10">
        <f t="shared" si="1"/>
        <v>0.19435558041256462</v>
      </c>
      <c r="D43" s="10">
        <f t="shared" si="2"/>
        <v>0.26209883447934618</v>
      </c>
      <c r="E43" s="10">
        <f t="shared" si="3"/>
        <v>5.0579115304303266E-9</v>
      </c>
      <c r="F43" s="10">
        <f t="shared" si="4"/>
        <v>5.0579115304302133E-9</v>
      </c>
      <c r="G43" s="10">
        <f t="shared" si="10"/>
        <v>5.9660011309410139</v>
      </c>
      <c r="I43" s="10">
        <v>400</v>
      </c>
      <c r="J43" s="10">
        <f t="shared" si="5"/>
        <v>39.586799999999997</v>
      </c>
      <c r="K43" s="10">
        <f t="shared" si="6"/>
        <v>0.15653056632297341</v>
      </c>
      <c r="L43" s="10">
        <f t="shared" si="7"/>
        <v>0.21093494896631865</v>
      </c>
      <c r="M43" s="11">
        <f t="shared" si="11"/>
        <v>4.3314546201637071E-10</v>
      </c>
      <c r="N43" s="11">
        <f t="shared" si="8"/>
        <v>4.3314546201637081E-10</v>
      </c>
      <c r="O43" s="10">
        <f t="shared" si="9"/>
        <v>8.3502396377398629</v>
      </c>
    </row>
    <row r="44" spans="1:15">
      <c r="A44" s="10">
        <v>260</v>
      </c>
      <c r="B44" s="10">
        <f t="shared" si="0"/>
        <v>25.73142</v>
      </c>
      <c r="C44" s="10">
        <f t="shared" si="1"/>
        <v>0.18796782688441993</v>
      </c>
      <c r="D44" s="10">
        <f t="shared" si="2"/>
        <v>0.24435507467894424</v>
      </c>
      <c r="E44" s="10">
        <f t="shared" si="3"/>
        <v>3.3317463666379831E-9</v>
      </c>
      <c r="F44" s="10">
        <f t="shared" si="4"/>
        <v>3.3317463666378938E-9</v>
      </c>
      <c r="G44" s="10">
        <f t="shared" si="10"/>
        <v>6.2876030556952793</v>
      </c>
      <c r="I44" s="10">
        <v>500</v>
      </c>
      <c r="J44" s="10">
        <f t="shared" si="5"/>
        <v>49.483499999999999</v>
      </c>
      <c r="K44" s="10">
        <f t="shared" si="6"/>
        <v>0.15006624863157716</v>
      </c>
      <c r="L44" s="10">
        <f t="shared" si="7"/>
        <v>0.1868143605655864</v>
      </c>
      <c r="M44" s="11">
        <f t="shared" si="11"/>
        <v>2.0511278259016852E-10</v>
      </c>
      <c r="N44" s="11">
        <f t="shared" si="8"/>
        <v>2.0511278259018302E-10</v>
      </c>
      <c r="O44" s="10">
        <f t="shared" si="9"/>
        <v>9.2442284110471942</v>
      </c>
    </row>
    <row r="45" spans="1:15">
      <c r="A45" s="10">
        <v>290</v>
      </c>
      <c r="B45" s="10">
        <f t="shared" si="0"/>
        <v>28.700430000000001</v>
      </c>
      <c r="C45" s="10">
        <f t="shared" si="1"/>
        <v>0.18262225259969167</v>
      </c>
      <c r="D45" s="10">
        <f t="shared" si="2"/>
        <v>0.22950625722136575</v>
      </c>
      <c r="E45" s="10">
        <f t="shared" si="3"/>
        <v>2.2946822001220568E-9</v>
      </c>
      <c r="F45" s="10">
        <f t="shared" si="4"/>
        <v>2.2946822001218359E-9</v>
      </c>
      <c r="G45" s="10">
        <f t="shared" si="10"/>
        <v>6.5869282699438028</v>
      </c>
      <c r="I45" s="10">
        <v>600</v>
      </c>
      <c r="J45" s="10">
        <f t="shared" si="5"/>
        <v>59.380200000000002</v>
      </c>
      <c r="K45" s="10">
        <f t="shared" si="6"/>
        <v>0.14532431911073584</v>
      </c>
      <c r="L45" s="10">
        <f t="shared" si="7"/>
        <v>0.16912059369677551</v>
      </c>
      <c r="M45" s="11">
        <f t="shared" si="11"/>
        <v>1.1122634569196275E-10</v>
      </c>
      <c r="N45" s="11">
        <f t="shared" si="8"/>
        <v>1.1122634569197314E-10</v>
      </c>
      <c r="O45" s="10">
        <f t="shared" si="9"/>
        <v>10.042414677833269</v>
      </c>
    </row>
    <row r="46" spans="1:15">
      <c r="A46" s="10">
        <v>320</v>
      </c>
      <c r="B46" s="10">
        <f t="shared" si="0"/>
        <v>31.669440000000002</v>
      </c>
      <c r="C46" s="10">
        <f t="shared" si="1"/>
        <v>0.17806868473070028</v>
      </c>
      <c r="D46" s="10">
        <f t="shared" si="2"/>
        <v>0.21685745758527855</v>
      </c>
      <c r="E46" s="10">
        <f t="shared" si="3"/>
        <v>1.638359275106573E-9</v>
      </c>
      <c r="F46" s="10">
        <f t="shared" si="4"/>
        <v>1.6383592751062663E-9</v>
      </c>
      <c r="G46" s="10">
        <f t="shared" si="10"/>
        <v>6.8677542415495241</v>
      </c>
      <c r="I46" s="10">
        <v>700</v>
      </c>
      <c r="J46" s="10">
        <f t="shared" si="5"/>
        <v>69.276899999999998</v>
      </c>
      <c r="K46" s="10">
        <f t="shared" si="6"/>
        <v>0.14166098807767105</v>
      </c>
      <c r="L46" s="10">
        <f t="shared" si="7"/>
        <v>0.15545144805101135</v>
      </c>
      <c r="M46" s="11">
        <f t="shared" si="11"/>
        <v>6.6253454091944441E-11</v>
      </c>
      <c r="N46" s="11">
        <f t="shared" si="8"/>
        <v>6.6253454091952299E-11</v>
      </c>
      <c r="O46" s="10">
        <f t="shared" si="9"/>
        <v>10.769194421485109</v>
      </c>
    </row>
    <row r="47" spans="1:15">
      <c r="A47" s="10">
        <v>350</v>
      </c>
      <c r="B47" s="10">
        <f t="shared" si="0"/>
        <v>34.638449999999999</v>
      </c>
      <c r="C47" s="10">
        <f t="shared" si="1"/>
        <v>0.17413286715441198</v>
      </c>
      <c r="D47" s="10">
        <f t="shared" si="2"/>
        <v>0.20592463098447772</v>
      </c>
      <c r="E47" s="10">
        <f t="shared" si="3"/>
        <v>1.2050079451183873E-9</v>
      </c>
      <c r="F47" s="10">
        <f t="shared" si="4"/>
        <v>1.2050079451183356E-9</v>
      </c>
      <c r="G47" s="10">
        <f t="shared" si="10"/>
        <v>7.1329100341242819</v>
      </c>
      <c r="I47" s="10">
        <v>800</v>
      </c>
      <c r="J47" s="10">
        <f t="shared" si="5"/>
        <v>79.173599999999993</v>
      </c>
      <c r="K47" s="10">
        <f t="shared" si="6"/>
        <v>0.13872450631515473</v>
      </c>
      <c r="L47" s="10">
        <f t="shared" si="7"/>
        <v>0.14449442654908479</v>
      </c>
      <c r="M47" s="11">
        <f t="shared" si="11"/>
        <v>4.2280674949364259E-11</v>
      </c>
      <c r="N47" s="11">
        <f t="shared" si="8"/>
        <v>4.2280674949370411E-11</v>
      </c>
      <c r="O47" s="10">
        <f t="shared" si="9"/>
        <v>11.440143929826618</v>
      </c>
    </row>
    <row r="48" spans="1:15">
      <c r="A48" s="10">
        <v>380</v>
      </c>
      <c r="B48" s="10">
        <f t="shared" si="0"/>
        <v>37.607460000000003</v>
      </c>
      <c r="C48" s="10">
        <f t="shared" si="1"/>
        <v>0.17068938037574377</v>
      </c>
      <c r="D48" s="10">
        <f t="shared" si="2"/>
        <v>0.19635938993262159</v>
      </c>
      <c r="E48" s="10">
        <f t="shared" si="3"/>
        <v>9.0862354972662333E-10</v>
      </c>
      <c r="F48" s="10">
        <f t="shared" si="4"/>
        <v>9.0862354972644538E-10</v>
      </c>
      <c r="G48" s="10">
        <f t="shared" si="10"/>
        <v>7.3845779025154696</v>
      </c>
      <c r="I48" s="10">
        <v>900</v>
      </c>
      <c r="J48" s="10">
        <f t="shared" si="5"/>
        <v>89.070300000000003</v>
      </c>
      <c r="K48" s="10">
        <f t="shared" si="6"/>
        <v>0.13630465566682243</v>
      </c>
      <c r="L48" s="10">
        <f t="shared" si="7"/>
        <v>0.13546513308515828</v>
      </c>
      <c r="M48" s="11">
        <f t="shared" si="11"/>
        <v>2.8443216480954693E-11</v>
      </c>
      <c r="N48" s="11">
        <f t="shared" si="8"/>
        <v>2.8443216480959669E-11</v>
      </c>
      <c r="O48" s="10">
        <f t="shared" si="9"/>
        <v>12.065920043434975</v>
      </c>
    </row>
    <row r="49" spans="1:15">
      <c r="A49" s="10">
        <v>390</v>
      </c>
      <c r="B49" s="10">
        <f t="shared" si="0"/>
        <v>38.59713</v>
      </c>
      <c r="C49" s="10">
        <f t="shared" si="1"/>
        <v>0.1696341995215476</v>
      </c>
      <c r="D49" s="10">
        <f t="shared" si="2"/>
        <v>0.19342833200429888</v>
      </c>
      <c r="E49" s="10">
        <f t="shared" si="3"/>
        <v>8.3105224522712334E-10</v>
      </c>
      <c r="F49" s="10">
        <f t="shared" si="4"/>
        <v>8.3105224522703834E-10</v>
      </c>
      <c r="G49" s="10">
        <f t="shared" si="10"/>
        <v>7.4657784760530843</v>
      </c>
      <c r="I49" s="10">
        <v>950</v>
      </c>
      <c r="J49" s="10">
        <f t="shared" si="5"/>
        <v>94.018649999999994</v>
      </c>
      <c r="K49" s="10">
        <f t="shared" si="6"/>
        <v>0.13524455401911334</v>
      </c>
      <c r="L49" s="10">
        <f t="shared" si="7"/>
        <v>0.13150952992206466</v>
      </c>
      <c r="M49" s="11">
        <f t="shared" si="11"/>
        <v>2.3709443839147938E-11</v>
      </c>
      <c r="N49" s="11">
        <f t="shared" si="8"/>
        <v>2.3709443839147941E-11</v>
      </c>
      <c r="O49" s="10">
        <f t="shared" si="9"/>
        <v>12.364348465407124</v>
      </c>
    </row>
    <row r="50" spans="1:15">
      <c r="A50" s="10">
        <v>400</v>
      </c>
      <c r="B50" s="10">
        <f t="shared" si="0"/>
        <v>39.586799999999997</v>
      </c>
      <c r="C50" s="10">
        <f t="shared" si="1"/>
        <v>0.1686204145385416</v>
      </c>
      <c r="D50" s="10">
        <f t="shared" si="2"/>
        <v>0.19061226260705999</v>
      </c>
      <c r="E50" s="10">
        <f t="shared" si="3"/>
        <v>7.6180027135809476E-10</v>
      </c>
      <c r="F50" s="10">
        <f t="shared" si="4"/>
        <v>7.618002713580137E-10</v>
      </c>
      <c r="G50" s="10">
        <f t="shared" si="10"/>
        <v>7.5457295173731618</v>
      </c>
      <c r="I50" s="10">
        <v>1000</v>
      </c>
      <c r="J50" s="10">
        <f t="shared" si="5"/>
        <v>98.966999999999999</v>
      </c>
      <c r="K50" s="10">
        <f t="shared" si="6"/>
        <v>0.13426720980341164</v>
      </c>
      <c r="L50" s="10">
        <f t="shared" si="7"/>
        <v>0.12786272314705832</v>
      </c>
      <c r="M50" s="11">
        <f t="shared" si="11"/>
        <v>1.9948299348248818E-11</v>
      </c>
      <c r="N50" s="11">
        <f t="shared" si="8"/>
        <v>1.9948299348244715E-11</v>
      </c>
      <c r="O50" s="10">
        <f t="shared" si="9"/>
        <v>12.654190121694921</v>
      </c>
    </row>
    <row r="51" spans="1:15">
      <c r="A51" s="10">
        <v>500</v>
      </c>
      <c r="B51" s="10">
        <f t="shared" si="0"/>
        <v>49.483499999999999</v>
      </c>
      <c r="C51" s="10">
        <f t="shared" si="1"/>
        <v>0.16028423676993159</v>
      </c>
      <c r="D51" s="10">
        <f t="shared" si="2"/>
        <v>0.16745621324980994</v>
      </c>
      <c r="E51" s="10">
        <f t="shared" si="3"/>
        <v>3.5344365033889088E-10</v>
      </c>
      <c r="F51" s="10">
        <f t="shared" si="4"/>
        <v>3.534436503388108E-10</v>
      </c>
      <c r="G51" s="10">
        <f t="shared" si="10"/>
        <v>8.2863195283469704</v>
      </c>
      <c r="I51" s="10">
        <v>1050</v>
      </c>
      <c r="J51" s="10">
        <f t="shared" si="5"/>
        <v>103.91535</v>
      </c>
      <c r="K51" s="10">
        <f t="shared" si="6"/>
        <v>0.13336251151501849</v>
      </c>
      <c r="L51" s="10">
        <f t="shared" si="7"/>
        <v>0.12448698326499434</v>
      </c>
      <c r="M51" s="11">
        <f t="shared" si="11"/>
        <v>1.6925414615085137E-11</v>
      </c>
      <c r="N51" s="11">
        <f t="shared" si="8"/>
        <v>1.6925414615085131E-11</v>
      </c>
      <c r="O51" s="10">
        <f t="shared" si="9"/>
        <v>12.93610843642603</v>
      </c>
    </row>
    <row r="52" spans="1:15">
      <c r="A52" s="10">
        <v>600</v>
      </c>
      <c r="B52" s="10">
        <f t="shared" si="0"/>
        <v>59.380200000000002</v>
      </c>
      <c r="C52" s="10">
        <f t="shared" si="1"/>
        <v>0.15421551344297121</v>
      </c>
      <c r="D52" s="10">
        <f t="shared" si="2"/>
        <v>0.1505986484526978</v>
      </c>
      <c r="E52" s="10">
        <f t="shared" si="3"/>
        <v>1.8849688919366956E-10</v>
      </c>
      <c r="F52" s="10">
        <f t="shared" si="4"/>
        <v>1.884968891936885E-10</v>
      </c>
      <c r="G52" s="10">
        <f t="shared" si="10"/>
        <v>8.942577864850886</v>
      </c>
      <c r="I52" s="10">
        <v>1100</v>
      </c>
      <c r="J52" s="10">
        <f t="shared" si="5"/>
        <v>108.86369999999999</v>
      </c>
      <c r="K52" s="10">
        <f t="shared" si="6"/>
        <v>0.13252198798500084</v>
      </c>
      <c r="L52" s="10">
        <f t="shared" si="7"/>
        <v>0.12135070143657027</v>
      </c>
      <c r="M52" s="11">
        <f t="shared" si="11"/>
        <v>1.4470494656395346E-11</v>
      </c>
      <c r="N52" s="11">
        <f t="shared" si="8"/>
        <v>1.4470494656402246E-11</v>
      </c>
      <c r="O52" s="10">
        <f t="shared" si="9"/>
        <v>13.210686355980354</v>
      </c>
    </row>
    <row r="53" spans="1:15">
      <c r="A53" s="10">
        <v>700</v>
      </c>
      <c r="B53" s="10">
        <f t="shared" si="0"/>
        <v>69.276899999999998</v>
      </c>
      <c r="C53" s="10">
        <f t="shared" si="1"/>
        <v>0.14955643968473359</v>
      </c>
      <c r="D53" s="10">
        <f t="shared" si="2"/>
        <v>0.13765677690203773</v>
      </c>
      <c r="E53" s="10">
        <f t="shared" si="3"/>
        <v>1.1071492465142608E-10</v>
      </c>
      <c r="F53" s="10">
        <f t="shared" si="4"/>
        <v>1.1071492465132642E-10</v>
      </c>
      <c r="G53" s="10">
        <f t="shared" si="10"/>
        <v>9.5364347677647778</v>
      </c>
      <c r="I53" s="10">
        <v>1150</v>
      </c>
      <c r="J53" s="10">
        <f t="shared" si="5"/>
        <v>113.81205</v>
      </c>
      <c r="K53" s="10">
        <f t="shared" si="6"/>
        <v>0.1317384823809814</v>
      </c>
      <c r="L53" s="10">
        <f t="shared" si="7"/>
        <v>0.11842717306336342</v>
      </c>
      <c r="M53" s="11">
        <f t="shared" si="11"/>
        <v>1.2457895832020003E-11</v>
      </c>
      <c r="N53" s="11">
        <f t="shared" si="8"/>
        <v>1.2457895832020003E-11</v>
      </c>
      <c r="O53" s="10">
        <f t="shared" si="9"/>
        <v>13.478439342046171</v>
      </c>
    </row>
    <row r="54" spans="1:15">
      <c r="A54" s="10">
        <v>850</v>
      </c>
      <c r="B54" s="10">
        <f t="shared" si="0"/>
        <v>84.121949999999998</v>
      </c>
      <c r="C54" s="10">
        <f t="shared" si="1"/>
        <v>0.144247294632732</v>
      </c>
      <c r="D54" s="10">
        <f t="shared" si="2"/>
        <v>0.12290915175758889</v>
      </c>
      <c r="E54" s="10">
        <f t="shared" si="3"/>
        <v>5.6607019644888272E-11</v>
      </c>
      <c r="F54" s="10">
        <f t="shared" si="4"/>
        <v>5.6607019644898172E-11</v>
      </c>
      <c r="G54" s="10">
        <f t="shared" si="10"/>
        <v>10.339357518694305</v>
      </c>
      <c r="I54" s="10">
        <v>1200</v>
      </c>
      <c r="J54" s="10">
        <f t="shared" si="5"/>
        <v>118.7604</v>
      </c>
      <c r="K54" s="10">
        <f t="shared" si="6"/>
        <v>0.13100590189756023</v>
      </c>
      <c r="L54" s="10">
        <f t="shared" si="7"/>
        <v>0.11569366379686649</v>
      </c>
      <c r="M54" s="11">
        <f t="shared" si="11"/>
        <v>1.0793622595362959E-11</v>
      </c>
      <c r="N54" s="11">
        <f t="shared" si="8"/>
        <v>1.0793622595354128E-11</v>
      </c>
      <c r="O54" s="10">
        <f t="shared" si="9"/>
        <v>13.739825789981383</v>
      </c>
    </row>
    <row r="55" spans="1:15">
      <c r="A55" s="10">
        <v>900</v>
      </c>
      <c r="B55" s="10">
        <f t="shared" si="0"/>
        <v>89.070300000000003</v>
      </c>
      <c r="C55" s="10">
        <f t="shared" si="1"/>
        <v>0.14279449286275536</v>
      </c>
      <c r="D55" s="10">
        <f t="shared" si="2"/>
        <v>0.11887359128543155</v>
      </c>
      <c r="E55" s="10">
        <f t="shared" si="3"/>
        <v>4.6457691708786819E-11</v>
      </c>
      <c r="F55" s="10">
        <f t="shared" si="4"/>
        <v>4.6457691708777927E-11</v>
      </c>
      <c r="G55" s="10">
        <f t="shared" si="10"/>
        <v>10.588106437870774</v>
      </c>
      <c r="I55" s="10">
        <v>1250</v>
      </c>
      <c r="J55" s="10">
        <f t="shared" si="5"/>
        <v>123.70874999999999</v>
      </c>
      <c r="K55" s="10">
        <f t="shared" si="6"/>
        <v>0.13031902323643441</v>
      </c>
      <c r="L55" s="10">
        <f t="shared" si="7"/>
        <v>0.1131306837180388</v>
      </c>
      <c r="M55" s="11">
        <f t="shared" si="11"/>
        <v>9.4064594553372839E-12</v>
      </c>
      <c r="N55" s="11">
        <f t="shared" si="8"/>
        <v>9.4064594553427511E-12</v>
      </c>
      <c r="O55" s="10">
        <f t="shared" si="9"/>
        <v>13.995255469403933</v>
      </c>
    </row>
    <row r="56" spans="1:15">
      <c r="A56" s="10">
        <v>950</v>
      </c>
      <c r="B56" s="10">
        <f t="shared" si="0"/>
        <v>94.018649999999994</v>
      </c>
      <c r="C56" s="10">
        <f t="shared" si="1"/>
        <v>0.14146382415691464</v>
      </c>
      <c r="D56" s="10">
        <f t="shared" si="2"/>
        <v>0.11517728932476287</v>
      </c>
      <c r="E56" s="10">
        <f t="shared" si="3"/>
        <v>3.8536280488929918E-11</v>
      </c>
      <c r="F56" s="10">
        <f t="shared" si="4"/>
        <v>3.8536280488913853E-11</v>
      </c>
      <c r="G56" s="10">
        <f t="shared" si="10"/>
        <v>10.828813252973616</v>
      </c>
      <c r="I56" s="10">
        <v>1300</v>
      </c>
      <c r="J56" s="10">
        <f t="shared" si="5"/>
        <v>128.65709999999999</v>
      </c>
      <c r="K56" s="10">
        <f t="shared" si="6"/>
        <v>0.12967333977250803</v>
      </c>
      <c r="L56" s="10">
        <f t="shared" si="7"/>
        <v>0.11072141706159709</v>
      </c>
      <c r="M56" s="11">
        <f t="shared" si="11"/>
        <v>8.2418204505629444E-12</v>
      </c>
      <c r="N56" s="11">
        <f t="shared" si="8"/>
        <v>8.2418204505629444E-12</v>
      </c>
      <c r="O56" s="10">
        <f t="shared" si="9"/>
        <v>14.245096427035602</v>
      </c>
    </row>
    <row r="57" spans="1:15">
      <c r="A57" s="10">
        <v>1000</v>
      </c>
      <c r="B57" s="10">
        <f t="shared" si="0"/>
        <v>98.966999999999999</v>
      </c>
      <c r="C57" s="10">
        <f t="shared" si="1"/>
        <v>0.14023940174154312</v>
      </c>
      <c r="D57" s="10">
        <f t="shared" si="2"/>
        <v>0.11177611594873087</v>
      </c>
      <c r="E57" s="10">
        <f t="shared" si="3"/>
        <v>3.2272610734379921E-11</v>
      </c>
      <c r="F57" s="10">
        <f t="shared" si="4"/>
        <v>3.2272610734387217E-11</v>
      </c>
      <c r="G57" s="10">
        <f t="shared" si="10"/>
        <v>11.062146867098047</v>
      </c>
      <c r="I57" s="10">
        <v>1350</v>
      </c>
      <c r="J57" s="10">
        <f t="shared" si="5"/>
        <v>133.60544999999999</v>
      </c>
      <c r="K57" s="10">
        <f t="shared" si="6"/>
        <v>0.12906494025816845</v>
      </c>
      <c r="L57" s="10">
        <f t="shared" si="7"/>
        <v>0.1084512696200315</v>
      </c>
      <c r="M57" s="11">
        <f t="shared" si="11"/>
        <v>7.2574171669561415E-12</v>
      </c>
      <c r="N57" s="11">
        <f t="shared" si="8"/>
        <v>7.2574171669561399E-12</v>
      </c>
      <c r="O57" s="10">
        <f t="shared" si="9"/>
        <v>14.489680680655637</v>
      </c>
    </row>
    <row r="58" spans="1:15">
      <c r="A58" s="10">
        <v>1050</v>
      </c>
      <c r="B58" s="10">
        <f t="shared" si="0"/>
        <v>103.91535</v>
      </c>
      <c r="C58" s="10">
        <f t="shared" si="1"/>
        <v>0.13910806562142777</v>
      </c>
      <c r="D58" s="10">
        <f t="shared" si="2"/>
        <v>0.10863351561507714</v>
      </c>
      <c r="E58" s="10">
        <f t="shared" si="3"/>
        <v>2.7261312602977188E-11</v>
      </c>
      <c r="F58" s="10">
        <f t="shared" si="4"/>
        <v>2.7261312602963869E-11</v>
      </c>
      <c r="G58" s="10">
        <f t="shared" si="10"/>
        <v>11.288689796871207</v>
      </c>
      <c r="I58" s="10">
        <v>1400</v>
      </c>
      <c r="J58" s="10">
        <f t="shared" si="5"/>
        <v>138.5538</v>
      </c>
      <c r="K58" s="10">
        <f t="shared" si="6"/>
        <v>0.12849041166258551</v>
      </c>
      <c r="L58" s="10">
        <f t="shared" si="7"/>
        <v>0.10630750620367727</v>
      </c>
      <c r="M58" s="11">
        <f t="shared" si="11"/>
        <v>6.4201641164884019E-12</v>
      </c>
      <c r="N58" s="11">
        <f t="shared" si="8"/>
        <v>6.4201641164817336E-12</v>
      </c>
      <c r="O58" s="10">
        <f t="shared" si="9"/>
        <v>14.729308953043059</v>
      </c>
    </row>
    <row r="59" spans="1:15">
      <c r="A59" s="10">
        <v>1100</v>
      </c>
      <c r="B59" s="10">
        <f t="shared" si="0"/>
        <v>108.86369999999999</v>
      </c>
      <c r="C59" s="10">
        <f t="shared" si="1"/>
        <v>0.13805881166739409</v>
      </c>
      <c r="D59" s="10">
        <f t="shared" si="2"/>
        <v>0.10571892129831691</v>
      </c>
      <c r="E59" s="10">
        <f t="shared" si="3"/>
        <v>2.320919857875477E-11</v>
      </c>
      <c r="F59" s="10">
        <f t="shared" si="4"/>
        <v>2.320919857875477E-11</v>
      </c>
      <c r="G59" s="10">
        <f t="shared" si="10"/>
        <v>11.508952932543581</v>
      </c>
      <c r="I59" s="10">
        <v>1450</v>
      </c>
      <c r="J59" s="10">
        <f t="shared" si="5"/>
        <v>143.50215</v>
      </c>
      <c r="K59" s="10">
        <f t="shared" si="6"/>
        <v>0.12794676067616928</v>
      </c>
      <c r="L59" s="10">
        <f t="shared" si="7"/>
        <v>0.10427895774690027</v>
      </c>
      <c r="M59" s="11">
        <f t="shared" si="11"/>
        <v>5.7039390093223346E-12</v>
      </c>
      <c r="N59" s="11">
        <f t="shared" si="8"/>
        <v>5.7039390093306751E-12</v>
      </c>
      <c r="O59" s="10">
        <f t="shared" si="9"/>
        <v>14.964254636439344</v>
      </c>
    </row>
    <row r="60" spans="1:15">
      <c r="A60" s="10">
        <v>1150</v>
      </c>
      <c r="B60" s="10">
        <f t="shared" si="0"/>
        <v>113.81205</v>
      </c>
      <c r="C60" s="10">
        <f t="shared" si="1"/>
        <v>0.13708235988666992</v>
      </c>
      <c r="D60" s="10">
        <f t="shared" si="2"/>
        <v>0.10300655524074977</v>
      </c>
      <c r="E60" s="10">
        <f t="shared" si="3"/>
        <v>1.9900903926524527E-11</v>
      </c>
      <c r="F60" s="10">
        <f t="shared" si="4"/>
        <v>1.9900903926524524E-11</v>
      </c>
      <c r="G60" s="10">
        <f t="shared" si="10"/>
        <v>11.723387215387975</v>
      </c>
      <c r="I60" s="10">
        <v>1500</v>
      </c>
      <c r="J60" s="10">
        <f t="shared" si="5"/>
        <v>148.45050000000001</v>
      </c>
      <c r="K60" s="10">
        <f t="shared" si="6"/>
        <v>0.12743134979111387</v>
      </c>
      <c r="L60" s="10">
        <f t="shared" si="7"/>
        <v>0.10235578280266366</v>
      </c>
      <c r="M60" s="11">
        <f t="shared" si="11"/>
        <v>5.0879420705943381E-12</v>
      </c>
      <c r="N60" s="11">
        <f t="shared" si="8"/>
        <v>5.0879420705943373E-12</v>
      </c>
      <c r="O60" s="10">
        <f t="shared" si="9"/>
        <v>15.194767134946822</v>
      </c>
    </row>
    <row r="61" spans="1:15">
      <c r="A61" s="10">
        <v>1200</v>
      </c>
      <c r="B61" s="10">
        <f t="shared" si="0"/>
        <v>118.7604</v>
      </c>
      <c r="C61" s="10">
        <f t="shared" si="1"/>
        <v>0.136170823557203</v>
      </c>
      <c r="D61" s="10">
        <f t="shared" si="2"/>
        <v>0.10047450988111944</v>
      </c>
      <c r="E61" s="10">
        <f t="shared" si="3"/>
        <v>1.7175985323434051E-11</v>
      </c>
      <c r="F61" s="10">
        <f t="shared" si="4"/>
        <v>1.7175985323418512E-11</v>
      </c>
      <c r="G61" s="10">
        <f t="shared" si="10"/>
        <v>11.932392983285698</v>
      </c>
      <c r="I61" s="10">
        <v>1550</v>
      </c>
      <c r="J61" s="10">
        <f t="shared" si="5"/>
        <v>153.39885000000001</v>
      </c>
      <c r="K61" s="10">
        <f t="shared" si="6"/>
        <v>0.12694184486787657</v>
      </c>
      <c r="L61" s="10">
        <f t="shared" si="7"/>
        <v>0.10052927189506182</v>
      </c>
      <c r="M61" s="11">
        <f t="shared" si="11"/>
        <v>4.5554806463800018E-12</v>
      </c>
      <c r="N61" s="11">
        <f t="shared" si="8"/>
        <v>4.5554806463873883E-12</v>
      </c>
      <c r="O61" s="10">
        <f t="shared" si="9"/>
        <v>15.421074700039805</v>
      </c>
    </row>
    <row r="62" spans="1:15">
      <c r="A62" s="10">
        <v>1250</v>
      </c>
      <c r="B62" s="10">
        <f t="shared" si="0"/>
        <v>123.70874999999999</v>
      </c>
      <c r="C62" s="10">
        <f t="shared" si="1"/>
        <v>0.13531745256729083</v>
      </c>
      <c r="D62" s="10">
        <f t="shared" si="2"/>
        <v>9.8104034909141186E-2</v>
      </c>
      <c r="E62" s="10">
        <f t="shared" si="3"/>
        <v>1.4913368784513098E-11</v>
      </c>
      <c r="F62" s="10">
        <f t="shared" si="4"/>
        <v>1.4913368784479506E-11</v>
      </c>
      <c r="G62" s="10">
        <f t="shared" si="10"/>
        <v>12.13632752856622</v>
      </c>
      <c r="I62" s="10">
        <v>1600</v>
      </c>
      <c r="J62" s="10">
        <f t="shared" si="5"/>
        <v>158.34719999999999</v>
      </c>
      <c r="K62" s="10">
        <f t="shared" si="6"/>
        <v>0.12647617182873186</v>
      </c>
      <c r="L62" s="10">
        <f t="shared" si="7"/>
        <v>9.8791685928103931E-2</v>
      </c>
      <c r="M62" s="11">
        <f t="shared" si="11"/>
        <v>4.093059430313557E-12</v>
      </c>
      <c r="N62" s="11">
        <f t="shared" si="8"/>
        <v>4.0930594303205283E-12</v>
      </c>
      <c r="O62" s="10">
        <f t="shared" si="9"/>
        <v>15.643386849994657</v>
      </c>
    </row>
    <row r="63" spans="1:15">
      <c r="A63" s="10">
        <v>1300</v>
      </c>
      <c r="B63" s="10">
        <f t="shared" si="0"/>
        <v>128.65709999999999</v>
      </c>
      <c r="C63" s="10">
        <f t="shared" si="1"/>
        <v>0.13451643210219366</v>
      </c>
      <c r="D63" s="10">
        <f t="shared" si="2"/>
        <v>9.5878978061649051E-2</v>
      </c>
      <c r="E63" s="10">
        <f t="shared" si="3"/>
        <v>1.3020607067606099E-11</v>
      </c>
      <c r="F63" s="10">
        <f t="shared" si="4"/>
        <v>1.3020607067601643E-11</v>
      </c>
      <c r="G63" s="10">
        <f t="shared" si="10"/>
        <v>12.335511268375386</v>
      </c>
      <c r="I63" s="10">
        <v>1650</v>
      </c>
      <c r="J63" s="10">
        <f t="shared" si="5"/>
        <v>163.29554999999999</v>
      </c>
      <c r="K63" s="10">
        <f t="shared" si="6"/>
        <v>0.12603248066084322</v>
      </c>
      <c r="L63" s="10">
        <f t="shared" si="7"/>
        <v>9.713612186881794E-2</v>
      </c>
      <c r="M63" s="11">
        <f t="shared" si="11"/>
        <v>3.6896928119016235E-12</v>
      </c>
      <c r="N63" s="11">
        <f t="shared" si="8"/>
        <v>3.6896928119082151E-12</v>
      </c>
      <c r="O63" s="10">
        <f t="shared" si="9"/>
        <v>15.861896445435653</v>
      </c>
    </row>
    <row r="64" spans="1:15">
      <c r="A64" s="10">
        <v>1350</v>
      </c>
      <c r="B64" s="10">
        <f t="shared" si="0"/>
        <v>133.60544999999999</v>
      </c>
      <c r="C64" s="10">
        <f t="shared" si="1"/>
        <v>0.13376272313308607</v>
      </c>
      <c r="D64" s="10">
        <f t="shared" si="2"/>
        <v>9.3785342036350181E-2</v>
      </c>
      <c r="E64" s="10">
        <f t="shared" si="3"/>
        <v>1.1426342695853751E-11</v>
      </c>
      <c r="F64" s="10">
        <f t="shared" si="4"/>
        <v>1.1426342695841293E-11</v>
      </c>
      <c r="G64" s="10">
        <f t="shared" si="10"/>
        <v>12.530232826170481</v>
      </c>
      <c r="I64" s="10">
        <v>1700</v>
      </c>
      <c r="J64" s="10">
        <f t="shared" si="5"/>
        <v>168.2439</v>
      </c>
      <c r="K64" s="10">
        <f t="shared" si="6"/>
        <v>0.12560911531610663</v>
      </c>
      <c r="L64" s="10">
        <f t="shared" si="7"/>
        <v>9.5556400433233685E-2</v>
      </c>
      <c r="M64" s="11">
        <f t="shared" si="11"/>
        <v>3.3363803733977626E-12</v>
      </c>
      <c r="N64" s="11">
        <f t="shared" si="8"/>
        <v>3.3363803733977622E-12</v>
      </c>
      <c r="O64" s="10">
        <f t="shared" si="9"/>
        <v>16.076781478848925</v>
      </c>
    </row>
    <row r="65" spans="1:15">
      <c r="A65" s="10">
        <v>1400</v>
      </c>
      <c r="B65" s="10">
        <f t="shared" si="0"/>
        <v>138.5538</v>
      </c>
      <c r="C65" s="10">
        <f t="shared" si="1"/>
        <v>0.1330519348438938</v>
      </c>
      <c r="D65" s="10">
        <f t="shared" si="2"/>
        <v>9.1810930121927203E-2</v>
      </c>
      <c r="E65" s="10">
        <f t="shared" si="3"/>
        <v>1.0074943788969858E-11</v>
      </c>
      <c r="F65" s="10">
        <f t="shared" si="4"/>
        <v>1.0074943788950461E-11</v>
      </c>
      <c r="G65" s="10">
        <f t="shared" si="10"/>
        <v>12.720753249927476</v>
      </c>
      <c r="I65" s="10">
        <v>1750</v>
      </c>
      <c r="J65" s="10">
        <f t="shared" si="5"/>
        <v>173.19225</v>
      </c>
      <c r="K65" s="10">
        <f t="shared" si="6"/>
        <v>0.12520458840067186</v>
      </c>
      <c r="L65" s="10">
        <f t="shared" si="7"/>
        <v>9.4046971644297969E-2</v>
      </c>
      <c r="M65" s="11">
        <f t="shared" si="11"/>
        <v>3.0257034086078647E-12</v>
      </c>
      <c r="N65" s="11">
        <f t="shared" si="8"/>
        <v>3.0257034086034234E-12</v>
      </c>
      <c r="O65" s="10">
        <f t="shared" si="9"/>
        <v>16.288206624762164</v>
      </c>
    </row>
    <row r="66" spans="1:15">
      <c r="A66" s="10">
        <v>1450</v>
      </c>
      <c r="B66" s="10">
        <f t="shared" si="0"/>
        <v>143.50215</v>
      </c>
      <c r="C66" s="10">
        <f t="shared" si="1"/>
        <v>0.1323802217194</v>
      </c>
      <c r="D66" s="10">
        <f t="shared" si="2"/>
        <v>8.994506033166666E-2</v>
      </c>
      <c r="E66" s="10">
        <f t="shared" si="3"/>
        <v>8.9226355898244227E-12</v>
      </c>
      <c r="F66" s="10">
        <f t="shared" si="4"/>
        <v>8.9226355898098937E-12</v>
      </c>
      <c r="G66" s="10">
        <f t="shared" si="10"/>
        <v>12.907309539473879</v>
      </c>
      <c r="I66" s="10">
        <v>1800</v>
      </c>
      <c r="J66" s="10">
        <f t="shared" si="5"/>
        <v>178.14060000000001</v>
      </c>
      <c r="K66" s="10">
        <f t="shared" si="6"/>
        <v>0.12481755977991205</v>
      </c>
      <c r="L66" s="10">
        <f t="shared" si="7"/>
        <v>9.2602834999671785E-2</v>
      </c>
      <c r="M66" s="11">
        <f t="shared" si="11"/>
        <v>2.7515120497571827E-12</v>
      </c>
      <c r="N66" s="11">
        <f t="shared" si="8"/>
        <v>2.7515120497515585E-12</v>
      </c>
      <c r="O66" s="10">
        <f t="shared" si="9"/>
        <v>16.496324588542532</v>
      </c>
    </row>
    <row r="67" spans="1:15">
      <c r="A67" s="10">
        <v>1500</v>
      </c>
      <c r="B67" s="10">
        <f t="shared" si="0"/>
        <v>148.45050000000001</v>
      </c>
      <c r="C67" s="10">
        <f t="shared" si="1"/>
        <v>0.1317441998633116</v>
      </c>
      <c r="D67" s="10">
        <f t="shared" si="2"/>
        <v>8.8178332953643301E-2</v>
      </c>
      <c r="E67" s="10">
        <f t="shared" si="3"/>
        <v>7.9346763746348832E-12</v>
      </c>
      <c r="F67" s="10">
        <f t="shared" si="4"/>
        <v>7.934676374628067E-12</v>
      </c>
      <c r="G67" s="10">
        <f t="shared" si="10"/>
        <v>13.090117616134826</v>
      </c>
      <c r="I67" s="10">
        <v>1850</v>
      </c>
      <c r="J67" s="10">
        <f t="shared" si="5"/>
        <v>183.08895000000001</v>
      </c>
      <c r="K67" s="10">
        <f t="shared" si="6"/>
        <v>0.12444681840352187</v>
      </c>
      <c r="L67" s="10">
        <f t="shared" si="7"/>
        <v>9.1219471654932327E-2</v>
      </c>
      <c r="M67" s="11">
        <f t="shared" si="11"/>
        <v>2.5086808246200695E-12</v>
      </c>
      <c r="N67" s="11">
        <f t="shared" si="8"/>
        <v>2.5086808246187314E-12</v>
      </c>
      <c r="O67" s="10">
        <f t="shared" si="9"/>
        <v>16.701277284856324</v>
      </c>
    </row>
    <row r="68" spans="1:15">
      <c r="A68" s="10">
        <v>1550</v>
      </c>
      <c r="B68" s="10">
        <f t="shared" si="0"/>
        <v>153.39885000000001</v>
      </c>
      <c r="C68" s="10">
        <f t="shared" si="1"/>
        <v>0.13114087844788055</v>
      </c>
      <c r="D68" s="10">
        <f t="shared" si="2"/>
        <v>8.6502440133001526E-2</v>
      </c>
      <c r="E68" s="10">
        <f t="shared" si="3"/>
        <v>7.0832723105556099E-12</v>
      </c>
      <c r="F68" s="10">
        <f t="shared" si="4"/>
        <v>7.0832723105427902E-12</v>
      </c>
      <c r="G68" s="10">
        <f t="shared" si="10"/>
        <v>13.269374838596281</v>
      </c>
      <c r="I68" s="10">
        <v>1900</v>
      </c>
      <c r="J68" s="10">
        <f t="shared" si="5"/>
        <v>188.03729999999999</v>
      </c>
      <c r="K68" s="10">
        <f t="shared" si="6"/>
        <v>0.12409126679397124</v>
      </c>
      <c r="L68" s="10">
        <f t="shared" si="7"/>
        <v>8.9892786544668785E-2</v>
      </c>
      <c r="M68" s="11">
        <f t="shared" si="11"/>
        <v>2.2929163196180525E-12</v>
      </c>
      <c r="N68" s="11">
        <f t="shared" si="8"/>
        <v>2.2929163196180529E-12</v>
      </c>
      <c r="O68" s="10">
        <f t="shared" si="9"/>
        <v>16.903196871335847</v>
      </c>
    </row>
    <row r="69" spans="1:15">
      <c r="A69" s="10">
        <v>1600</v>
      </c>
      <c r="B69" s="10">
        <f t="shared" si="0"/>
        <v>158.34719999999999</v>
      </c>
      <c r="C69" s="10">
        <f t="shared" si="1"/>
        <v>0.13056760317102725</v>
      </c>
      <c r="D69" s="10">
        <f t="shared" si="2"/>
        <v>8.4910008808409015E-2</v>
      </c>
      <c r="E69" s="10">
        <f t="shared" si="3"/>
        <v>6.3460216041214882E-12</v>
      </c>
      <c r="F69" s="10">
        <f t="shared" si="4"/>
        <v>6.346021604127528E-12</v>
      </c>
      <c r="G69" s="10">
        <f t="shared" si="10"/>
        <v>13.445262146786902</v>
      </c>
      <c r="I69" s="10">
        <v>1950</v>
      </c>
      <c r="J69" s="10">
        <f t="shared" si="5"/>
        <v>192.98564999999999</v>
      </c>
      <c r="K69" s="10">
        <f t="shared" si="6"/>
        <v>0.12374990774963535</v>
      </c>
      <c r="L69" s="10">
        <f t="shared" si="7"/>
        <v>8.8619058767296047E-2</v>
      </c>
      <c r="M69" s="11">
        <f t="shared" si="11"/>
        <v>2.1006048264254496E-12</v>
      </c>
      <c r="N69" s="11">
        <f t="shared" si="8"/>
        <v>2.1006048264266649E-12</v>
      </c>
      <c r="O69" s="10">
        <f t="shared" si="9"/>
        <v>17.102206658594827</v>
      </c>
    </row>
    <row r="70" spans="1:15">
      <c r="A70" s="10">
        <v>1650</v>
      </c>
      <c r="B70" s="10">
        <f t="shared" si="0"/>
        <v>163.29554999999999</v>
      </c>
      <c r="C70" s="10">
        <f t="shared" si="1"/>
        <v>0.13002200931710367</v>
      </c>
      <c r="D70" s="10">
        <f t="shared" si="2"/>
        <v>8.3394470325287962E-2</v>
      </c>
      <c r="E70" s="10">
        <f t="shared" si="3"/>
        <v>5.7047421234497636E-12</v>
      </c>
      <c r="F70" s="10">
        <f t="shared" si="4"/>
        <v>5.7047421234497636E-12</v>
      </c>
      <c r="G70" s="10">
        <f t="shared" si="10"/>
        <v>13.617945898726576</v>
      </c>
      <c r="I70" s="10">
        <v>2000</v>
      </c>
      <c r="J70" s="10">
        <f t="shared" si="5"/>
        <v>197.934</v>
      </c>
      <c r="K70" s="10">
        <f t="shared" si="6"/>
        <v>0.12342183289884878</v>
      </c>
      <c r="L70" s="10">
        <f t="shared" si="7"/>
        <v>8.7394898876301405E-2</v>
      </c>
      <c r="M70" s="11">
        <f t="shared" si="11"/>
        <v>1.9286908947342454E-12</v>
      </c>
      <c r="N70" s="11">
        <f t="shared" si="8"/>
        <v>1.9286908947377262E-12</v>
      </c>
      <c r="O70" s="10">
        <f t="shared" si="9"/>
        <v>17.298421914181841</v>
      </c>
    </row>
    <row r="71" spans="1:15">
      <c r="A71" s="10">
        <v>1700</v>
      </c>
      <c r="B71" s="10">
        <f t="shared" si="0"/>
        <v>168.2439</v>
      </c>
      <c r="C71" s="10">
        <f t="shared" si="1"/>
        <v>0.12950198255528941</v>
      </c>
      <c r="D71" s="10">
        <f t="shared" si="2"/>
        <v>8.1949951542470575E-2</v>
      </c>
      <c r="E71" s="10">
        <f t="shared" si="3"/>
        <v>5.1445798272083454E-12</v>
      </c>
      <c r="F71" s="10">
        <f t="shared" si="4"/>
        <v>5.1445798272002618E-12</v>
      </c>
      <c r="G71" s="10">
        <f t="shared" si="10"/>
        <v>13.787579452316265</v>
      </c>
      <c r="I71" s="10">
        <v>2050</v>
      </c>
      <c r="J71" s="10">
        <f t="shared" si="5"/>
        <v>202.88235</v>
      </c>
      <c r="K71" s="10">
        <f t="shared" si="6"/>
        <v>0.12310621280830278</v>
      </c>
      <c r="L71" s="10">
        <f t="shared" si="7"/>
        <v>8.6217211971279004E-2</v>
      </c>
      <c r="M71" s="11">
        <f t="shared" si="11"/>
        <v>1.7745799400856118E-12</v>
      </c>
      <c r="N71" s="11">
        <f t="shared" si="8"/>
        <v>1.7745799400822839E-12</v>
      </c>
      <c r="O71" s="10">
        <f t="shared" si="9"/>
        <v>17.491950575181217</v>
      </c>
    </row>
    <row r="72" spans="1:15">
      <c r="A72" s="10">
        <v>1750</v>
      </c>
      <c r="B72" s="10">
        <f t="shared" si="0"/>
        <v>173.19225</v>
      </c>
      <c r="C72" s="10">
        <f t="shared" si="1"/>
        <v>0.12900562601518961</v>
      </c>
      <c r="D72" s="10">
        <f t="shared" si="2"/>
        <v>8.0571183375526684E-2</v>
      </c>
      <c r="E72" s="10">
        <f t="shared" si="3"/>
        <v>4.6533248818416728E-12</v>
      </c>
      <c r="F72" s="10">
        <f t="shared" si="4"/>
        <v>4.6533248818391218E-12</v>
      </c>
      <c r="G72" s="10">
        <f t="shared" si="10"/>
        <v>13.954304533970062</v>
      </c>
      <c r="I72" s="10">
        <v>2100</v>
      </c>
      <c r="J72" s="10">
        <f t="shared" si="5"/>
        <v>207.83070000000001</v>
      </c>
      <c r="K72" s="10">
        <f t="shared" si="6"/>
        <v>0.12280228840266601</v>
      </c>
      <c r="L72" s="10">
        <f t="shared" si="7"/>
        <v>8.5083165681589551E-2</v>
      </c>
      <c r="M72" s="11">
        <f t="shared" si="11"/>
        <v>1.6360596973481957E-12</v>
      </c>
      <c r="N72" s="11">
        <f t="shared" si="8"/>
        <v>1.6360596973481957E-12</v>
      </c>
      <c r="O72" s="10">
        <f t="shared" si="9"/>
        <v>17.682893881820736</v>
      </c>
    </row>
    <row r="73" spans="1:15">
      <c r="A73" s="10">
        <v>1800</v>
      </c>
      <c r="B73" s="10">
        <f t="shared" si="0"/>
        <v>178.14060000000001</v>
      </c>
      <c r="C73" s="10">
        <f t="shared" si="1"/>
        <v>0.12853123248780093</v>
      </c>
      <c r="D73" s="10">
        <f t="shared" si="2"/>
        <v>7.9253423577224799E-2</v>
      </c>
      <c r="E73" s="10">
        <f t="shared" si="3"/>
        <v>4.2208828313893128E-12</v>
      </c>
      <c r="F73" s="10">
        <f t="shared" si="4"/>
        <v>4.2208828313917337E-12</v>
      </c>
      <c r="G73" s="10">
        <f t="shared" si="10"/>
        <v>14.118252428100973</v>
      </c>
      <c r="I73" s="10">
        <v>2150</v>
      </c>
      <c r="J73" s="10">
        <f t="shared" si="5"/>
        <v>212.77905000000001</v>
      </c>
      <c r="K73" s="10">
        <f t="shared" si="6"/>
        <v>0.12250936349511296</v>
      </c>
      <c r="L73" s="10">
        <f t="shared" si="7"/>
        <v>8.3990162295197582E-2</v>
      </c>
      <c r="M73" s="11">
        <f t="shared" si="11"/>
        <v>1.5112365305374656E-12</v>
      </c>
      <c r="N73" s="11">
        <f t="shared" si="8"/>
        <v>1.5112365305405169E-12</v>
      </c>
      <c r="O73" s="10">
        <f t="shared" si="9"/>
        <v>17.871346942517963</v>
      </c>
    </row>
    <row r="74" spans="1:15">
      <c r="A74" s="10">
        <v>1850</v>
      </c>
      <c r="B74" s="10">
        <f t="shared" si="0"/>
        <v>183.08895000000001</v>
      </c>
      <c r="C74" s="10">
        <f t="shared" si="1"/>
        <v>0.12807726083681964</v>
      </c>
      <c r="D74" s="10">
        <f t="shared" si="2"/>
        <v>7.7992391213387871E-2</v>
      </c>
      <c r="E74" s="10">
        <f t="shared" si="3"/>
        <v>3.8388625458856876E-12</v>
      </c>
      <c r="F74" s="10">
        <f t="shared" si="4"/>
        <v>3.8388625458856876E-12</v>
      </c>
      <c r="G74" s="10">
        <f t="shared" si="10"/>
        <v>14.279545015248413</v>
      </c>
      <c r="I74" s="10">
        <v>2200</v>
      </c>
      <c r="J74" s="10">
        <f t="shared" si="5"/>
        <v>217.72739999999999</v>
      </c>
      <c r="K74" s="10">
        <f t="shared" si="6"/>
        <v>0.12222679826291026</v>
      </c>
      <c r="L74" s="10">
        <f t="shared" si="7"/>
        <v>8.2935814413844233E-2</v>
      </c>
      <c r="M74" s="11">
        <f t="shared" si="11"/>
        <v>1.398483523436221E-12</v>
      </c>
      <c r="N74" s="11">
        <f t="shared" si="8"/>
        <v>1.3984835234352458E-12</v>
      </c>
      <c r="O74" s="10">
        <f t="shared" si="9"/>
        <v>18.057399239208827</v>
      </c>
    </row>
    <row r="75" spans="1:15">
      <c r="A75" s="10">
        <v>1900</v>
      </c>
      <c r="B75" s="10">
        <f t="shared" si="0"/>
        <v>188.03729999999999</v>
      </c>
      <c r="C75" s="10">
        <f t="shared" si="1"/>
        <v>0.12764231588842986</v>
      </c>
      <c r="D75" s="10">
        <f t="shared" si="2"/>
        <v>7.6784210801194047E-2</v>
      </c>
      <c r="E75" s="10">
        <f t="shared" si="3"/>
        <v>3.5002528528293686E-12</v>
      </c>
      <c r="F75" s="10">
        <f t="shared" si="4"/>
        <v>3.5002528528118743E-12</v>
      </c>
      <c r="G75" s="10">
        <f t="shared" si="10"/>
        <v>14.438295681687364</v>
      </c>
      <c r="I75" s="10">
        <v>2250</v>
      </c>
      <c r="J75" s="10">
        <f t="shared" si="5"/>
        <v>222.67574999999999</v>
      </c>
      <c r="K75" s="10">
        <f t="shared" si="6"/>
        <v>0.12195400353011075</v>
      </c>
      <c r="L75" s="10">
        <f t="shared" si="7"/>
        <v>8.1917923619816216E-2</v>
      </c>
      <c r="M75" s="11">
        <f t="shared" si="11"/>
        <v>1.2963979647871855E-12</v>
      </c>
      <c r="N75" s="11">
        <f t="shared" si="8"/>
        <v>1.2963979647871857E-12</v>
      </c>
      <c r="O75" s="10">
        <f t="shared" si="9"/>
        <v>18.241135080485289</v>
      </c>
    </row>
    <row r="76" spans="1:15">
      <c r="A76" s="10">
        <v>1950</v>
      </c>
      <c r="B76" s="10">
        <f t="shared" si="0"/>
        <v>192.98564999999999</v>
      </c>
      <c r="C76" s="10">
        <f t="shared" si="1"/>
        <v>0.12722513121045215</v>
      </c>
      <c r="D76" s="10">
        <f t="shared" si="2"/>
        <v>7.5625364473478174E-2</v>
      </c>
      <c r="E76" s="10">
        <f t="shared" si="3"/>
        <v>3.1991670432964333E-12</v>
      </c>
      <c r="F76" s="10">
        <f t="shared" si="4"/>
        <v>3.1991670432818542E-12</v>
      </c>
      <c r="G76" s="10">
        <f t="shared" si="10"/>
        <v>14.594610119401093</v>
      </c>
      <c r="I76" s="10">
        <v>2300</v>
      </c>
      <c r="J76" s="10">
        <f t="shared" si="5"/>
        <v>227.6241</v>
      </c>
      <c r="K76" s="10">
        <f t="shared" si="6"/>
        <v>0.1216904357421076</v>
      </c>
      <c r="L76" s="10">
        <f t="shared" si="7"/>
        <v>8.093446172428205E-2</v>
      </c>
      <c r="M76" s="11">
        <f t="shared" si="11"/>
        <v>1.2037663653171992E-12</v>
      </c>
      <c r="N76" s="11">
        <f t="shared" si="8"/>
        <v>1.2037663653180985E-12</v>
      </c>
      <c r="O76" s="10">
        <f t="shared" si="9"/>
        <v>18.42263400897415</v>
      </c>
    </row>
    <row r="77" spans="1:15">
      <c r="A77" s="10">
        <v>2000</v>
      </c>
      <c r="B77" s="10">
        <f t="shared" si="0"/>
        <v>197.934</v>
      </c>
      <c r="C77" s="10">
        <f t="shared" si="1"/>
        <v>0.12682455430375583</v>
      </c>
      <c r="D77" s="10">
        <f t="shared" si="2"/>
        <v>7.4512650843766182E-2</v>
      </c>
      <c r="E77" s="10">
        <f t="shared" si="3"/>
        <v>2.9306397110092565E-12</v>
      </c>
      <c r="F77" s="10">
        <f t="shared" si="4"/>
        <v>2.9306397110013123E-12</v>
      </c>
      <c r="G77" s="10">
        <f t="shared" si="10"/>
        <v>14.748587032110015</v>
      </c>
      <c r="I77" s="10">
        <v>2350</v>
      </c>
      <c r="J77" s="10">
        <f t="shared" si="5"/>
        <v>232.57245</v>
      </c>
      <c r="K77" s="10">
        <f t="shared" si="6"/>
        <v>0.12143559253536196</v>
      </c>
      <c r="L77" s="10">
        <f t="shared" si="7"/>
        <v>7.9983554236425197E-2</v>
      </c>
      <c r="M77" s="11">
        <f t="shared" si="11"/>
        <v>1.1195355440782634E-12</v>
      </c>
      <c r="N77" s="11">
        <f t="shared" si="8"/>
        <v>1.1195355440791286E-12</v>
      </c>
      <c r="O77" s="10">
        <f t="shared" si="9"/>
        <v>18.601971168473288</v>
      </c>
    </row>
    <row r="78" spans="1:15">
      <c r="A78" s="10">
        <v>2050</v>
      </c>
      <c r="B78" s="10">
        <f t="shared" ref="B78:B141" si="12">0.098967*A78</f>
        <v>202.88235</v>
      </c>
      <c r="C78" s="10">
        <f t="shared" ref="C78:C141" si="13">$B$6+(($B$7-$B$6)/(1+($B$3*A78)^$B$4)^$B$5)</f>
        <v>0.12643953381734746</v>
      </c>
      <c r="D78" s="10">
        <f t="shared" ref="D78:D141" si="14">(C78-$B$6)/($B$7-$B$6)</f>
        <v>7.3443149492631823E-2</v>
      </c>
      <c r="E78" s="10">
        <f t="shared" ref="E78:E141" si="15">$B$8*D78^$B$9*(1-(1-D78^(1/$B$5))^$B$5)^2</f>
        <v>2.6904642237667862E-12</v>
      </c>
      <c r="F78" s="10">
        <f t="shared" ref="F78:F141" si="16">$B$8*((1-(($B$3*A78)^($B$4-1))*(1+($B$3*A78)^$B$4)^(-1+1/$B$4))^2)/(1+($B$3*A78)^$B$4)^(0.5-(1/(2*$B$4)))</f>
        <v>2.6904642237592019E-12</v>
      </c>
      <c r="G78" s="10">
        <f t="shared" si="10"/>
        <v>14.900318760466453</v>
      </c>
      <c r="I78" s="10">
        <v>2400</v>
      </c>
      <c r="J78" s="10">
        <f t="shared" ref="J78:J141" si="17">0.098967*I78</f>
        <v>237.52080000000001</v>
      </c>
      <c r="K78" s="10">
        <f t="shared" ref="K78:K141" si="18">$J$6+(($J$7-$J$6)/(1+($J$3*I78)^$J$4)^$J$5)</f>
        <v>0.12118900882086545</v>
      </c>
      <c r="L78" s="10">
        <f t="shared" ref="L78:L141" si="19">(K78-$J$6)/($J$7-$J$6)</f>
        <v>7.9063465749497908E-2</v>
      </c>
      <c r="M78" s="11">
        <f t="shared" ref="M78:M141" si="20">$J$8*L78^$J$9*(1-(1-L78^(1/$J$5))^$J$5)^2</f>
        <v>1.0427886294772337E-12</v>
      </c>
      <c r="N78" s="11">
        <f t="shared" ref="N78:N141" si="21">$J$8*((1-(($J$3*I78)^($J$4-1))*(1+($J$3*I78)^$J$4)^(-1+1/$J$4))^2)/(1+($J$3*I78)^$J$4)^(0.5-(1/(2*$J$4)))</f>
        <v>1.0427886294780659E-12</v>
      </c>
      <c r="O78" s="10">
        <f t="shared" ref="O78:O141" si="22">L78*J78</f>
        <v>18.779217635593344</v>
      </c>
    </row>
    <row r="79" spans="1:15">
      <c r="A79" s="10">
        <v>2100</v>
      </c>
      <c r="B79" s="10">
        <f t="shared" si="12"/>
        <v>207.83070000000001</v>
      </c>
      <c r="C79" s="10">
        <f t="shared" si="13"/>
        <v>0.12606910846891731</v>
      </c>
      <c r="D79" s="10">
        <f t="shared" si="14"/>
        <v>7.2414190191436953E-2</v>
      </c>
      <c r="E79" s="10">
        <f t="shared" si="15"/>
        <v>2.4750619519061707E-12</v>
      </c>
      <c r="F79" s="10">
        <f t="shared" si="16"/>
        <v>2.475061951902547E-12</v>
      </c>
      <c r="G79" s="10">
        <f t="shared" ref="G79:G142" si="23">D79*B79</f>
        <v>15.049891837419477</v>
      </c>
      <c r="I79" s="10">
        <v>2450</v>
      </c>
      <c r="J79" s="10">
        <f t="shared" si="17"/>
        <v>242.46914999999998</v>
      </c>
      <c r="K79" s="10">
        <f t="shared" si="18"/>
        <v>0.12095025331247854</v>
      </c>
      <c r="L79" s="10">
        <f t="shared" si="19"/>
        <v>7.8172586986860193E-2</v>
      </c>
      <c r="M79" s="11">
        <f t="shared" si="20"/>
        <v>9.7272505854323022E-13</v>
      </c>
      <c r="N79" s="11">
        <f t="shared" si="21"/>
        <v>9.7272505854643595E-13</v>
      </c>
      <c r="O79" s="10">
        <f t="shared" si="22"/>
        <v>18.954440720005049</v>
      </c>
    </row>
    <row r="80" spans="1:15">
      <c r="A80" s="10">
        <v>2150</v>
      </c>
      <c r="B80" s="10">
        <f t="shared" si="12"/>
        <v>212.77905000000001</v>
      </c>
      <c r="C80" s="10">
        <f t="shared" si="13"/>
        <v>0.12571239740891027</v>
      </c>
      <c r="D80" s="10">
        <f t="shared" si="14"/>
        <v>7.1423326135861845E-2</v>
      </c>
      <c r="E80" s="10">
        <f t="shared" si="15"/>
        <v>2.2813764731780096E-12</v>
      </c>
      <c r="F80" s="10">
        <f t="shared" si="16"/>
        <v>2.2813764731745421E-12</v>
      </c>
      <c r="G80" s="10">
        <f t="shared" si="23"/>
        <v>15.197387483028855</v>
      </c>
      <c r="I80" s="10">
        <v>2500</v>
      </c>
      <c r="J80" s="10">
        <f t="shared" si="17"/>
        <v>247.41749999999999</v>
      </c>
      <c r="K80" s="10">
        <f t="shared" si="18"/>
        <v>0.1207189254417107</v>
      </c>
      <c r="L80" s="10">
        <f t="shared" si="19"/>
        <v>7.7309423289965276E-2</v>
      </c>
      <c r="M80" s="11">
        <f t="shared" si="20"/>
        <v>9.0864384344343139E-13</v>
      </c>
      <c r="N80" s="11">
        <f t="shared" si="21"/>
        <v>9.0864384344420394E-13</v>
      </c>
      <c r="O80" s="10">
        <f t="shared" si="22"/>
        <v>19.127704236844984</v>
      </c>
    </row>
    <row r="81" spans="1:15">
      <c r="A81" s="10">
        <v>2200</v>
      </c>
      <c r="B81" s="10">
        <f t="shared" si="12"/>
        <v>217.72739999999999</v>
      </c>
      <c r="C81" s="10">
        <f t="shared" si="13"/>
        <v>0.12536859181146348</v>
      </c>
      <c r="D81" s="10">
        <f t="shared" si="14"/>
        <v>7.0468310587398553E-2</v>
      </c>
      <c r="E81" s="10">
        <f t="shared" si="15"/>
        <v>2.1067875386975963E-12</v>
      </c>
      <c r="F81" s="10">
        <f t="shared" si="16"/>
        <v>2.1067875386992575E-12</v>
      </c>
      <c r="G81" s="10">
        <f t="shared" si="23"/>
        <v>15.342882046586759</v>
      </c>
      <c r="I81" s="10">
        <v>2550</v>
      </c>
      <c r="J81" s="10">
        <f t="shared" si="17"/>
        <v>252.36584999999999</v>
      </c>
      <c r="K81" s="10">
        <f t="shared" si="18"/>
        <v>0.12049465260917963</v>
      </c>
      <c r="L81" s="10">
        <f t="shared" si="19"/>
        <v>7.6472584362610535E-2</v>
      </c>
      <c r="M81" s="11">
        <f t="shared" si="20"/>
        <v>8.4992951927282845E-13</v>
      </c>
      <c r="N81" s="11">
        <f t="shared" si="21"/>
        <v>8.4992951927208357E-13</v>
      </c>
      <c r="O81" s="10">
        <f t="shared" si="22"/>
        <v>19.299068754366914</v>
      </c>
    </row>
    <row r="82" spans="1:15">
      <c r="A82" s="10">
        <v>2250</v>
      </c>
      <c r="B82" s="10">
        <f t="shared" si="12"/>
        <v>222.67574999999999</v>
      </c>
      <c r="C82" s="10">
        <f t="shared" si="13"/>
        <v>0.12503694751216901</v>
      </c>
      <c r="D82" s="10">
        <f t="shared" si="14"/>
        <v>6.9547076422691687E-2</v>
      </c>
      <c r="E82" s="10">
        <f t="shared" si="15"/>
        <v>1.9490407624644696E-12</v>
      </c>
      <c r="F82" s="10">
        <f t="shared" si="16"/>
        <v>1.94904076246447E-12</v>
      </c>
      <c r="G82" s="10">
        <f t="shared" si="23"/>
        <v>15.486447402730187</v>
      </c>
      <c r="I82" s="10">
        <v>2600</v>
      </c>
      <c r="J82" s="10">
        <f t="shared" si="17"/>
        <v>257.31419999999997</v>
      </c>
      <c r="K82" s="10">
        <f t="shared" si="18"/>
        <v>0.12027708773023034</v>
      </c>
      <c r="L82" s="10">
        <f t="shared" si="19"/>
        <v>7.5660775112799741E-2</v>
      </c>
      <c r="M82" s="11">
        <f t="shared" si="20"/>
        <v>7.9604030128402723E-13</v>
      </c>
      <c r="N82" s="11">
        <f t="shared" si="21"/>
        <v>7.960403012833082E-13</v>
      </c>
      <c r="O82" s="10">
        <f t="shared" si="22"/>
        <v>19.468591819529973</v>
      </c>
    </row>
    <row r="83" spans="1:15">
      <c r="A83" s="10">
        <v>2300</v>
      </c>
      <c r="B83" s="10">
        <f t="shared" si="12"/>
        <v>227.6241</v>
      </c>
      <c r="C83" s="10">
        <f t="shared" si="13"/>
        <v>0.12471677854238478</v>
      </c>
      <c r="D83" s="10">
        <f t="shared" si="14"/>
        <v>6.8657718173291027E-2</v>
      </c>
      <c r="E83" s="10">
        <f t="shared" si="15"/>
        <v>1.8061898897073488E-12</v>
      </c>
      <c r="F83" s="10">
        <f t="shared" si="16"/>
        <v>1.8061898897027664E-12</v>
      </c>
      <c r="G83" s="10">
        <f t="shared" si="23"/>
        <v>15.628151307249015</v>
      </c>
      <c r="I83" s="10">
        <v>2650</v>
      </c>
      <c r="J83" s="10">
        <f t="shared" si="17"/>
        <v>262.26254999999998</v>
      </c>
      <c r="K83" s="10">
        <f t="shared" si="18"/>
        <v>0.12006590703826699</v>
      </c>
      <c r="L83" s="10">
        <f t="shared" si="19"/>
        <v>7.4872787456220072E-2</v>
      </c>
      <c r="M83" s="11">
        <f t="shared" si="20"/>
        <v>7.4649806987301269E-13</v>
      </c>
      <c r="N83" s="11">
        <f t="shared" si="21"/>
        <v>7.4649806987301279E-13</v>
      </c>
      <c r="O83" s="10">
        <f t="shared" si="22"/>
        <v>19.636328163876289</v>
      </c>
    </row>
    <row r="84" spans="1:15">
      <c r="A84" s="10">
        <v>2350</v>
      </c>
      <c r="B84" s="10">
        <f t="shared" si="12"/>
        <v>232.57245</v>
      </c>
      <c r="C84" s="10">
        <f t="shared" si="13"/>
        <v>0.12440745143413345</v>
      </c>
      <c r="D84" s="10">
        <f t="shared" si="14"/>
        <v>6.7798476205926245E-2</v>
      </c>
      <c r="E84" s="10">
        <f t="shared" si="15"/>
        <v>1.6765491801784969E-12</v>
      </c>
      <c r="F84" s="10">
        <f t="shared" si="16"/>
        <v>1.6765491801814312E-12</v>
      </c>
      <c r="G84" s="10">
        <f t="shared" si="23"/>
        <v>15.768057717478971</v>
      </c>
      <c r="I84" s="10">
        <v>2700</v>
      </c>
      <c r="J84" s="10">
        <f t="shared" si="17"/>
        <v>267.21089999999998</v>
      </c>
      <c r="K84" s="10">
        <f t="shared" si="18"/>
        <v>0.1198608081144576</v>
      </c>
      <c r="L84" s="10">
        <f t="shared" si="19"/>
        <v>7.4107492964393992E-2</v>
      </c>
      <c r="M84" s="11">
        <f t="shared" si="20"/>
        <v>7.0087987331685443E-13</v>
      </c>
      <c r="N84" s="11">
        <f t="shared" si="21"/>
        <v>7.0087987332021081E-13</v>
      </c>
      <c r="O84" s="10">
        <f t="shared" si="22"/>
        <v>19.802329891759385</v>
      </c>
    </row>
    <row r="85" spans="1:15">
      <c r="A85" s="10">
        <v>2400</v>
      </c>
      <c r="B85" s="10">
        <f t="shared" si="12"/>
        <v>237.52080000000001</v>
      </c>
      <c r="C85" s="10">
        <f t="shared" si="13"/>
        <v>0.12410838018958421</v>
      </c>
      <c r="D85" s="10">
        <f t="shared" si="14"/>
        <v>6.6967722748845021E-2</v>
      </c>
      <c r="E85" s="10">
        <f t="shared" si="15"/>
        <v>1.5586539652916151E-12</v>
      </c>
      <c r="F85" s="10">
        <f t="shared" si="16"/>
        <v>1.5586539652902051E-12</v>
      </c>
      <c r="G85" s="10">
        <f t="shared" si="23"/>
        <v>15.90622708148387</v>
      </c>
      <c r="I85" s="10">
        <v>2750</v>
      </c>
      <c r="J85" s="10">
        <f t="shared" si="17"/>
        <v>272.15924999999999</v>
      </c>
      <c r="K85" s="10">
        <f t="shared" si="18"/>
        <v>0.11966150811678553</v>
      </c>
      <c r="L85" s="10">
        <f t="shared" si="19"/>
        <v>7.3363836256662388E-2</v>
      </c>
      <c r="M85" s="11">
        <f t="shared" si="20"/>
        <v>6.588106953759079E-13</v>
      </c>
      <c r="N85" s="11">
        <f t="shared" si="21"/>
        <v>6.588106953759079E-13</v>
      </c>
      <c r="O85" s="10">
        <f t="shared" si="22"/>
        <v>19.966646652736042</v>
      </c>
    </row>
    <row r="86" spans="1:15">
      <c r="A86" s="10">
        <v>2450</v>
      </c>
      <c r="B86" s="10">
        <f t="shared" si="12"/>
        <v>242.46914999999998</v>
      </c>
      <c r="C86" s="10">
        <f t="shared" si="13"/>
        <v>0.12381902182556277</v>
      </c>
      <c r="D86" s="10">
        <f t="shared" si="14"/>
        <v>6.6163949515452139E-2</v>
      </c>
      <c r="E86" s="10">
        <f t="shared" si="15"/>
        <v>1.4512278415849497E-12</v>
      </c>
      <c r="F86" s="10">
        <f t="shared" si="16"/>
        <v>1.4512278415863062E-12</v>
      </c>
      <c r="G86" s="10">
        <f t="shared" si="23"/>
        <v>16.04271659965459</v>
      </c>
      <c r="I86" s="10">
        <v>2800</v>
      </c>
      <c r="J86" s="10">
        <f t="shared" si="17"/>
        <v>277.10759999999999</v>
      </c>
      <c r="K86" s="10">
        <f t="shared" si="18"/>
        <v>0.11946774218507254</v>
      </c>
      <c r="L86" s="10">
        <f t="shared" si="19"/>
        <v>7.2640829048778124E-2</v>
      </c>
      <c r="M86" s="11">
        <f t="shared" si="20"/>
        <v>6.1995728070425049E-13</v>
      </c>
      <c r="N86" s="11">
        <f t="shared" si="21"/>
        <v>6.1995728070173795E-13</v>
      </c>
      <c r="O86" s="10">
        <f t="shared" si="22"/>
        <v>20.12932579971719</v>
      </c>
    </row>
    <row r="87" spans="1:15">
      <c r="A87" s="10">
        <v>2500</v>
      </c>
      <c r="B87" s="10">
        <f t="shared" si="12"/>
        <v>247.41749999999999</v>
      </c>
      <c r="C87" s="10">
        <f t="shared" si="13"/>
        <v>0.12353887241715623</v>
      </c>
      <c r="D87" s="10">
        <f t="shared" si="14"/>
        <v>6.5385756714322854E-2</v>
      </c>
      <c r="E87" s="10">
        <f t="shared" si="15"/>
        <v>1.3531552765163115E-12</v>
      </c>
      <c r="F87" s="10">
        <f t="shared" si="16"/>
        <v>1.3531552765071683E-12</v>
      </c>
      <c r="G87" s="10">
        <f t="shared" si="23"/>
        <v>16.177580461865976</v>
      </c>
      <c r="I87" s="10">
        <v>2850</v>
      </c>
      <c r="J87" s="10">
        <f t="shared" si="17"/>
        <v>282.05595</v>
      </c>
      <c r="K87" s="10">
        <f t="shared" si="18"/>
        <v>0.11927926200170302</v>
      </c>
      <c r="L87" s="10">
        <f t="shared" si="19"/>
        <v>7.1937544782473939E-2</v>
      </c>
      <c r="M87" s="11">
        <f t="shared" si="20"/>
        <v>5.8402284786072635E-13</v>
      </c>
      <c r="N87" s="11">
        <f t="shared" si="21"/>
        <v>5.8402284786072635E-13</v>
      </c>
      <c r="O87" s="10">
        <f t="shared" si="22"/>
        <v>20.29041253428823</v>
      </c>
    </row>
    <row r="88" spans="1:15">
      <c r="A88" s="10">
        <v>2550</v>
      </c>
      <c r="B88" s="10">
        <f t="shared" si="12"/>
        <v>252.36584999999999</v>
      </c>
      <c r="C88" s="10">
        <f t="shared" si="13"/>
        <v>0.12326746357579943</v>
      </c>
      <c r="D88" s="10">
        <f t="shared" si="14"/>
        <v>6.4631843266109518E-2</v>
      </c>
      <c r="E88" s="10">
        <f t="shared" si="15"/>
        <v>1.2634586473858132E-12</v>
      </c>
      <c r="F88" s="10">
        <f t="shared" si="16"/>
        <v>1.2634586473795207E-12</v>
      </c>
      <c r="G88" s="10">
        <f t="shared" si="23"/>
        <v>16.310870062918504</v>
      </c>
      <c r="I88" s="10">
        <v>2900</v>
      </c>
      <c r="J88" s="10">
        <f t="shared" si="17"/>
        <v>287.0043</v>
      </c>
      <c r="K88" s="10">
        <f t="shared" si="18"/>
        <v>0.11909583449042274</v>
      </c>
      <c r="L88" s="10">
        <f t="shared" si="19"/>
        <v>7.1253113770234092E-2</v>
      </c>
      <c r="M88" s="11">
        <f t="shared" si="20"/>
        <v>5.5074254953265981E-13</v>
      </c>
      <c r="N88" s="11">
        <f t="shared" si="21"/>
        <v>5.5074254953383818E-13</v>
      </c>
      <c r="O88" s="10">
        <f t="shared" si="22"/>
        <v>20.449950040446396</v>
      </c>
    </row>
    <row r="89" spans="1:15">
      <c r="A89" s="10">
        <v>2600</v>
      </c>
      <c r="B89" s="10">
        <f t="shared" si="12"/>
        <v>257.31419999999997</v>
      </c>
      <c r="C89" s="10">
        <f t="shared" si="13"/>
        <v>0.12300435930667865</v>
      </c>
      <c r="D89" s="10">
        <f t="shared" si="14"/>
        <v>6.3900998074107346E-2</v>
      </c>
      <c r="E89" s="10">
        <f t="shared" si="15"/>
        <v>1.1812789263824177E-12</v>
      </c>
      <c r="F89" s="10">
        <f t="shared" si="16"/>
        <v>1.1812789263812044E-12</v>
      </c>
      <c r="G89" s="10">
        <f t="shared" si="23"/>
        <v>16.442634198640469</v>
      </c>
      <c r="I89" s="10">
        <v>2950</v>
      </c>
      <c r="J89" s="10">
        <f t="shared" si="17"/>
        <v>291.95265000000001</v>
      </c>
      <c r="K89" s="10">
        <f t="shared" si="18"/>
        <v>0.11891724063784673</v>
      </c>
      <c r="L89" s="10">
        <f t="shared" si="19"/>
        <v>7.058671879793553E-2</v>
      </c>
      <c r="M89" s="11">
        <f t="shared" si="20"/>
        <v>5.1987956370551058E-13</v>
      </c>
      <c r="N89" s="11">
        <f t="shared" si="21"/>
        <v>5.1987956370608169E-13</v>
      </c>
      <c r="O89" s="10">
        <f t="shared" si="22"/>
        <v>20.607979607862092</v>
      </c>
    </row>
    <row r="90" spans="1:15">
      <c r="A90" s="10">
        <v>2650</v>
      </c>
      <c r="B90" s="10">
        <f t="shared" si="12"/>
        <v>262.26254999999998</v>
      </c>
      <c r="C90" s="10">
        <f t="shared" si="13"/>
        <v>0.12274915319820194</v>
      </c>
      <c r="D90" s="10">
        <f t="shared" si="14"/>
        <v>6.3192092217227602E-2</v>
      </c>
      <c r="E90" s="10">
        <f t="shared" si="15"/>
        <v>1.1058593763378765E-12</v>
      </c>
      <c r="F90" s="10">
        <f t="shared" si="16"/>
        <v>1.1058593763331935E-12</v>
      </c>
      <c r="G90" s="10">
        <f t="shared" si="23"/>
        <v>16.572919244725263</v>
      </c>
      <c r="I90" s="10">
        <v>3000</v>
      </c>
      <c r="J90" s="10">
        <f t="shared" si="17"/>
        <v>296.90100000000001</v>
      </c>
      <c r="K90" s="10">
        <f t="shared" si="18"/>
        <v>0.11874327442424884</v>
      </c>
      <c r="L90" s="10">
        <f t="shared" si="19"/>
        <v>6.9937591135256841E-2</v>
      </c>
      <c r="M90" s="11">
        <f t="shared" si="20"/>
        <v>4.9122171925543137E-13</v>
      </c>
      <c r="N90" s="11">
        <f t="shared" si="21"/>
        <v>4.912217192570932E-13</v>
      </c>
      <c r="O90" s="10">
        <f t="shared" si="22"/>
        <v>20.76454074564889</v>
      </c>
    </row>
    <row r="91" spans="1:15">
      <c r="A91" s="10">
        <v>2700</v>
      </c>
      <c r="B91" s="10">
        <f t="shared" si="12"/>
        <v>267.21089999999998</v>
      </c>
      <c r="C91" s="10">
        <f t="shared" si="13"/>
        <v>0.12250146590293866</v>
      </c>
      <c r="D91" s="10">
        <f t="shared" si="14"/>
        <v>6.2504071952607376E-2</v>
      </c>
      <c r="E91" s="10">
        <f t="shared" si="15"/>
        <v>1.0365317420151444E-12</v>
      </c>
      <c r="F91" s="10">
        <f t="shared" si="16"/>
        <v>1.0365317420106228E-12</v>
      </c>
      <c r="G91" s="10">
        <f t="shared" si="23"/>
        <v>16.701769320120974</v>
      </c>
      <c r="I91" s="10">
        <v>3050</v>
      </c>
      <c r="J91" s="10">
        <f t="shared" si="17"/>
        <v>301.84935000000002</v>
      </c>
      <c r="K91" s="10">
        <f t="shared" si="18"/>
        <v>0.118573741851871</v>
      </c>
      <c r="L91" s="10">
        <f t="shared" si="19"/>
        <v>6.9305006909966396E-2</v>
      </c>
      <c r="M91" s="11">
        <f t="shared" si="20"/>
        <v>4.6457857547088388E-13</v>
      </c>
      <c r="N91" s="11">
        <f t="shared" si="21"/>
        <v>4.6457857547195886E-13</v>
      </c>
      <c r="O91" s="10">
        <f t="shared" si="22"/>
        <v>20.919671287518867</v>
      </c>
    </row>
    <row r="92" spans="1:15">
      <c r="A92" s="10">
        <v>2750</v>
      </c>
      <c r="B92" s="10">
        <f t="shared" si="12"/>
        <v>272.15924999999999</v>
      </c>
      <c r="C92" s="10">
        <f t="shared" si="13"/>
        <v>0.12226094287504335</v>
      </c>
      <c r="D92" s="10">
        <f t="shared" si="14"/>
        <v>6.1835952430675974E-2</v>
      </c>
      <c r="E92" s="10">
        <f t="shared" si="15"/>
        <v>9.7270451744824659E-13</v>
      </c>
      <c r="F92" s="10">
        <f t="shared" si="16"/>
        <v>9.7270451744497038E-13</v>
      </c>
      <c r="G92" s="10">
        <f t="shared" si="23"/>
        <v>16.829226436568447</v>
      </c>
      <c r="I92" s="10">
        <v>3100</v>
      </c>
      <c r="J92" s="10">
        <f t="shared" si="17"/>
        <v>306.79770000000002</v>
      </c>
      <c r="K92" s="10">
        <f t="shared" si="18"/>
        <v>0.11840846006042552</v>
      </c>
      <c r="L92" s="10">
        <f t="shared" si="19"/>
        <v>6.8688283807557884E-2</v>
      </c>
      <c r="M92" s="11">
        <f t="shared" si="20"/>
        <v>4.3977888825303883E-13</v>
      </c>
      <c r="N92" s="11">
        <f t="shared" si="21"/>
        <v>4.3977888825251699E-13</v>
      </c>
      <c r="O92" s="10">
        <f t="shared" si="22"/>
        <v>21.073407489106003</v>
      </c>
    </row>
    <row r="93" spans="1:15">
      <c r="A93" s="10">
        <v>2800</v>
      </c>
      <c r="B93" s="10">
        <f t="shared" si="12"/>
        <v>277.10759999999999</v>
      </c>
      <c r="C93" s="10">
        <f t="shared" si="13"/>
        <v>0.12202725233392819</v>
      </c>
      <c r="D93" s="10">
        <f t="shared" si="14"/>
        <v>6.1186812038689413E-2</v>
      </c>
      <c r="E93" s="10">
        <f t="shared" si="15"/>
        <v>9.1385294648626992E-13</v>
      </c>
      <c r="F93" s="10">
        <f t="shared" si="16"/>
        <v>9.1385294648415835E-13</v>
      </c>
      <c r="G93" s="10">
        <f t="shared" si="23"/>
        <v>16.955330635692331</v>
      </c>
      <c r="I93" s="10">
        <v>3150</v>
      </c>
      <c r="J93" s="10">
        <f t="shared" si="17"/>
        <v>311.74605000000003</v>
      </c>
      <c r="K93" s="10">
        <f t="shared" si="18"/>
        <v>0.1182472565207046</v>
      </c>
      <c r="L93" s="10">
        <f t="shared" si="19"/>
        <v>6.8086778062330572E-2</v>
      </c>
      <c r="M93" s="11">
        <f t="shared" si="20"/>
        <v>4.1666840656550576E-13</v>
      </c>
      <c r="N93" s="11">
        <f t="shared" si="21"/>
        <v>4.1666840656753266E-13</v>
      </c>
      <c r="O93" s="10">
        <f t="shared" si="22"/>
        <v>21.225784118158213</v>
      </c>
    </row>
    <row r="94" spans="1:15">
      <c r="A94" s="10">
        <v>2850</v>
      </c>
      <c r="B94" s="10">
        <f t="shared" si="12"/>
        <v>282.05595</v>
      </c>
      <c r="C94" s="10">
        <f t="shared" si="13"/>
        <v>0.12180008342798174</v>
      </c>
      <c r="D94" s="10">
        <f t="shared" si="14"/>
        <v>6.0555787299949253E-2</v>
      </c>
      <c r="E94" s="10">
        <f t="shared" si="15"/>
        <v>8.5951047516833621E-13</v>
      </c>
      <c r="F94" s="10">
        <f t="shared" si="16"/>
        <v>8.595104751642515E-13</v>
      </c>
      <c r="G94" s="10">
        <f t="shared" si="23"/>
        <v>17.080120114885123</v>
      </c>
      <c r="I94" s="10">
        <v>3200</v>
      </c>
      <c r="J94" s="10">
        <f t="shared" si="17"/>
        <v>316.69439999999997</v>
      </c>
      <c r="K94" s="10">
        <f t="shared" si="18"/>
        <v>0.11808996829828508</v>
      </c>
      <c r="L94" s="10">
        <f t="shared" si="19"/>
        <v>6.749988171001893E-2</v>
      </c>
      <c r="M94" s="11">
        <f t="shared" si="20"/>
        <v>3.9510795170637959E-13</v>
      </c>
      <c r="N94" s="11">
        <f t="shared" si="21"/>
        <v>3.9510795170637959E-13</v>
      </c>
      <c r="O94" s="10">
        <f t="shared" si="22"/>
        <v>21.376834538225417</v>
      </c>
    </row>
    <row r="95" spans="1:15">
      <c r="A95" s="10">
        <v>2900</v>
      </c>
      <c r="B95" s="10">
        <f t="shared" si="12"/>
        <v>287.0043</v>
      </c>
      <c r="C95" s="10">
        <f t="shared" si="13"/>
        <v>0.12157914457556626</v>
      </c>
      <c r="D95" s="10">
        <f t="shared" si="14"/>
        <v>5.9942068265461827E-2</v>
      </c>
      <c r="E95" s="10">
        <f t="shared" si="15"/>
        <v>8.0926142425527869E-13</v>
      </c>
      <c r="F95" s="10">
        <f t="shared" si="16"/>
        <v>8.0926142425231359E-13</v>
      </c>
      <c r="G95" s="10">
        <f t="shared" si="23"/>
        <v>17.203631343081085</v>
      </c>
      <c r="I95" s="10">
        <v>3250</v>
      </c>
      <c r="J95" s="10">
        <f t="shared" si="17"/>
        <v>321.64274999999998</v>
      </c>
      <c r="K95" s="10">
        <f t="shared" si="18"/>
        <v>0.11793644138024867</v>
      </c>
      <c r="L95" s="10">
        <f t="shared" si="19"/>
        <v>6.6927020075554705E-2</v>
      </c>
      <c r="M95" s="11">
        <f t="shared" si="20"/>
        <v>3.7497173937103848E-13</v>
      </c>
      <c r="N95" s="11">
        <f t="shared" si="21"/>
        <v>3.7497173937247433E-13</v>
      </c>
      <c r="O95" s="10">
        <f t="shared" si="22"/>
        <v>21.526590786406622</v>
      </c>
    </row>
    <row r="96" spans="1:15">
      <c r="A96" s="10">
        <v>2950</v>
      </c>
      <c r="B96" s="10">
        <f t="shared" si="12"/>
        <v>291.95265000000001</v>
      </c>
      <c r="C96" s="10">
        <f t="shared" si="13"/>
        <v>0.12136416196345934</v>
      </c>
      <c r="D96" s="10">
        <f t="shared" si="14"/>
        <v>5.9344894342942593E-2</v>
      </c>
      <c r="E96" s="10">
        <f t="shared" si="15"/>
        <v>7.6273469039580635E-13</v>
      </c>
      <c r="F96" s="10">
        <f t="shared" si="16"/>
        <v>7.6273469039580635E-13</v>
      </c>
      <c r="G96" s="10">
        <f t="shared" si="23"/>
        <v>17.325899167392098</v>
      </c>
      <c r="I96" s="10">
        <v>3300</v>
      </c>
      <c r="J96" s="10">
        <f t="shared" si="17"/>
        <v>326.59109999999998</v>
      </c>
      <c r="K96" s="10">
        <f t="shared" si="18"/>
        <v>0.11778653005865047</v>
      </c>
      <c r="L96" s="10">
        <f t="shared" si="19"/>
        <v>6.6367649472576368E-2</v>
      </c>
      <c r="M96" s="11">
        <f t="shared" si="20"/>
        <v>3.5614591067789687E-13</v>
      </c>
      <c r="N96" s="11">
        <f t="shared" si="21"/>
        <v>3.5614591067743143E-13</v>
      </c>
      <c r="O96" s="10">
        <f t="shared" si="22"/>
        <v>21.675083645663136</v>
      </c>
    </row>
    <row r="97" spans="1:15">
      <c r="A97" s="10">
        <v>3000</v>
      </c>
      <c r="B97" s="10">
        <f t="shared" si="12"/>
        <v>296.90100000000001</v>
      </c>
      <c r="C97" s="10">
        <f t="shared" si="13"/>
        <v>0.12115487818541902</v>
      </c>
      <c r="D97" s="10">
        <f t="shared" si="14"/>
        <v>5.8763550515052825E-2</v>
      </c>
      <c r="E97" s="10">
        <f t="shared" si="15"/>
        <v>7.1959831712392823E-13</v>
      </c>
      <c r="F97" s="10">
        <f t="shared" si="16"/>
        <v>7.195983171174364E-13</v>
      </c>
      <c r="G97" s="10">
        <f t="shared" si="23"/>
        <v>17.446956911469698</v>
      </c>
      <c r="I97" s="10">
        <v>3350</v>
      </c>
      <c r="J97" s="10">
        <f t="shared" si="17"/>
        <v>331.53944999999999</v>
      </c>
      <c r="K97" s="10">
        <f t="shared" si="18"/>
        <v>0.11764009636517549</v>
      </c>
      <c r="L97" s="10">
        <f t="shared" si="19"/>
        <v>6.5821255093938352E-2</v>
      </c>
      <c r="M97" s="11">
        <f t="shared" si="20"/>
        <v>3.3852724344085301E-13</v>
      </c>
      <c r="N97" s="11">
        <f t="shared" si="21"/>
        <v>3.3852724344040009E-13</v>
      </c>
      <c r="O97" s="10">
        <f t="shared" si="22"/>
        <v>21.822342712154018</v>
      </c>
    </row>
    <row r="98" spans="1:15">
      <c r="A98" s="10">
        <v>3050</v>
      </c>
      <c r="B98" s="10">
        <f t="shared" si="12"/>
        <v>301.84935000000002</v>
      </c>
      <c r="C98" s="10">
        <f t="shared" si="13"/>
        <v>0.12095105100570994</v>
      </c>
      <c r="D98" s="10">
        <f t="shared" si="14"/>
        <v>5.8197363904749812E-2</v>
      </c>
      <c r="E98" s="10">
        <f t="shared" si="15"/>
        <v>6.7955480354224801E-13</v>
      </c>
      <c r="F98" s="10">
        <f t="shared" si="16"/>
        <v>6.7955480354134893E-13</v>
      </c>
      <c r="G98" s="10">
        <f t="shared" si="23"/>
        <v>17.566836466362194</v>
      </c>
      <c r="I98" s="10">
        <v>3400</v>
      </c>
      <c r="J98" s="10">
        <f t="shared" si="17"/>
        <v>336.48779999999999</v>
      </c>
      <c r="K98" s="10">
        <f t="shared" si="18"/>
        <v>0.11749700955204175</v>
      </c>
      <c r="L98" s="10">
        <f t="shared" si="19"/>
        <v>6.5287349074782605E-2</v>
      </c>
      <c r="M98" s="11">
        <f t="shared" si="20"/>
        <v>3.2202201930578215E-13</v>
      </c>
      <c r="N98" s="11">
        <f t="shared" si="21"/>
        <v>3.2202201930490049E-13</v>
      </c>
      <c r="O98" s="10">
        <f t="shared" si="22"/>
        <v>21.968396458005635</v>
      </c>
    </row>
    <row r="99" spans="1:15">
      <c r="A99" s="10">
        <v>3100</v>
      </c>
      <c r="B99" s="10">
        <f t="shared" si="12"/>
        <v>306.79770000000002</v>
      </c>
      <c r="C99" s="10">
        <f t="shared" si="13"/>
        <v>0.12075245223428736</v>
      </c>
      <c r="D99" s="10">
        <f t="shared" si="14"/>
        <v>5.7645700650798222E-2</v>
      </c>
      <c r="E99" s="10">
        <f t="shared" si="15"/>
        <v>6.4233704040080091E-13</v>
      </c>
      <c r="F99" s="10">
        <f t="shared" si="16"/>
        <v>6.4233704040080091E-13</v>
      </c>
      <c r="G99" s="10">
        <f t="shared" si="23"/>
        <v>17.685568374553398</v>
      </c>
      <c r="I99" s="10">
        <v>3450</v>
      </c>
      <c r="J99" s="10">
        <f t="shared" si="17"/>
        <v>341.43615</v>
      </c>
      <c r="K99" s="10">
        <f t="shared" si="18"/>
        <v>0.11735714561475076</v>
      </c>
      <c r="L99" s="10">
        <f t="shared" si="19"/>
        <v>6.4765468711756549E-2</v>
      </c>
      <c r="M99" s="11">
        <f t="shared" si="20"/>
        <v>3.065450259371877E-13</v>
      </c>
      <c r="N99" s="11">
        <f t="shared" si="21"/>
        <v>3.0654502593718765E-13</v>
      </c>
      <c r="O99" s="10">
        <f t="shared" si="22"/>
        <v>22.113272289887615</v>
      </c>
    </row>
    <row r="100" spans="1:15">
      <c r="A100" s="10">
        <v>3150</v>
      </c>
      <c r="B100" s="10">
        <f t="shared" si="12"/>
        <v>311.74605000000003</v>
      </c>
      <c r="C100" s="10">
        <f t="shared" si="13"/>
        <v>0.12055886670194091</v>
      </c>
      <c r="D100" s="10">
        <f t="shared" si="14"/>
        <v>5.7107963060946954E-2</v>
      </c>
      <c r="E100" s="10">
        <f t="shared" si="15"/>
        <v>6.0770478120653218E-13</v>
      </c>
      <c r="F100" s="10">
        <f t="shared" si="16"/>
        <v>6.0770478120653238E-13</v>
      </c>
      <c r="G100" s="10">
        <f t="shared" si="23"/>
        <v>17.803181907796123</v>
      </c>
      <c r="I100" s="10">
        <v>3500</v>
      </c>
      <c r="J100" s="10">
        <f t="shared" si="17"/>
        <v>346.3845</v>
      </c>
      <c r="K100" s="10">
        <f t="shared" si="18"/>
        <v>0.11722038685276084</v>
      </c>
      <c r="L100" s="10">
        <f t="shared" si="19"/>
        <v>6.4255174823734468E-2</v>
      </c>
      <c r="M100" s="11">
        <f t="shared" si="20"/>
        <v>2.9201867649501207E-13</v>
      </c>
      <c r="N100" s="11">
        <f t="shared" si="21"/>
        <v>2.9201867649584834E-13</v>
      </c>
      <c r="O100" s="10">
        <f t="shared" si="22"/>
        <v>22.256996603731853</v>
      </c>
    </row>
    <row r="101" spans="1:15">
      <c r="A101" s="10">
        <v>3200</v>
      </c>
      <c r="B101" s="10">
        <f t="shared" si="12"/>
        <v>316.69439999999997</v>
      </c>
      <c r="C101" s="10">
        <f t="shared" si="13"/>
        <v>0.1203700913250895</v>
      </c>
      <c r="D101" s="10">
        <f t="shared" si="14"/>
        <v>5.6583587014137474E-2</v>
      </c>
      <c r="E101" s="10">
        <f t="shared" si="15"/>
        <v>5.754415708324785E-13</v>
      </c>
      <c r="F101" s="10">
        <f t="shared" si="16"/>
        <v>5.7544157082754935E-13</v>
      </c>
      <c r="G101" s="10">
        <f t="shared" si="23"/>
        <v>17.919705139290055</v>
      </c>
      <c r="I101" s="10">
        <v>3550</v>
      </c>
      <c r="J101" s="10">
        <f t="shared" si="17"/>
        <v>351.33285000000001</v>
      </c>
      <c r="K101" s="10">
        <f t="shared" si="18"/>
        <v>0.11708662146457779</v>
      </c>
      <c r="L101" s="10">
        <f t="shared" si="19"/>
        <v>6.3756050240961898E-2</v>
      </c>
      <c r="M101" s="11">
        <f t="shared" si="20"/>
        <v>2.7837223118276449E-13</v>
      </c>
      <c r="N101" s="11">
        <f t="shared" si="21"/>
        <v>2.7837223118194958E-13</v>
      </c>
      <c r="O101" s="10">
        <f t="shared" si="22"/>
        <v>22.399594835900331</v>
      </c>
    </row>
    <row r="102" spans="1:15">
      <c r="A102" s="10">
        <v>3250</v>
      </c>
      <c r="B102" s="10">
        <f t="shared" si="12"/>
        <v>321.64274999999998</v>
      </c>
      <c r="C102" s="10">
        <f t="shared" si="13"/>
        <v>0.12018593425112437</v>
      </c>
      <c r="D102" s="10">
        <f t="shared" si="14"/>
        <v>5.6072039586456561E-2</v>
      </c>
      <c r="E102" s="10">
        <f t="shared" si="15"/>
        <v>5.4535206629602601E-13</v>
      </c>
      <c r="F102" s="10">
        <f t="shared" si="16"/>
        <v>5.4535206629602611E-13</v>
      </c>
      <c r="G102" s="10">
        <f t="shared" si="23"/>
        <v>18.035165010696751</v>
      </c>
      <c r="I102" s="10">
        <v>3600</v>
      </c>
      <c r="J102" s="10">
        <f t="shared" si="17"/>
        <v>356.28120000000001</v>
      </c>
      <c r="K102" s="10">
        <f t="shared" si="18"/>
        <v>0.11695574317412503</v>
      </c>
      <c r="L102" s="10">
        <f t="shared" si="19"/>
        <v>6.3267698410914286E-2</v>
      </c>
      <c r="M102" s="11">
        <f t="shared" si="20"/>
        <v>2.6554110779895207E-13</v>
      </c>
      <c r="N102" s="11">
        <f t="shared" si="21"/>
        <v>2.6554110779696621E-13</v>
      </c>
      <c r="O102" s="10">
        <f t="shared" si="22"/>
        <v>22.541091511078637</v>
      </c>
    </row>
    <row r="103" spans="1:15">
      <c r="A103" s="10">
        <v>3300</v>
      </c>
      <c r="B103" s="10">
        <f t="shared" si="12"/>
        <v>326.59109999999998</v>
      </c>
      <c r="C103" s="10">
        <f t="shared" si="13"/>
        <v>0.12000621407624579</v>
      </c>
      <c r="D103" s="10">
        <f t="shared" si="14"/>
        <v>5.557281687846051E-2</v>
      </c>
      <c r="E103" s="10">
        <f t="shared" si="15"/>
        <v>5.1725969457231303E-13</v>
      </c>
      <c r="F103" s="10">
        <f t="shared" si="16"/>
        <v>5.1725969456688537E-13</v>
      </c>
      <c r="G103" s="10">
        <f t="shared" si="23"/>
        <v>18.149587394434985</v>
      </c>
      <c r="I103" s="10">
        <v>3650</v>
      </c>
      <c r="J103" s="10">
        <f t="shared" si="17"/>
        <v>361.22955000000002</v>
      </c>
      <c r="K103" s="10">
        <f t="shared" si="18"/>
        <v>0.11682765088558103</v>
      </c>
      <c r="L103" s="10">
        <f t="shared" si="19"/>
        <v>6.2789742110376953E-2</v>
      </c>
      <c r="M103" s="11">
        <f t="shared" si="20"/>
        <v>2.5346627006006087E-13</v>
      </c>
      <c r="N103" s="11">
        <f t="shared" si="21"/>
        <v>2.5346627005889901E-13</v>
      </c>
      <c r="O103" s="10">
        <f t="shared" si="22"/>
        <v>22.681510287147518</v>
      </c>
    </row>
    <row r="104" spans="1:15">
      <c r="A104" s="10">
        <v>3350</v>
      </c>
      <c r="B104" s="10">
        <f t="shared" si="12"/>
        <v>331.53944999999999</v>
      </c>
      <c r="C104" s="10">
        <f t="shared" si="13"/>
        <v>0.11983075912865207</v>
      </c>
      <c r="D104" s="10">
        <f t="shared" si="14"/>
        <v>5.5085442024033517E-2</v>
      </c>
      <c r="E104" s="10">
        <f t="shared" si="15"/>
        <v>4.9100460071098603E-13</v>
      </c>
      <c r="F104" s="10">
        <f t="shared" si="16"/>
        <v>4.9100460070797094E-13</v>
      </c>
      <c r="G104" s="10">
        <f t="shared" si="23"/>
        <v>18.262997151654957</v>
      </c>
      <c r="I104" s="10">
        <v>3700</v>
      </c>
      <c r="J104" s="10">
        <f t="shared" si="17"/>
        <v>366.17790000000002</v>
      </c>
      <c r="K104" s="10">
        <f t="shared" si="18"/>
        <v>0.11670224836415903</v>
      </c>
      <c r="L104" s="10">
        <f t="shared" si="19"/>
        <v>6.232182225432472E-2</v>
      </c>
      <c r="M104" s="11">
        <f t="shared" si="20"/>
        <v>2.4209368400155702E-13</v>
      </c>
      <c r="N104" s="11">
        <f t="shared" si="21"/>
        <v>2.4209368400117923E-13</v>
      </c>
      <c r="O104" s="10">
        <f t="shared" si="22"/>
        <v>22.820873997261895</v>
      </c>
    </row>
    <row r="105" spans="1:15">
      <c r="A105" s="10">
        <v>3400</v>
      </c>
      <c r="B105" s="10">
        <f t="shared" si="12"/>
        <v>336.48779999999999</v>
      </c>
      <c r="C105" s="10">
        <f t="shared" si="13"/>
        <v>0.11965940681073901</v>
      </c>
      <c r="D105" s="10">
        <f t="shared" si="14"/>
        <v>5.4609463363163913E-2</v>
      </c>
      <c r="E105" s="10">
        <f t="shared" si="15"/>
        <v>4.6644184662832936E-13</v>
      </c>
      <c r="F105" s="10">
        <f t="shared" si="16"/>
        <v>4.6644184662613015E-13</v>
      </c>
      <c r="G105" s="10">
        <f t="shared" si="23"/>
        <v>18.375418186251625</v>
      </c>
      <c r="I105" s="10">
        <v>3750</v>
      </c>
      <c r="J105" s="10">
        <f t="shared" si="17"/>
        <v>371.12624999999997</v>
      </c>
      <c r="K105" s="10">
        <f t="shared" si="18"/>
        <v>0.11657944394055875</v>
      </c>
      <c r="L105" s="10">
        <f t="shared" si="19"/>
        <v>6.1863596793129631E-2</v>
      </c>
      <c r="M105" s="11">
        <f t="shared" si="20"/>
        <v>2.313738340906243E-13</v>
      </c>
      <c r="N105" s="11">
        <f t="shared" si="21"/>
        <v>2.3137383409025569E-13</v>
      </c>
      <c r="O105" s="10">
        <f t="shared" si="22"/>
        <v>22.959204689346222</v>
      </c>
    </row>
    <row r="106" spans="1:15">
      <c r="A106" s="10">
        <v>3450</v>
      </c>
      <c r="B106" s="10">
        <f t="shared" si="12"/>
        <v>341.43615</v>
      </c>
      <c r="C106" s="10">
        <f t="shared" si="13"/>
        <v>0.1194920029946652</v>
      </c>
      <c r="D106" s="10">
        <f t="shared" si="14"/>
        <v>5.4144452762958865E-2</v>
      </c>
      <c r="E106" s="10">
        <f t="shared" si="15"/>
        <v>4.434398268082538E-13</v>
      </c>
      <c r="F106" s="10">
        <f t="shared" si="16"/>
        <v>4.4343982680825365E-13</v>
      </c>
      <c r="G106" s="10">
        <f t="shared" si="23"/>
        <v>18.486873495241536</v>
      </c>
      <c r="I106" s="10">
        <v>3800</v>
      </c>
      <c r="J106" s="10">
        <f t="shared" si="17"/>
        <v>376.07459999999998</v>
      </c>
      <c r="K106" s="10">
        <f t="shared" si="18"/>
        <v>0.11645915023704602</v>
      </c>
      <c r="L106" s="10">
        <f t="shared" si="19"/>
        <v>6.1414739690470198E-2</v>
      </c>
      <c r="M106" s="11">
        <f t="shared" si="20"/>
        <v>2.2126129180150914E-13</v>
      </c>
      <c r="N106" s="11">
        <f t="shared" si="21"/>
        <v>2.2126129180258874E-13</v>
      </c>
      <c r="O106" s="10">
        <f t="shared" si="22"/>
        <v>23.096523663197701</v>
      </c>
    </row>
    <row r="107" spans="1:15">
      <c r="A107" s="10">
        <v>3500</v>
      </c>
      <c r="B107" s="10">
        <f t="shared" si="12"/>
        <v>346.3845</v>
      </c>
      <c r="C107" s="10">
        <f t="shared" si="13"/>
        <v>0.11932840146625218</v>
      </c>
      <c r="D107" s="10">
        <f t="shared" si="14"/>
        <v>5.3690004072922702E-2</v>
      </c>
      <c r="E107" s="10">
        <f t="shared" si="15"/>
        <v>4.2187887212242467E-13</v>
      </c>
      <c r="F107" s="10">
        <f t="shared" si="16"/>
        <v>4.2187887211964777E-13</v>
      </c>
      <c r="G107" s="10">
        <f t="shared" si="23"/>
        <v>18.597385215797292</v>
      </c>
      <c r="I107" s="10">
        <v>3850</v>
      </c>
      <c r="J107" s="10">
        <f t="shared" si="17"/>
        <v>381.02294999999998</v>
      </c>
      <c r="K107" s="10">
        <f t="shared" si="18"/>
        <v>0.11634128391331676</v>
      </c>
      <c r="L107" s="10">
        <f t="shared" si="19"/>
        <v>6.0974939975062509E-2</v>
      </c>
      <c r="M107" s="11">
        <f t="shared" si="20"/>
        <v>2.1171433036704585E-13</v>
      </c>
      <c r="N107" s="11">
        <f t="shared" si="21"/>
        <v>2.1171433036774861E-13</v>
      </c>
      <c r="O107" s="10">
        <f t="shared" si="22"/>
        <v>23.232851505371244</v>
      </c>
    </row>
    <row r="108" spans="1:15">
      <c r="A108" s="10">
        <v>3550</v>
      </c>
      <c r="B108" s="10">
        <f t="shared" si="12"/>
        <v>351.33285000000001</v>
      </c>
      <c r="C108" s="10">
        <f t="shared" si="13"/>
        <v>0.1191684634127274</v>
      </c>
      <c r="D108" s="10">
        <f t="shared" si="14"/>
        <v>5.324573170202053E-2</v>
      </c>
      <c r="E108" s="10">
        <f t="shared" si="15"/>
        <v>4.0165001713664134E-13</v>
      </c>
      <c r="F108" s="10">
        <f t="shared" si="16"/>
        <v>4.0165001713528934E-13</v>
      </c>
      <c r="G108" s="10">
        <f t="shared" si="23"/>
        <v>18.706974669206225</v>
      </c>
      <c r="I108" s="10">
        <v>3900</v>
      </c>
      <c r="J108" s="10">
        <f t="shared" si="17"/>
        <v>385.97129999999999</v>
      </c>
      <c r="K108" s="10">
        <f t="shared" si="18"/>
        <v>0.11622576543048058</v>
      </c>
      <c r="L108" s="10">
        <f t="shared" si="19"/>
        <v>6.054390086000213E-2</v>
      </c>
      <c r="M108" s="11">
        <f t="shared" si="20"/>
        <v>2.0269458024942611E-13</v>
      </c>
      <c r="N108" s="11">
        <f t="shared" si="21"/>
        <v>2.0269458024976937E-13</v>
      </c>
      <c r="O108" s="10">
        <f t="shared" si="22"/>
        <v>23.368208122006138</v>
      </c>
    </row>
    <row r="109" spans="1:15">
      <c r="A109" s="10">
        <v>3600</v>
      </c>
      <c r="B109" s="10">
        <f t="shared" si="12"/>
        <v>356.28120000000001</v>
      </c>
      <c r="C109" s="10">
        <f t="shared" si="13"/>
        <v>0.11901205695029103</v>
      </c>
      <c r="D109" s="10">
        <f t="shared" si="14"/>
        <v>5.2811269306363963E-2</v>
      </c>
      <c r="E109" s="10">
        <f t="shared" si="15"/>
        <v>3.8265390980174394E-13</v>
      </c>
      <c r="F109" s="10">
        <f t="shared" si="16"/>
        <v>3.8265390979845167E-13</v>
      </c>
      <c r="G109" s="10">
        <f t="shared" si="23"/>
        <v>18.815662401994523</v>
      </c>
      <c r="I109" s="10">
        <v>3950</v>
      </c>
      <c r="J109" s="10">
        <f t="shared" si="17"/>
        <v>390.91964999999999</v>
      </c>
      <c r="K109" s="10">
        <f t="shared" si="18"/>
        <v>0.11611251883165902</v>
      </c>
      <c r="L109" s="10">
        <f t="shared" si="19"/>
        <v>6.0121338924100785E-2</v>
      </c>
      <c r="M109" s="11">
        <f t="shared" si="20"/>
        <v>1.9416672056491569E-13</v>
      </c>
      <c r="N109" s="11">
        <f t="shared" si="21"/>
        <v>1.9416672056424507E-13</v>
      </c>
      <c r="O109" s="10">
        <f t="shared" si="22"/>
        <v>23.502612769740853</v>
      </c>
    </row>
    <row r="110" spans="1:15">
      <c r="A110" s="10">
        <v>3650</v>
      </c>
      <c r="B110" s="10">
        <f t="shared" si="12"/>
        <v>361.22955000000002</v>
      </c>
      <c r="C110" s="10">
        <f t="shared" si="13"/>
        <v>0.11885905668790707</v>
      </c>
      <c r="D110" s="10">
        <f t="shared" si="14"/>
        <v>5.2386268577519622E-2</v>
      </c>
      <c r="E110" s="10">
        <f t="shared" si="15"/>
        <v>3.6479984537152823E-13</v>
      </c>
      <c r="F110" s="10">
        <f t="shared" si="16"/>
        <v>3.6479984536960341E-13</v>
      </c>
      <c r="G110" s="10">
        <f t="shared" si="23"/>
        <v>18.923468224436554</v>
      </c>
      <c r="I110" s="10">
        <v>4000</v>
      </c>
      <c r="J110" s="10">
        <f t="shared" si="17"/>
        <v>395.86799999999999</v>
      </c>
      <c r="K110" s="10">
        <f t="shared" si="18"/>
        <v>0.11600147153783509</v>
      </c>
      <c r="L110" s="10">
        <f t="shared" si="19"/>
        <v>5.9706983350130909E-2</v>
      </c>
      <c r="M110" s="11">
        <f t="shared" si="20"/>
        <v>1.860982023218919E-13</v>
      </c>
      <c r="N110" s="11">
        <f t="shared" si="21"/>
        <v>1.860982023205811E-13</v>
      </c>
      <c r="O110" s="10">
        <f t="shared" si="22"/>
        <v>23.636084084849621</v>
      </c>
    </row>
    <row r="111" spans="1:15">
      <c r="A111" s="10">
        <v>3700</v>
      </c>
      <c r="B111" s="10">
        <f t="shared" si="12"/>
        <v>366.17790000000002</v>
      </c>
      <c r="C111" s="10">
        <f t="shared" si="13"/>
        <v>0.11870934332408856</v>
      </c>
      <c r="D111" s="10">
        <f t="shared" si="14"/>
        <v>5.1970398122468196E-2</v>
      </c>
      <c r="E111" s="10">
        <f t="shared" si="15"/>
        <v>3.480049089498494E-13</v>
      </c>
      <c r="F111" s="10">
        <f t="shared" si="16"/>
        <v>3.4800490894484593E-13</v>
      </c>
      <c r="G111" s="10">
        <f t="shared" si="23"/>
        <v>19.030411246649347</v>
      </c>
      <c r="I111" s="10">
        <v>4050</v>
      </c>
      <c r="J111" s="10">
        <f t="shared" si="17"/>
        <v>400.81635</v>
      </c>
      <c r="K111" s="10">
        <f t="shared" si="18"/>
        <v>0.11589255415771893</v>
      </c>
      <c r="L111" s="10">
        <f t="shared" si="19"/>
        <v>5.930057521536912E-2</v>
      </c>
      <c r="M111" s="11">
        <f t="shared" si="20"/>
        <v>1.7845899983984165E-13</v>
      </c>
      <c r="N111" s="11">
        <f t="shared" si="21"/>
        <v>1.7845899984080275E-13</v>
      </c>
      <c r="O111" s="10">
        <f t="shared" si="22"/>
        <v>23.768640110724714</v>
      </c>
    </row>
    <row r="112" spans="1:15">
      <c r="A112" s="10">
        <v>3750</v>
      </c>
      <c r="B112" s="10">
        <f t="shared" si="12"/>
        <v>371.12624999999997</v>
      </c>
      <c r="C112" s="10">
        <f t="shared" si="13"/>
        <v>0.11856280327377375</v>
      </c>
      <c r="D112" s="10">
        <f t="shared" si="14"/>
        <v>5.1563342427149286E-2</v>
      </c>
      <c r="E112" s="10">
        <f t="shared" si="15"/>
        <v>3.3219321317718557E-13</v>
      </c>
      <c r="F112" s="10">
        <f t="shared" si="16"/>
        <v>3.3219321317840519E-13</v>
      </c>
      <c r="G112" s="10">
        <f t="shared" si="23"/>
        <v>19.136509912453811</v>
      </c>
      <c r="I112" s="10">
        <v>4100</v>
      </c>
      <c r="J112" s="10">
        <f t="shared" si="17"/>
        <v>405.7647</v>
      </c>
      <c r="K112" s="10">
        <f t="shared" si="18"/>
        <v>0.11578570031050732</v>
      </c>
      <c r="L112" s="10">
        <f t="shared" si="19"/>
        <v>5.8901866830251171E-2</v>
      </c>
      <c r="M112" s="11">
        <f t="shared" si="20"/>
        <v>1.71221387179519E-13</v>
      </c>
      <c r="N112" s="11">
        <f t="shared" si="21"/>
        <v>1.7122138717920573E-13</v>
      </c>
      <c r="O112" s="10">
        <f t="shared" si="22"/>
        <v>23.900298323816816</v>
      </c>
    </row>
    <row r="113" spans="1:15">
      <c r="A113" s="10">
        <v>3800</v>
      </c>
      <c r="B113" s="10">
        <f t="shared" si="12"/>
        <v>376.07459999999998</v>
      </c>
      <c r="C113" s="10">
        <f t="shared" si="13"/>
        <v>0.11841932832268118</v>
      </c>
      <c r="D113" s="10">
        <f t="shared" si="14"/>
        <v>5.1164800896336592E-2</v>
      </c>
      <c r="E113" s="10">
        <f t="shared" si="15"/>
        <v>3.1729521941549733E-13</v>
      </c>
      <c r="F113" s="10">
        <f t="shared" si="16"/>
        <v>3.1729521941252304E-13</v>
      </c>
      <c r="G113" s="10">
        <f t="shared" si="23"/>
        <v>19.241782031169425</v>
      </c>
      <c r="I113" s="10">
        <v>4150</v>
      </c>
      <c r="J113" s="10">
        <f t="shared" si="17"/>
        <v>410.71305000000001</v>
      </c>
      <c r="K113" s="10">
        <f t="shared" si="18"/>
        <v>0.11568084646051816</v>
      </c>
      <c r="L113" s="10">
        <f t="shared" si="19"/>
        <v>5.8510621121336377E-2</v>
      </c>
      <c r="M113" s="11">
        <f t="shared" si="20"/>
        <v>1.6435973679890442E-13</v>
      </c>
      <c r="N113" s="11">
        <f t="shared" si="21"/>
        <v>1.6435973679829163E-13</v>
      </c>
      <c r="O113" s="10">
        <f t="shared" si="22"/>
        <v>24.031075658138484</v>
      </c>
    </row>
    <row r="114" spans="1:15">
      <c r="A114" s="10">
        <v>3850</v>
      </c>
      <c r="B114" s="10">
        <f t="shared" si="12"/>
        <v>381.02294999999998</v>
      </c>
      <c r="C114" s="10">
        <f t="shared" si="13"/>
        <v>0.11827881530678812</v>
      </c>
      <c r="D114" s="10">
        <f t="shared" si="14"/>
        <v>5.0774486963300315E-2</v>
      </c>
      <c r="E114" s="10">
        <f t="shared" si="15"/>
        <v>3.0324713232606681E-13</v>
      </c>
      <c r="F114" s="10">
        <f t="shared" si="16"/>
        <v>3.0324713232606681E-13</v>
      </c>
      <c r="G114" s="10">
        <f t="shared" si="23"/>
        <v>19.346244807493228</v>
      </c>
      <c r="I114" s="10">
        <v>4200</v>
      </c>
      <c r="J114" s="10">
        <f t="shared" si="17"/>
        <v>415.66140000000001</v>
      </c>
      <c r="K114" s="10">
        <f t="shared" si="18"/>
        <v>0.11557793176277176</v>
      </c>
      <c r="L114" s="10">
        <f t="shared" si="19"/>
        <v>5.8126611055118474E-2</v>
      </c>
      <c r="M114" s="11">
        <f t="shared" si="20"/>
        <v>1.5785033799209809E-13</v>
      </c>
      <c r="N114" s="11">
        <f t="shared" si="21"/>
        <v>1.5785033799119874E-13</v>
      </c>
      <c r="O114" s="10">
        <f t="shared" si="22"/>
        <v>24.160988528426024</v>
      </c>
    </row>
    <row r="115" spans="1:15">
      <c r="A115" s="10">
        <v>3900</v>
      </c>
      <c r="B115" s="10">
        <f t="shared" si="12"/>
        <v>385.97129999999999</v>
      </c>
      <c r="C115" s="10">
        <f t="shared" si="13"/>
        <v>0.11814116581480799</v>
      </c>
      <c r="D115" s="10">
        <f t="shared" si="14"/>
        <v>5.039212726335552E-2</v>
      </c>
      <c r="E115" s="10">
        <f t="shared" si="15"/>
        <v>2.8999035908989377E-13</v>
      </c>
      <c r="F115" s="10">
        <f t="shared" si="16"/>
        <v>2.8999035909102685E-13</v>
      </c>
      <c r="G115" s="10">
        <f t="shared" si="23"/>
        <v>19.449914869602772</v>
      </c>
      <c r="I115" s="10">
        <v>4250</v>
      </c>
      <c r="J115" s="10">
        <f t="shared" si="17"/>
        <v>420.60975000000002</v>
      </c>
      <c r="K115" s="10">
        <f t="shared" si="18"/>
        <v>0.11547689791867422</v>
      </c>
      <c r="L115" s="10">
        <f t="shared" si="19"/>
        <v>5.7749619099530629E-2</v>
      </c>
      <c r="M115" s="11">
        <f t="shared" si="20"/>
        <v>1.5167123295875893E-13</v>
      </c>
      <c r="N115" s="11">
        <f t="shared" si="21"/>
        <v>1.5167123295787874E-13</v>
      </c>
      <c r="O115" s="10">
        <f t="shared" si="22"/>
        <v>24.290052852048802</v>
      </c>
    </row>
    <row r="116" spans="1:15">
      <c r="A116" s="10">
        <v>3950</v>
      </c>
      <c r="B116" s="10">
        <f t="shared" si="12"/>
        <v>390.91964999999999</v>
      </c>
      <c r="C116" s="10">
        <f t="shared" si="13"/>
        <v>0.11800628591174514</v>
      </c>
      <c r="D116" s="10">
        <f t="shared" si="14"/>
        <v>5.0017460865958707E-2</v>
      </c>
      <c r="E116" s="10">
        <f t="shared" si="15"/>
        <v>2.774710256465541E-13</v>
      </c>
      <c r="F116" s="10">
        <f t="shared" si="16"/>
        <v>2.7747102564378841E-13</v>
      </c>
      <c r="G116" s="10">
        <f t="shared" si="23"/>
        <v>19.552808295609275</v>
      </c>
      <c r="I116" s="10">
        <v>4300</v>
      </c>
      <c r="J116" s="10">
        <f t="shared" si="17"/>
        <v>425.55810000000002</v>
      </c>
      <c r="K116" s="10">
        <f t="shared" si="18"/>
        <v>0.11537768904103173</v>
      </c>
      <c r="L116" s="10">
        <f t="shared" si="19"/>
        <v>5.7379436720267608E-2</v>
      </c>
      <c r="M116" s="11">
        <f t="shared" si="20"/>
        <v>1.4580206861254557E-13</v>
      </c>
      <c r="N116" s="11">
        <f t="shared" si="21"/>
        <v>1.4580206861197113E-13</v>
      </c>
      <c r="O116" s="10">
        <f t="shared" si="22"/>
        <v>24.418284069747315</v>
      </c>
    </row>
    <row r="117" spans="1:15">
      <c r="A117" s="10">
        <v>4000</v>
      </c>
      <c r="B117" s="10">
        <f t="shared" si="12"/>
        <v>395.86799999999999</v>
      </c>
      <c r="C117" s="10">
        <f t="shared" si="13"/>
        <v>0.11787408588178898</v>
      </c>
      <c r="D117" s="10">
        <f t="shared" si="14"/>
        <v>4.9650238560524924E-2</v>
      </c>
      <c r="E117" s="10">
        <f t="shared" si="15"/>
        <v>2.6563954330782108E-13</v>
      </c>
      <c r="F117" s="10">
        <f t="shared" si="16"/>
        <v>2.6563954330782103E-13</v>
      </c>
      <c r="G117" s="10">
        <f t="shared" si="23"/>
        <v>19.654940638477882</v>
      </c>
      <c r="I117" s="10">
        <v>4350</v>
      </c>
      <c r="J117" s="10">
        <f t="shared" si="17"/>
        <v>430.50644999999997</v>
      </c>
      <c r="K117" s="10">
        <f t="shared" si="18"/>
        <v>0.11528025152769233</v>
      </c>
      <c r="L117" s="10">
        <f t="shared" si="19"/>
        <v>5.7015863909299733E-2</v>
      </c>
      <c r="M117" s="11">
        <f t="shared" si="20"/>
        <v>1.4022396245236355E-13</v>
      </c>
      <c r="N117" s="11">
        <f t="shared" si="21"/>
        <v>1.4022396245292593E-13</v>
      </c>
      <c r="O117" s="10">
        <f t="shared" si="22"/>
        <v>24.545697165275747</v>
      </c>
    </row>
    <row r="118" spans="1:15">
      <c r="A118" s="10">
        <v>4050</v>
      </c>
      <c r="B118" s="10">
        <f t="shared" si="12"/>
        <v>400.81635</v>
      </c>
      <c r="C118" s="10">
        <f t="shared" si="13"/>
        <v>0.11774447998897226</v>
      </c>
      <c r="D118" s="10">
        <f t="shared" si="14"/>
        <v>4.9290222191589607E-2</v>
      </c>
      <c r="E118" s="10">
        <f t="shared" si="15"/>
        <v>2.5445021996011214E-13</v>
      </c>
      <c r="F118" s="10">
        <f t="shared" si="16"/>
        <v>2.5445021995905666E-13</v>
      </c>
      <c r="G118" s="10">
        <f t="shared" si="23"/>
        <v>19.756326949521949</v>
      </c>
      <c r="I118" s="10">
        <v>4400</v>
      </c>
      <c r="J118" s="10">
        <f t="shared" si="17"/>
        <v>435.45479999999998</v>
      </c>
      <c r="K118" s="10">
        <f t="shared" si="18"/>
        <v>0.11518453394317167</v>
      </c>
      <c r="L118" s="10">
        <f t="shared" si="19"/>
        <v>5.6658708743177855E-2</v>
      </c>
      <c r="M118" s="11">
        <f t="shared" si="20"/>
        <v>1.3491938102387888E-13</v>
      </c>
      <c r="N118" s="11">
        <f t="shared" si="21"/>
        <v>1.3491938102442972E-13</v>
      </c>
      <c r="O118" s="10">
        <f t="shared" si="22"/>
        <v>24.672306684018764</v>
      </c>
    </row>
    <row r="119" spans="1:15">
      <c r="A119" s="10">
        <v>4100</v>
      </c>
      <c r="B119" s="10">
        <f t="shared" si="12"/>
        <v>405.7647</v>
      </c>
      <c r="C119" s="10">
        <f t="shared" si="13"/>
        <v>0.11761738625416382</v>
      </c>
      <c r="D119" s="10">
        <f t="shared" si="14"/>
        <v>4.8937184039343926E-2</v>
      </c>
      <c r="E119" s="10">
        <f t="shared" si="15"/>
        <v>2.4386091078078639E-13</v>
      </c>
      <c r="F119" s="10">
        <f t="shared" si="16"/>
        <v>2.4386091077923921E-13</v>
      </c>
      <c r="G119" s="10">
        <f t="shared" si="23"/>
        <v>19.856981800569176</v>
      </c>
      <c r="I119" s="10">
        <v>4450</v>
      </c>
      <c r="J119" s="10">
        <f t="shared" si="17"/>
        <v>440.40314999999998</v>
      </c>
      <c r="K119" s="10">
        <f t="shared" si="18"/>
        <v>0.11509048690767397</v>
      </c>
      <c r="L119" s="10">
        <f t="shared" si="19"/>
        <v>5.6307786968932697E-2</v>
      </c>
      <c r="M119" s="11">
        <f t="shared" si="20"/>
        <v>1.2987202966000671E-13</v>
      </c>
      <c r="N119" s="11">
        <f t="shared" si="21"/>
        <v>1.2987202965892765E-13</v>
      </c>
      <c r="O119" s="10">
        <f t="shared" si="22"/>
        <v>24.798126750646912</v>
      </c>
    </row>
    <row r="120" spans="1:15">
      <c r="A120" s="10">
        <v>4150</v>
      </c>
      <c r="B120" s="10">
        <f t="shared" si="12"/>
        <v>410.71305000000001</v>
      </c>
      <c r="C120" s="10">
        <f t="shared" si="13"/>
        <v>0.11749272624709758</v>
      </c>
      <c r="D120" s="10">
        <f t="shared" si="14"/>
        <v>4.8590906241937723E-2</v>
      </c>
      <c r="E120" s="10">
        <f t="shared" si="15"/>
        <v>2.3383270403986945E-13</v>
      </c>
      <c r="F120" s="10">
        <f t="shared" si="16"/>
        <v>2.3383270403634061E-13</v>
      </c>
      <c r="G120" s="10">
        <f t="shared" si="23"/>
        <v>19.956919304890281</v>
      </c>
      <c r="I120" s="10">
        <v>4500</v>
      </c>
      <c r="J120" s="10">
        <f t="shared" si="17"/>
        <v>445.35149999999999</v>
      </c>
      <c r="K120" s="10">
        <f t="shared" si="18"/>
        <v>0.11499806299296936</v>
      </c>
      <c r="L120" s="10">
        <f t="shared" si="19"/>
        <v>5.5962921615557278E-2</v>
      </c>
      <c r="M120" s="11">
        <f t="shared" si="20"/>
        <v>1.2506675234073805E-13</v>
      </c>
      <c r="N120" s="11">
        <f t="shared" si="21"/>
        <v>1.250667523415311E-13</v>
      </c>
      <c r="O120" s="10">
        <f t="shared" si="22"/>
        <v>24.923171085870855</v>
      </c>
    </row>
    <row r="121" spans="1:15">
      <c r="A121" s="10">
        <v>4200</v>
      </c>
      <c r="B121" s="10">
        <f t="shared" si="12"/>
        <v>415.66140000000001</v>
      </c>
      <c r="C121" s="10">
        <f t="shared" si="13"/>
        <v>0.11737042489225692</v>
      </c>
      <c r="D121" s="10">
        <f t="shared" si="14"/>
        <v>4.8251180256269212E-2</v>
      </c>
      <c r="E121" s="10">
        <f t="shared" si="15"/>
        <v>2.2432963808194189E-13</v>
      </c>
      <c r="F121" s="10">
        <f t="shared" si="16"/>
        <v>2.2432963807849163E-13</v>
      </c>
      <c r="G121" s="10">
        <f t="shared" si="23"/>
        <v>20.056153136973219</v>
      </c>
      <c r="I121" s="10">
        <v>4550</v>
      </c>
      <c r="J121" s="10">
        <f t="shared" si="17"/>
        <v>450.29984999999999</v>
      </c>
      <c r="K121" s="10">
        <f t="shared" si="18"/>
        <v>0.11490721662463309</v>
      </c>
      <c r="L121" s="10">
        <f t="shared" si="19"/>
        <v>5.5623942629227915E-2</v>
      </c>
      <c r="M121" s="11">
        <f t="shared" si="20"/>
        <v>1.2048944064867174E-13</v>
      </c>
      <c r="N121" s="11">
        <f t="shared" si="21"/>
        <v>1.2048944064789457E-13</v>
      </c>
      <c r="O121" s="10">
        <f t="shared" si="22"/>
        <v>25.047453022349934</v>
      </c>
    </row>
    <row r="122" spans="1:15">
      <c r="A122" s="10">
        <v>4250</v>
      </c>
      <c r="B122" s="10">
        <f t="shared" si="12"/>
        <v>420.60975000000002</v>
      </c>
      <c r="C122" s="10">
        <f t="shared" si="13"/>
        <v>0.1172504102875387</v>
      </c>
      <c r="D122" s="10">
        <f t="shared" si="14"/>
        <v>4.7917806354274152E-2</v>
      </c>
      <c r="E122" s="10">
        <f t="shared" si="15"/>
        <v>2.1531844607822814E-13</v>
      </c>
      <c r="F122" s="10">
        <f t="shared" si="16"/>
        <v>2.1531844607919229E-13</v>
      </c>
      <c r="G122" s="10">
        <f t="shared" si="23"/>
        <v>20.154696551219665</v>
      </c>
      <c r="I122" s="10">
        <v>4600</v>
      </c>
      <c r="J122" s="10">
        <f t="shared" si="17"/>
        <v>455.2482</v>
      </c>
      <c r="K122" s="10">
        <f t="shared" si="18"/>
        <v>0.11481790399019259</v>
      </c>
      <c r="L122" s="10">
        <f t="shared" si="19"/>
        <v>5.5290686530569358E-2</v>
      </c>
      <c r="M122" s="11">
        <f t="shared" si="20"/>
        <v>1.1612695089990373E-13</v>
      </c>
      <c r="N122" s="11">
        <f t="shared" si="21"/>
        <v>1.1612695089990376E-13</v>
      </c>
      <c r="O122" s="10">
        <f t="shared" si="22"/>
        <v>25.170985519805946</v>
      </c>
    </row>
    <row r="123" spans="1:15">
      <c r="A123" s="10">
        <v>4300</v>
      </c>
      <c r="B123" s="10">
        <f t="shared" si="12"/>
        <v>425.55810000000002</v>
      </c>
      <c r="C123" s="10">
        <f t="shared" si="13"/>
        <v>0.11713261353471686</v>
      </c>
      <c r="D123" s="10">
        <f t="shared" si="14"/>
        <v>4.7590593151991274E-2</v>
      </c>
      <c r="E123" s="10">
        <f t="shared" si="15"/>
        <v>2.0676832553541179E-13</v>
      </c>
      <c r="F123" s="10">
        <f t="shared" si="16"/>
        <v>2.0676832553399707E-13</v>
      </c>
      <c r="G123" s="10">
        <f t="shared" si="23"/>
        <v>20.252562399634417</v>
      </c>
      <c r="I123" s="10">
        <v>4650</v>
      </c>
      <c r="J123" s="10">
        <f t="shared" si="17"/>
        <v>460.19655</v>
      </c>
      <c r="K123" s="10">
        <f t="shared" si="18"/>
        <v>0.11473008295276625</v>
      </c>
      <c r="L123" s="10">
        <f t="shared" si="19"/>
        <v>5.4962996092411363E-2</v>
      </c>
      <c r="M123" s="11">
        <f t="shared" si="20"/>
        <v>1.1196702864055191E-13</v>
      </c>
      <c r="N123" s="11">
        <f t="shared" si="21"/>
        <v>1.1196702863980495E-13</v>
      </c>
      <c r="O123" s="10">
        <f t="shared" si="22"/>
        <v>25.293781179391189</v>
      </c>
    </row>
    <row r="124" spans="1:15">
      <c r="A124" s="10">
        <v>4350</v>
      </c>
      <c r="B124" s="10">
        <f t="shared" si="12"/>
        <v>430.50644999999997</v>
      </c>
      <c r="C124" s="10">
        <f t="shared" si="13"/>
        <v>0.11701696858081058</v>
      </c>
      <c r="D124" s="10">
        <f t="shared" si="14"/>
        <v>4.7269357168918259E-2</v>
      </c>
      <c r="E124" s="10">
        <f t="shared" si="15"/>
        <v>1.9865072990143873E-13</v>
      </c>
      <c r="F124" s="10">
        <f t="shared" si="16"/>
        <v>1.9865072990051583E-13</v>
      </c>
      <c r="G124" s="10">
        <f t="shared" si="23"/>
        <v>20.34976314857305</v>
      </c>
      <c r="I124" s="10">
        <v>4700</v>
      </c>
      <c r="J124" s="10">
        <f t="shared" si="17"/>
        <v>465.14490000000001</v>
      </c>
      <c r="K124" s="10">
        <f t="shared" si="18"/>
        <v>0.1146437129698097</v>
      </c>
      <c r="L124" s="10">
        <f t="shared" si="19"/>
        <v>5.4640720036603335E-2</v>
      </c>
      <c r="M124" s="11">
        <f t="shared" si="20"/>
        <v>1.0799823978357209E-13</v>
      </c>
      <c r="N124" s="11">
        <f t="shared" si="21"/>
        <v>1.0799823978454878E-13</v>
      </c>
      <c r="O124" s="10">
        <f t="shared" si="22"/>
        <v>25.415852257353855</v>
      </c>
    </row>
    <row r="125" spans="1:15">
      <c r="A125" s="10">
        <v>4400</v>
      </c>
      <c r="B125" s="10">
        <f t="shared" si="12"/>
        <v>435.45479999999998</v>
      </c>
      <c r="C125" s="10">
        <f t="shared" si="13"/>
        <v>0.11690341206953969</v>
      </c>
      <c r="D125" s="10">
        <f t="shared" si="14"/>
        <v>4.6953922415388018E-2</v>
      </c>
      <c r="E125" s="10">
        <f t="shared" si="15"/>
        <v>1.9093917993211751E-13</v>
      </c>
      <c r="F125" s="10">
        <f t="shared" si="16"/>
        <v>1.9093917993031083E-13</v>
      </c>
      <c r="G125" s="10">
        <f t="shared" si="23"/>
        <v>20.446310894608306</v>
      </c>
      <c r="I125" s="10">
        <v>4750</v>
      </c>
      <c r="J125" s="10">
        <f t="shared" si="17"/>
        <v>470.09325000000001</v>
      </c>
      <c r="K125" s="10">
        <f t="shared" si="18"/>
        <v>0.11455875501661777</v>
      </c>
      <c r="L125" s="10">
        <f t="shared" si="19"/>
        <v>5.4323712748573762E-2</v>
      </c>
      <c r="M125" s="11">
        <f t="shared" si="20"/>
        <v>1.0420990773737052E-13</v>
      </c>
      <c r="N125" s="11">
        <f t="shared" si="21"/>
        <v>1.0420990773737051E-13</v>
      </c>
      <c r="O125" s="10">
        <f t="shared" si="22"/>
        <v>25.537210678043472</v>
      </c>
    </row>
    <row r="126" spans="1:15">
      <c r="A126" s="10">
        <v>4450</v>
      </c>
      <c r="B126" s="10">
        <f t="shared" si="12"/>
        <v>440.40314999999998</v>
      </c>
      <c r="C126" s="10">
        <f t="shared" si="13"/>
        <v>0.11679188320211945</v>
      </c>
      <c r="D126" s="10">
        <f t="shared" si="14"/>
        <v>4.6644120005887336E-2</v>
      </c>
      <c r="E126" s="10">
        <f t="shared" si="15"/>
        <v>1.8360909274388627E-13</v>
      </c>
      <c r="F126" s="10">
        <f t="shared" si="16"/>
        <v>1.8360909274167538E-13</v>
      </c>
      <c r="G126" s="10">
        <f t="shared" si="23"/>
        <v>20.542217379570801</v>
      </c>
      <c r="I126" s="10">
        <v>4800</v>
      </c>
      <c r="J126" s="10">
        <f t="shared" si="17"/>
        <v>475.04160000000002</v>
      </c>
      <c r="K126" s="10">
        <f t="shared" si="18"/>
        <v>0.11447517151425632</v>
      </c>
      <c r="L126" s="10">
        <f t="shared" si="19"/>
        <v>5.4011834008419073E-2</v>
      </c>
      <c r="M126" s="11">
        <f t="shared" si="20"/>
        <v>1.0059205595032693E-13</v>
      </c>
      <c r="N126" s="11">
        <f t="shared" si="21"/>
        <v>1.0059205595056186E-13</v>
      </c>
      <c r="O126" s="10">
        <f t="shared" si="22"/>
        <v>25.65786804629381</v>
      </c>
    </row>
    <row r="127" spans="1:15">
      <c r="A127" s="10">
        <v>4500</v>
      </c>
      <c r="B127" s="10">
        <f t="shared" si="12"/>
        <v>445.35149999999999</v>
      </c>
      <c r="C127" s="10">
        <f t="shared" si="13"/>
        <v>0.11668232360671035</v>
      </c>
      <c r="D127" s="10">
        <f t="shared" si="14"/>
        <v>4.6339787796417634E-2</v>
      </c>
      <c r="E127" s="10">
        <f t="shared" si="15"/>
        <v>1.7663762672152846E-13</v>
      </c>
      <c r="F127" s="10">
        <f t="shared" si="16"/>
        <v>1.766376267197965E-13</v>
      </c>
      <c r="G127" s="10">
        <f t="shared" si="23"/>
        <v>20.637494004816286</v>
      </c>
      <c r="I127" s="10">
        <v>4850</v>
      </c>
      <c r="J127" s="10">
        <f t="shared" si="17"/>
        <v>479.98995000000002</v>
      </c>
      <c r="K127" s="10">
        <f t="shared" si="18"/>
        <v>0.11439292626162482</v>
      </c>
      <c r="L127" s="10">
        <f t="shared" si="19"/>
        <v>5.3704948737406041E-2</v>
      </c>
      <c r="M127" s="11">
        <f t="shared" si="20"/>
        <v>9.7135355352829033E-14</v>
      </c>
      <c r="N127" s="11">
        <f t="shared" si="21"/>
        <v>9.7135355354442992E-14</v>
      </c>
      <c r="O127" s="10">
        <f t="shared" si="22"/>
        <v>25.777835659220091</v>
      </c>
    </row>
    <row r="128" spans="1:15">
      <c r="A128" s="10">
        <v>4550</v>
      </c>
      <c r="B128" s="10">
        <f t="shared" si="12"/>
        <v>450.29984999999999</v>
      </c>
      <c r="C128" s="10">
        <f t="shared" si="13"/>
        <v>0.1165746772158953</v>
      </c>
      <c r="D128" s="10">
        <f t="shared" si="14"/>
        <v>4.6040770044153606E-2</v>
      </c>
      <c r="E128" s="10">
        <f t="shared" si="15"/>
        <v>1.7000354064886841E-13</v>
      </c>
      <c r="F128" s="10">
        <f t="shared" si="16"/>
        <v>1.7000354064929251E-13</v>
      </c>
      <c r="G128" s="10">
        <f t="shared" si="23"/>
        <v>20.732151844766861</v>
      </c>
      <c r="I128" s="10">
        <v>4900</v>
      </c>
      <c r="J128" s="10">
        <f t="shared" si="17"/>
        <v>484.93829999999997</v>
      </c>
      <c r="K128" s="10">
        <f t="shared" si="18"/>
        <v>0.11431198437137306</v>
      </c>
      <c r="L128" s="10">
        <f t="shared" si="19"/>
        <v>5.3402926758854691E-2</v>
      </c>
      <c r="M128" s="11">
        <f t="shared" si="20"/>
        <v>9.3831076236125656E-14</v>
      </c>
      <c r="N128" s="11">
        <f t="shared" si="21"/>
        <v>9.3831076237030865E-14</v>
      </c>
      <c r="O128" s="10">
        <f t="shared" si="22"/>
        <v>25.897124517463503</v>
      </c>
    </row>
    <row r="129" spans="1:15">
      <c r="A129" s="10">
        <v>4600</v>
      </c>
      <c r="B129" s="10">
        <f t="shared" si="12"/>
        <v>455.2482</v>
      </c>
      <c r="C129" s="10">
        <f t="shared" si="13"/>
        <v>0.11646889015160859</v>
      </c>
      <c r="D129" s="10">
        <f t="shared" si="14"/>
        <v>4.5746917087801632E-2</v>
      </c>
      <c r="E129" s="10">
        <f t="shared" si="15"/>
        <v>1.6368706562711357E-13</v>
      </c>
      <c r="F129" s="10">
        <f t="shared" si="16"/>
        <v>1.6368706562669809E-13</v>
      </c>
      <c r="G129" s="10">
        <f t="shared" si="23"/>
        <v>20.826201659770934</v>
      </c>
      <c r="I129" s="10">
        <v>10000</v>
      </c>
      <c r="J129" s="10">
        <f t="shared" si="17"/>
        <v>989.67</v>
      </c>
      <c r="K129" s="10">
        <f t="shared" si="18"/>
        <v>0.10966795116904331</v>
      </c>
      <c r="L129" s="10">
        <f t="shared" si="19"/>
        <v>3.6074444660609328E-2</v>
      </c>
      <c r="M129" s="11">
        <f t="shared" si="20"/>
        <v>8.4503361406327018E-15</v>
      </c>
      <c r="N129" s="11">
        <f t="shared" si="21"/>
        <v>8.4503361404480027E-15</v>
      </c>
      <c r="O129" s="10">
        <f t="shared" si="22"/>
        <v>35.701795647265236</v>
      </c>
    </row>
    <row r="130" spans="1:15">
      <c r="A130" s="10">
        <v>4650</v>
      </c>
      <c r="B130" s="10">
        <f t="shared" si="12"/>
        <v>460.19655</v>
      </c>
      <c r="C130" s="10">
        <f t="shared" si="13"/>
        <v>0.11636491061698824</v>
      </c>
      <c r="D130" s="10">
        <f t="shared" si="14"/>
        <v>4.5458085047189539E-2</v>
      </c>
      <c r="E130" s="10">
        <f t="shared" si="15"/>
        <v>1.5766978849174023E-13</v>
      </c>
      <c r="F130" s="10">
        <f t="shared" si="16"/>
        <v>1.5766978848929751E-13</v>
      </c>
      <c r="G130" s="10">
        <f t="shared" si="23"/>
        <v>20.919653908323212</v>
      </c>
      <c r="I130" s="10">
        <v>20000</v>
      </c>
      <c r="J130" s="10">
        <f t="shared" si="17"/>
        <v>1979.34</v>
      </c>
      <c r="K130" s="10">
        <f t="shared" si="18"/>
        <v>0.10660353777155185</v>
      </c>
      <c r="L130" s="10">
        <f t="shared" si="19"/>
        <v>2.4640066311760606E-2</v>
      </c>
      <c r="M130" s="11">
        <f t="shared" si="20"/>
        <v>8.1458308140383473E-16</v>
      </c>
      <c r="N130" s="11">
        <f t="shared" si="21"/>
        <v>8.1458308142121166E-16</v>
      </c>
      <c r="O130" s="10">
        <f t="shared" si="22"/>
        <v>48.771068853520234</v>
      </c>
    </row>
    <row r="131" spans="1:15">
      <c r="A131" s="10">
        <v>4700</v>
      </c>
      <c r="B131" s="10">
        <f t="shared" si="12"/>
        <v>465.14490000000001</v>
      </c>
      <c r="C131" s="10">
        <f t="shared" si="13"/>
        <v>0.11626268879466567</v>
      </c>
      <c r="D131" s="10">
        <f t="shared" si="14"/>
        <v>4.5174135540737959E-2</v>
      </c>
      <c r="E131" s="10">
        <f t="shared" si="15"/>
        <v>1.5193454558637142E-13</v>
      </c>
      <c r="F131" s="10">
        <f t="shared" si="16"/>
        <v>1.5193454558477534E-13</v>
      </c>
      <c r="G131" s="10">
        <f t="shared" si="23"/>
        <v>21.012518758683004</v>
      </c>
      <c r="I131" s="10">
        <v>30000</v>
      </c>
      <c r="J131" s="10">
        <f t="shared" si="17"/>
        <v>2969.0099999999998</v>
      </c>
      <c r="K131" s="10">
        <f t="shared" si="18"/>
        <v>0.10528358359405005</v>
      </c>
      <c r="L131" s="10">
        <f t="shared" si="19"/>
        <v>1.9714864156903131E-2</v>
      </c>
      <c r="M131" s="11">
        <f t="shared" si="20"/>
        <v>2.0731775350688507E-16</v>
      </c>
      <c r="N131" s="11">
        <f t="shared" si="21"/>
        <v>2.0731775347371963E-16</v>
      </c>
      <c r="O131" s="10">
        <f t="shared" si="22"/>
        <v>58.533628830486961</v>
      </c>
    </row>
    <row r="132" spans="1:15">
      <c r="A132" s="10">
        <v>4750</v>
      </c>
      <c r="B132" s="10">
        <f t="shared" si="12"/>
        <v>470.09325000000001</v>
      </c>
      <c r="C132" s="10">
        <f t="shared" si="13"/>
        <v>0.11616217675104597</v>
      </c>
      <c r="D132" s="10">
        <f t="shared" si="14"/>
        <v>4.4894935419572117E-2</v>
      </c>
      <c r="E132" s="10">
        <f t="shared" si="15"/>
        <v>1.4646532587746047E-13</v>
      </c>
      <c r="F132" s="10">
        <f t="shared" si="16"/>
        <v>1.4646532587785167E-13</v>
      </c>
      <c r="G132" s="10">
        <f t="shared" si="23"/>
        <v>21.104806099926769</v>
      </c>
      <c r="I132" s="10">
        <v>40000</v>
      </c>
      <c r="J132" s="10">
        <f t="shared" si="17"/>
        <v>3958.68</v>
      </c>
      <c r="K132" s="10">
        <f t="shared" si="18"/>
        <v>0.10451038013012372</v>
      </c>
      <c r="L132" s="10">
        <f t="shared" si="19"/>
        <v>1.6829776604939221E-2</v>
      </c>
      <c r="M132" s="11">
        <f t="shared" si="20"/>
        <v>7.8518501735463661E-17</v>
      </c>
      <c r="N132" s="11">
        <f t="shared" si="21"/>
        <v>7.851850171094012E-17</v>
      </c>
      <c r="O132" s="10">
        <f t="shared" si="22"/>
        <v>66.623700050440789</v>
      </c>
    </row>
    <row r="133" spans="1:15">
      <c r="A133" s="10">
        <v>4800</v>
      </c>
      <c r="B133" s="10">
        <f t="shared" si="12"/>
        <v>475.04160000000002</v>
      </c>
      <c r="C133" s="10">
        <f t="shared" si="13"/>
        <v>0.11606332834616678</v>
      </c>
      <c r="D133" s="10">
        <f t="shared" si="14"/>
        <v>4.4620356517129936E-2</v>
      </c>
      <c r="E133" s="10">
        <f t="shared" si="15"/>
        <v>1.4124718250017946E-13</v>
      </c>
      <c r="F133" s="10">
        <f t="shared" si="16"/>
        <v>1.4124718249902883E-13</v>
      </c>
      <c r="G133" s="10">
        <f t="shared" si="23"/>
        <v>21.196525552467833</v>
      </c>
      <c r="I133" s="10">
        <v>50000</v>
      </c>
      <c r="J133" s="10">
        <f t="shared" si="17"/>
        <v>4948.3500000000004</v>
      </c>
      <c r="K133" s="10">
        <f t="shared" si="18"/>
        <v>0.10398945057999484</v>
      </c>
      <c r="L133" s="10">
        <f t="shared" si="19"/>
        <v>1.48860096268464E-2</v>
      </c>
      <c r="M133" s="11">
        <f t="shared" si="20"/>
        <v>3.6974529749540833E-17</v>
      </c>
      <c r="N133" s="11">
        <f t="shared" si="21"/>
        <v>3.6974529746276828E-17</v>
      </c>
      <c r="O133" s="10">
        <f t="shared" si="22"/>
        <v>73.661185737005383</v>
      </c>
    </row>
    <row r="134" spans="1:15">
      <c r="A134" s="10">
        <v>4850</v>
      </c>
      <c r="B134" s="10">
        <f t="shared" si="12"/>
        <v>479.98995000000002</v>
      </c>
      <c r="C134" s="10">
        <f t="shared" si="13"/>
        <v>0.11596609914875665</v>
      </c>
      <c r="D134" s="10">
        <f t="shared" si="14"/>
        <v>4.4350275413212903E-2</v>
      </c>
      <c r="E134" s="10">
        <f t="shared" si="15"/>
        <v>1.3626615192076441E-13</v>
      </c>
      <c r="F134" s="10">
        <f t="shared" si="16"/>
        <v>1.3626615192001212E-13</v>
      </c>
      <c r="G134" s="10">
        <f t="shared" si="23"/>
        <v>21.287686478074292</v>
      </c>
      <c r="I134" s="10">
        <v>60000</v>
      </c>
      <c r="J134" s="10">
        <f t="shared" si="17"/>
        <v>5938.0199999999995</v>
      </c>
      <c r="K134" s="10">
        <f t="shared" si="18"/>
        <v>0.10360880713832391</v>
      </c>
      <c r="L134" s="10">
        <f t="shared" si="19"/>
        <v>1.3465698277327983E-2</v>
      </c>
      <c r="M134" s="11">
        <f t="shared" si="20"/>
        <v>1.9983295710012272E-17</v>
      </c>
      <c r="N134" s="11">
        <f t="shared" si="21"/>
        <v>1.9983295714692627E-17</v>
      </c>
      <c r="O134" s="10">
        <f t="shared" si="22"/>
        <v>79.95958568473911</v>
      </c>
    </row>
    <row r="135" spans="1:15">
      <c r="A135" s="10">
        <v>4900</v>
      </c>
      <c r="B135" s="10">
        <f t="shared" si="12"/>
        <v>484.93829999999997</v>
      </c>
      <c r="C135" s="10">
        <f t="shared" si="13"/>
        <v>0.11587044635614292</v>
      </c>
      <c r="D135" s="10">
        <f t="shared" si="14"/>
        <v>4.4084573211508105E-2</v>
      </c>
      <c r="E135" s="10">
        <f t="shared" si="15"/>
        <v>1.3150917999498187E-13</v>
      </c>
      <c r="F135" s="10">
        <f t="shared" si="16"/>
        <v>1.3150917999276806E-13</v>
      </c>
      <c r="G135" s="10">
        <f t="shared" si="23"/>
        <v>21.378297989414278</v>
      </c>
      <c r="I135" s="10">
        <v>70000</v>
      </c>
      <c r="J135" s="10">
        <f t="shared" si="17"/>
        <v>6927.69</v>
      </c>
      <c r="K135" s="10">
        <f t="shared" si="18"/>
        <v>0.10331545481797147</v>
      </c>
      <c r="L135" s="10">
        <f t="shared" si="19"/>
        <v>1.2371100067057699E-2</v>
      </c>
      <c r="M135" s="11">
        <f t="shared" si="20"/>
        <v>1.1877429349491698E-17</v>
      </c>
      <c r="N135" s="11">
        <f t="shared" si="21"/>
        <v>1.1877429338893743E-17</v>
      </c>
      <c r="O135" s="10">
        <f t="shared" si="22"/>
        <v>85.703146223554953</v>
      </c>
    </row>
    <row r="136" spans="1:15">
      <c r="A136" s="10">
        <v>10000</v>
      </c>
      <c r="B136" s="10">
        <f t="shared" si="12"/>
        <v>989.67</v>
      </c>
      <c r="C136" s="10">
        <f t="shared" si="13"/>
        <v>0.11044882192278686</v>
      </c>
      <c r="D136" s="10">
        <f t="shared" si="14"/>
        <v>2.9024505341074605E-2</v>
      </c>
      <c r="E136" s="10">
        <f t="shared" si="15"/>
        <v>1.1106658769150969E-14</v>
      </c>
      <c r="F136" s="10">
        <f t="shared" si="16"/>
        <v>1.1106658768474857E-14</v>
      </c>
      <c r="G136" s="10">
        <f t="shared" si="23"/>
        <v>28.724682200901302</v>
      </c>
      <c r="I136" s="10">
        <v>80000</v>
      </c>
      <c r="J136" s="10">
        <f t="shared" si="17"/>
        <v>7917.36</v>
      </c>
      <c r="K136" s="10">
        <f t="shared" si="18"/>
        <v>0.10308068762649858</v>
      </c>
      <c r="L136" s="10">
        <f t="shared" si="19"/>
        <v>1.1495103083949902E-2</v>
      </c>
      <c r="M136" s="11">
        <f t="shared" si="20"/>
        <v>7.5683317073383278E-18</v>
      </c>
      <c r="N136" s="11">
        <f t="shared" si="21"/>
        <v>7.5683317059540033E-18</v>
      </c>
      <c r="O136" s="10">
        <f t="shared" si="22"/>
        <v>91.010869352741594</v>
      </c>
    </row>
    <row r="137" spans="1:15">
      <c r="A137" s="10">
        <v>20000</v>
      </c>
      <c r="B137" s="10">
        <f t="shared" si="12"/>
        <v>1979.34</v>
      </c>
      <c r="C137" s="10">
        <f t="shared" si="13"/>
        <v>0.10696099217226912</v>
      </c>
      <c r="D137" s="10">
        <f t="shared" si="14"/>
        <v>1.9336089367414207E-2</v>
      </c>
      <c r="E137" s="10">
        <f t="shared" si="15"/>
        <v>1.005878677617869E-15</v>
      </c>
      <c r="F137" s="10">
        <f t="shared" si="16"/>
        <v>1.0058786774340443E-15</v>
      </c>
      <c r="G137" s="10">
        <f t="shared" si="23"/>
        <v>38.272695128497638</v>
      </c>
      <c r="I137" s="10">
        <v>90000</v>
      </c>
      <c r="J137" s="10">
        <f t="shared" si="17"/>
        <v>8907.0300000000007</v>
      </c>
      <c r="K137" s="10">
        <f t="shared" si="18"/>
        <v>0.10288744595960565</v>
      </c>
      <c r="L137" s="10">
        <f t="shared" si="19"/>
        <v>1.0774052088080773E-2</v>
      </c>
      <c r="M137" s="11">
        <f t="shared" si="20"/>
        <v>5.0858175357641349E-18</v>
      </c>
      <c r="N137" s="11">
        <f t="shared" si="21"/>
        <v>5.0858175324144497E-18</v>
      </c>
      <c r="O137" s="10">
        <f t="shared" si="22"/>
        <v>95.964805170098089</v>
      </c>
    </row>
    <row r="138" spans="1:15">
      <c r="A138" s="10">
        <v>30000</v>
      </c>
      <c r="B138" s="10">
        <f t="shared" si="12"/>
        <v>2969.0099999999998</v>
      </c>
      <c r="C138" s="10">
        <f t="shared" si="13"/>
        <v>0.10548887599896244</v>
      </c>
      <c r="D138" s="10">
        <f t="shared" si="14"/>
        <v>1.5246877774895641E-2</v>
      </c>
      <c r="E138" s="10">
        <f t="shared" si="15"/>
        <v>2.4682932717798667E-16</v>
      </c>
      <c r="F138" s="10">
        <f t="shared" si="16"/>
        <v>2.4682932710443618E-16</v>
      </c>
      <c r="G138" s="10">
        <f t="shared" si="23"/>
        <v>45.268132582442902</v>
      </c>
      <c r="I138" s="10">
        <v>100000</v>
      </c>
      <c r="J138" s="10">
        <f t="shared" si="17"/>
        <v>9896.7000000000007</v>
      </c>
      <c r="K138" s="10">
        <f t="shared" si="18"/>
        <v>0.1027248795605081</v>
      </c>
      <c r="L138" s="10">
        <f t="shared" si="19"/>
        <v>1.0167461046672006E-2</v>
      </c>
      <c r="M138" s="11">
        <f t="shared" si="20"/>
        <v>3.5639329925343938E-18</v>
      </c>
      <c r="N138" s="11">
        <f t="shared" si="21"/>
        <v>3.5639329925343976E-18</v>
      </c>
      <c r="O138" s="10">
        <f t="shared" si="22"/>
        <v>100.62431174059884</v>
      </c>
    </row>
    <row r="139" spans="1:15">
      <c r="A139" s="10">
        <v>40000</v>
      </c>
      <c r="B139" s="10">
        <f t="shared" si="12"/>
        <v>3958.68</v>
      </c>
      <c r="C139" s="10">
        <f t="shared" si="13"/>
        <v>0.10463735166755132</v>
      </c>
      <c r="D139" s="10">
        <f t="shared" si="14"/>
        <v>1.2881532409864772E-2</v>
      </c>
      <c r="E139" s="10">
        <f t="shared" si="15"/>
        <v>9.1093424587751341E-17</v>
      </c>
      <c r="F139" s="10">
        <f t="shared" si="16"/>
        <v>9.1093424552053191E-17</v>
      </c>
      <c r="G139" s="10">
        <f t="shared" si="23"/>
        <v>50.993864720283469</v>
      </c>
      <c r="I139" s="10">
        <v>200000</v>
      </c>
      <c r="J139" s="10">
        <f t="shared" si="17"/>
        <v>19793.400000000001</v>
      </c>
      <c r="K139" s="10">
        <f t="shared" si="18"/>
        <v>0.10186114863997753</v>
      </c>
      <c r="L139" s="10">
        <f t="shared" si="19"/>
        <v>6.9445844775280676E-3</v>
      </c>
      <c r="M139" s="11">
        <f t="shared" si="20"/>
        <v>3.435218417889192E-19</v>
      </c>
      <c r="N139" s="11">
        <f t="shared" si="21"/>
        <v>3.4352184074886388E-19</v>
      </c>
      <c r="O139" s="10">
        <f t="shared" si="22"/>
        <v>137.45693839750408</v>
      </c>
    </row>
    <row r="140" spans="1:15">
      <c r="A140" s="10">
        <v>50000</v>
      </c>
      <c r="B140" s="10">
        <f t="shared" si="12"/>
        <v>4948.3500000000004</v>
      </c>
      <c r="C140" s="10">
        <f t="shared" si="13"/>
        <v>0.10406893854354159</v>
      </c>
      <c r="D140" s="10">
        <f t="shared" si="14"/>
        <v>1.130260706539328E-2</v>
      </c>
      <c r="E140" s="10">
        <f t="shared" si="15"/>
        <v>4.2043162552237413E-17</v>
      </c>
      <c r="F140" s="10">
        <f t="shared" si="16"/>
        <v>4.2043162495904325E-17</v>
      </c>
      <c r="G140" s="10">
        <f t="shared" si="23"/>
        <v>55.929255672038842</v>
      </c>
      <c r="I140" s="10">
        <v>300000</v>
      </c>
      <c r="J140" s="10">
        <f t="shared" si="17"/>
        <v>29690.1</v>
      </c>
      <c r="K140" s="10">
        <f t="shared" si="18"/>
        <v>0.10148912421638917</v>
      </c>
      <c r="L140" s="10">
        <f t="shared" si="19"/>
        <v>5.5564336432431527E-3</v>
      </c>
      <c r="M140" s="11">
        <f t="shared" si="20"/>
        <v>8.7427208752832892E-20</v>
      </c>
      <c r="N140" s="11">
        <f t="shared" si="21"/>
        <v>8.742720900095218E-20</v>
      </c>
      <c r="O140" s="10">
        <f t="shared" si="22"/>
        <v>164.97107051125352</v>
      </c>
    </row>
    <row r="141" spans="1:15">
      <c r="A141" s="10">
        <v>60000</v>
      </c>
      <c r="B141" s="10">
        <f t="shared" si="12"/>
        <v>5938.0199999999995</v>
      </c>
      <c r="C141" s="10">
        <f t="shared" si="13"/>
        <v>0.10365663100259843</v>
      </c>
      <c r="D141" s="10">
        <f t="shared" si="14"/>
        <v>1.0157308340551192E-2</v>
      </c>
      <c r="E141" s="10">
        <f t="shared" si="15"/>
        <v>2.2352868932597329E-17</v>
      </c>
      <c r="F141" s="10">
        <f t="shared" si="16"/>
        <v>2.235286893593005E-17</v>
      </c>
      <c r="G141" s="10">
        <f t="shared" si="23"/>
        <v>60.314300072359785</v>
      </c>
      <c r="I141" s="10">
        <v>400000</v>
      </c>
      <c r="J141" s="10">
        <f t="shared" si="17"/>
        <v>39586.800000000003</v>
      </c>
      <c r="K141" s="10">
        <f t="shared" si="18"/>
        <v>0.10127120222856875</v>
      </c>
      <c r="L141" s="10">
        <f t="shared" si="19"/>
        <v>4.7432918976445752E-3</v>
      </c>
      <c r="M141" s="11">
        <f t="shared" si="20"/>
        <v>3.3111471591525594E-20</v>
      </c>
      <c r="N141" s="11">
        <f t="shared" si="21"/>
        <v>3.3111471591525618E-20</v>
      </c>
      <c r="O141" s="10">
        <f t="shared" si="22"/>
        <v>187.77174769367628</v>
      </c>
    </row>
    <row r="142" spans="1:15">
      <c r="A142" s="10">
        <v>70000</v>
      </c>
      <c r="B142" s="10">
        <f t="shared" ref="B142:B154" si="24">0.098967*A142</f>
        <v>6927.69</v>
      </c>
      <c r="C142" s="10">
        <f t="shared" ref="C142:C154" si="25">$B$6+(($B$7-$B$6)/(1+($B$3*A142)^$B$4)^$B$5)</f>
        <v>0.10334079985891932</v>
      </c>
      <c r="D142" s="10">
        <f t="shared" ref="D142:D154" si="26">(C142-$B$6)/($B$7-$B$6)</f>
        <v>9.2799996081092111E-3</v>
      </c>
      <c r="E142" s="24">
        <f t="shared" ref="E142:E154" si="27">$B$8*D142^$B$9*(1-(1-D142^(1/$B$5))^$B$5)^2</f>
        <v>1.3102773557382977E-17</v>
      </c>
      <c r="F142" s="10">
        <f t="shared" ref="F142:F154" si="28">$B$8*((1-(($B$3*A142)^($B$4-1))*(1+($B$3*A142)^$B$4)^(-1+1/$B$4))^2)/(1+($B$3*A142)^$B$4)^(0.5-(1/(2*$B$4)))</f>
        <v>1.3102773544909763E-17</v>
      </c>
      <c r="G142" s="10">
        <f t="shared" si="23"/>
        <v>64.288960485102095</v>
      </c>
      <c r="I142" s="10">
        <v>500000</v>
      </c>
      <c r="J142" s="10">
        <f t="shared" ref="J142:J147" si="29">0.098967*I142</f>
        <v>49483.5</v>
      </c>
      <c r="K142" s="10">
        <f t="shared" ref="K142:K147" si="30">$J$6+(($J$7-$J$6)/(1+($J$3*I142)^$J$4)^$J$5)</f>
        <v>0.10112438269042429</v>
      </c>
      <c r="L142" s="10">
        <f t="shared" ref="L142:L147" si="31">(K142-$J$6)/($J$7-$J$6)</f>
        <v>4.1954578000905985E-3</v>
      </c>
      <c r="M142" s="11">
        <f t="shared" ref="M142:M147" si="32">$J$8*L142^$J$9*(1-(1-L142^(1/$J$5))^$J$5)^2</f>
        <v>1.5592194478018835E-20</v>
      </c>
      <c r="N142" s="11">
        <f t="shared" ref="N142:N147" si="33">$J$8*((1-(($J$3*I142)^($J$4-1))*(1+($J$3*I142)^$J$4)^(-1+1/$J$4))^2)/(1+($J$3*I142)^$J$4)^(0.5-(1/(2*$J$4)))</f>
        <v>1.5592194478018786E-20</v>
      </c>
      <c r="O142" s="10">
        <f t="shared" ref="O142:O147" si="34">L142*J142</f>
        <v>207.60593605078313</v>
      </c>
    </row>
    <row r="143" spans="1:15">
      <c r="A143" s="10">
        <v>80000</v>
      </c>
      <c r="B143" s="10">
        <f t="shared" si="24"/>
        <v>7917.36</v>
      </c>
      <c r="C143" s="10">
        <f t="shared" si="25"/>
        <v>0.103089351145387</v>
      </c>
      <c r="D143" s="10">
        <f t="shared" si="26"/>
        <v>8.5815309594083292E-3</v>
      </c>
      <c r="E143" s="10">
        <f t="shared" si="27"/>
        <v>8.2493844930275859E-18</v>
      </c>
      <c r="F143" s="10">
        <f t="shared" si="28"/>
        <v>8.2493844949686506E-18</v>
      </c>
      <c r="G143" s="10">
        <f t="shared" ref="G143:G154" si="35">D143*B143</f>
        <v>67.94306995678113</v>
      </c>
      <c r="I143" s="10">
        <v>600000</v>
      </c>
      <c r="J143" s="10">
        <f t="shared" si="29"/>
        <v>59380.2</v>
      </c>
      <c r="K143" s="10">
        <f t="shared" si="30"/>
        <v>0.10101710191824986</v>
      </c>
      <c r="L143" s="10">
        <f t="shared" si="31"/>
        <v>3.795156411380065E-3</v>
      </c>
      <c r="M143" s="11">
        <f t="shared" si="32"/>
        <v>8.4269529581823341E-21</v>
      </c>
      <c r="N143" s="11">
        <f t="shared" si="33"/>
        <v>8.4269529581823236E-21</v>
      </c>
      <c r="O143" s="10">
        <f t="shared" si="34"/>
        <v>225.35714673903053</v>
      </c>
    </row>
    <row r="144" spans="1:15">
      <c r="A144" s="10">
        <v>90000</v>
      </c>
      <c r="B144" s="10">
        <f t="shared" si="24"/>
        <v>8907.0300000000007</v>
      </c>
      <c r="C144" s="10">
        <f t="shared" si="25"/>
        <v>0.1028833141683783</v>
      </c>
      <c r="D144" s="10">
        <f t="shared" si="26"/>
        <v>8.0092060232730428E-3</v>
      </c>
      <c r="E144" s="10">
        <f t="shared" si="27"/>
        <v>5.48502169241762E-18</v>
      </c>
      <c r="F144" s="10">
        <f t="shared" si="28"/>
        <v>5.4850216955290222E-18</v>
      </c>
      <c r="G144" s="10">
        <f t="shared" si="35"/>
        <v>71.338238325473696</v>
      </c>
      <c r="I144" s="10">
        <v>700000</v>
      </c>
      <c r="J144" s="10">
        <f t="shared" si="29"/>
        <v>69276.899999999994</v>
      </c>
      <c r="K144" s="10">
        <f t="shared" si="30"/>
        <v>0.10093442348270865</v>
      </c>
      <c r="L144" s="10">
        <f t="shared" si="31"/>
        <v>3.4866547862262708E-3</v>
      </c>
      <c r="M144" s="11">
        <f t="shared" si="32"/>
        <v>5.0087018114589495E-21</v>
      </c>
      <c r="N144" s="11">
        <f t="shared" si="33"/>
        <v>5.008701626459322E-21</v>
      </c>
      <c r="O144" s="10">
        <f t="shared" si="34"/>
        <v>241.54463495991871</v>
      </c>
    </row>
    <row r="145" spans="1:15">
      <c r="A145" s="10">
        <v>100000</v>
      </c>
      <c r="B145" s="10">
        <f t="shared" si="24"/>
        <v>9896.7000000000007</v>
      </c>
      <c r="C145" s="10">
        <f t="shared" si="25"/>
        <v>0.10271067923510452</v>
      </c>
      <c r="D145" s="10">
        <f t="shared" si="26"/>
        <v>7.5296645419569803E-3</v>
      </c>
      <c r="E145" s="10">
        <f t="shared" si="27"/>
        <v>3.8074031483898465E-18</v>
      </c>
      <c r="F145" s="10">
        <f t="shared" si="28"/>
        <v>3.8074031445609799E-18</v>
      </c>
      <c r="G145" s="10">
        <f t="shared" si="35"/>
        <v>74.518831072385652</v>
      </c>
      <c r="I145" s="10">
        <v>800000</v>
      </c>
      <c r="J145" s="10">
        <f t="shared" si="29"/>
        <v>79173.600000000006</v>
      </c>
      <c r="K145" s="10">
        <f t="shared" si="30"/>
        <v>0.10086825676662986</v>
      </c>
      <c r="L145" s="10">
        <f t="shared" si="31"/>
        <v>3.2397640545890095E-3</v>
      </c>
      <c r="M145" s="11">
        <f t="shared" si="32"/>
        <v>3.1915552667984386E-21</v>
      </c>
      <c r="N145" s="11">
        <f t="shared" si="33"/>
        <v>3.191555370362127E-21</v>
      </c>
      <c r="O145" s="10">
        <f t="shared" si="34"/>
        <v>256.50378335240845</v>
      </c>
    </row>
    <row r="146" spans="1:15">
      <c r="A146" s="10">
        <v>200000</v>
      </c>
      <c r="B146" s="10">
        <f t="shared" si="24"/>
        <v>19793.400000000001</v>
      </c>
      <c r="C146" s="10">
        <f t="shared" si="25"/>
        <v>0.10180582118361398</v>
      </c>
      <c r="D146" s="10">
        <f t="shared" si="26"/>
        <v>5.0161699544832511E-3</v>
      </c>
      <c r="E146" s="10">
        <f t="shared" si="27"/>
        <v>3.447948231850072E-19</v>
      </c>
      <c r="F146" s="10">
        <f t="shared" si="28"/>
        <v>3.4479482179705719E-19</v>
      </c>
      <c r="G146" s="10">
        <f t="shared" si="35"/>
        <v>99.287058377068789</v>
      </c>
      <c r="I146" s="10">
        <v>900000</v>
      </c>
      <c r="J146" s="10">
        <f t="shared" si="29"/>
        <v>89070.3</v>
      </c>
      <c r="K146" s="10">
        <f t="shared" si="30"/>
        <v>0.10081379364061432</v>
      </c>
      <c r="L146" s="10">
        <f t="shared" si="31"/>
        <v>3.0365434351280547E-3</v>
      </c>
      <c r="M146" s="11">
        <f t="shared" si="32"/>
        <v>2.1446805714123909E-21</v>
      </c>
      <c r="N146" s="11">
        <f t="shared" si="33"/>
        <v>2.1446806883575373E-21</v>
      </c>
      <c r="O146" s="10">
        <f t="shared" si="34"/>
        <v>270.46583472988641</v>
      </c>
    </row>
    <row r="147" spans="1:15">
      <c r="A147" s="10">
        <v>300000</v>
      </c>
      <c r="B147" s="10">
        <f t="shared" si="24"/>
        <v>29690.1</v>
      </c>
      <c r="C147" s="10">
        <f t="shared" si="25"/>
        <v>0.10142391908493935</v>
      </c>
      <c r="D147" s="10">
        <f t="shared" si="26"/>
        <v>3.9553307914981751E-3</v>
      </c>
      <c r="E147" s="10">
        <f t="shared" si="27"/>
        <v>8.4606692024873485E-20</v>
      </c>
      <c r="F147" s="10">
        <f t="shared" si="28"/>
        <v>8.4606690729102329E-20</v>
      </c>
      <c r="G147" s="10">
        <f t="shared" si="35"/>
        <v>117.43416673265996</v>
      </c>
      <c r="I147" s="10">
        <v>1000000</v>
      </c>
      <c r="J147" s="10">
        <f t="shared" si="29"/>
        <v>98967</v>
      </c>
      <c r="K147" s="10">
        <f t="shared" si="30"/>
        <v>0.10076797604540859</v>
      </c>
      <c r="L147" s="10">
        <f t="shared" si="31"/>
        <v>2.8655822589872507E-3</v>
      </c>
      <c r="M147" s="11">
        <f t="shared" si="32"/>
        <v>1.5029034943044927E-21</v>
      </c>
      <c r="N147" s="11">
        <f t="shared" si="33"/>
        <v>1.5029034667363919E-21</v>
      </c>
      <c r="O147" s="10">
        <f t="shared" si="34"/>
        <v>283.59807942519126</v>
      </c>
    </row>
    <row r="148" spans="1:15">
      <c r="A148" s="10">
        <v>400000</v>
      </c>
      <c r="B148" s="10">
        <f t="shared" si="24"/>
        <v>39586.800000000003</v>
      </c>
      <c r="C148" s="10">
        <f t="shared" si="25"/>
        <v>0.10120301551885297</v>
      </c>
      <c r="D148" s="10">
        <f t="shared" si="26"/>
        <v>3.3417097745915623E-3</v>
      </c>
      <c r="E148" s="10">
        <f t="shared" si="27"/>
        <v>3.1224253979174596E-20</v>
      </c>
      <c r="F148" s="10">
        <f t="shared" si="28"/>
        <v>3.1224253413157339E-20</v>
      </c>
      <c r="G148" s="10">
        <f t="shared" si="35"/>
        <v>132.28759650480126</v>
      </c>
      <c r="M148" s="11"/>
    </row>
    <row r="149" spans="1:15">
      <c r="A149" s="10">
        <v>500000</v>
      </c>
      <c r="B149" s="10">
        <f t="shared" si="24"/>
        <v>49483.5</v>
      </c>
      <c r="C149" s="10">
        <f t="shared" si="25"/>
        <v>0.10105555768419286</v>
      </c>
      <c r="D149" s="10">
        <f t="shared" si="26"/>
        <v>2.9321046783134827E-3</v>
      </c>
      <c r="E149" s="10">
        <f t="shared" si="27"/>
        <v>1.441115921609977E-20</v>
      </c>
      <c r="F149" s="10">
        <f t="shared" si="28"/>
        <v>1.4411158781906977E-20</v>
      </c>
      <c r="G149" s="10">
        <f t="shared" si="35"/>
        <v>145.09080184932523</v>
      </c>
      <c r="M149" s="11"/>
    </row>
    <row r="150" spans="1:15">
      <c r="A150" s="10">
        <v>600000</v>
      </c>
      <c r="B150" s="10">
        <f t="shared" si="24"/>
        <v>59380.2</v>
      </c>
      <c r="C150" s="10">
        <f t="shared" si="25"/>
        <v>0.1009485970442465</v>
      </c>
      <c r="D150" s="10">
        <f t="shared" si="26"/>
        <v>2.6349917895735859E-3</v>
      </c>
      <c r="E150" s="10">
        <f t="shared" si="27"/>
        <v>7.6618901409463098E-21</v>
      </c>
      <c r="F150" s="10">
        <f t="shared" si="28"/>
        <v>7.6618897005912196E-21</v>
      </c>
      <c r="G150" s="10">
        <f t="shared" si="35"/>
        <v>156.46633946323743</v>
      </c>
      <c r="M150" s="11"/>
    </row>
    <row r="151" spans="1:15">
      <c r="A151" s="10">
        <v>700000</v>
      </c>
      <c r="B151" s="10">
        <f t="shared" si="24"/>
        <v>69276.899999999994</v>
      </c>
      <c r="C151" s="10">
        <f t="shared" si="25"/>
        <v>0.10086666438923125</v>
      </c>
      <c r="D151" s="10">
        <f t="shared" si="26"/>
        <v>2.4074010811979099E-3</v>
      </c>
      <c r="E151" s="10">
        <f t="shared" si="27"/>
        <v>4.4912301415843308E-21</v>
      </c>
      <c r="F151" s="10">
        <f t="shared" si="28"/>
        <v>4.4912302734312567E-21</v>
      </c>
      <c r="G151" s="10">
        <f t="shared" si="35"/>
        <v>166.77728396203946</v>
      </c>
      <c r="M151" s="11"/>
    </row>
    <row r="152" spans="1:15">
      <c r="A152" s="10">
        <v>800000</v>
      </c>
      <c r="B152" s="10">
        <f t="shared" si="24"/>
        <v>79173.600000000006</v>
      </c>
      <c r="C152" s="10">
        <f t="shared" si="25"/>
        <v>0.1008014338350387</v>
      </c>
      <c r="D152" s="10">
        <f t="shared" si="26"/>
        <v>2.2262050973297087E-3</v>
      </c>
      <c r="E152" s="10">
        <f t="shared" si="27"/>
        <v>2.8276341849580219E-21</v>
      </c>
      <c r="F152" s="10">
        <f t="shared" si="28"/>
        <v>2.8276337489524582E-21</v>
      </c>
      <c r="G152" s="10">
        <f t="shared" si="35"/>
        <v>176.25667189394343</v>
      </c>
      <c r="M152" s="11"/>
    </row>
    <row r="153" spans="1:15">
      <c r="A153" s="10">
        <v>900000</v>
      </c>
      <c r="B153" s="10">
        <f t="shared" si="24"/>
        <v>89070.3</v>
      </c>
      <c r="C153" s="10">
        <f t="shared" si="25"/>
        <v>0.10074798398139738</v>
      </c>
      <c r="D153" s="10">
        <f t="shared" si="26"/>
        <v>2.0777332816593716E-3</v>
      </c>
      <c r="E153" s="10">
        <f t="shared" si="27"/>
        <v>1.8800947747888027E-21</v>
      </c>
      <c r="F153" s="10">
        <f t="shared" si="28"/>
        <v>1.8800946309004663E-21</v>
      </c>
      <c r="G153" s="10">
        <f t="shared" si="35"/>
        <v>185.06432671738474</v>
      </c>
      <c r="M153" s="11"/>
    </row>
    <row r="154" spans="1:15">
      <c r="A154" s="10">
        <v>1000000</v>
      </c>
      <c r="B154" s="10">
        <f t="shared" si="24"/>
        <v>98967</v>
      </c>
      <c r="C154" s="10">
        <f t="shared" si="25"/>
        <v>0.10070319926661896</v>
      </c>
      <c r="D154" s="10">
        <f t="shared" si="26"/>
        <v>1.9533312961637519E-3</v>
      </c>
      <c r="E154" s="10">
        <f t="shared" si="27"/>
        <v>1.3050586980786424E-21</v>
      </c>
      <c r="F154" s="10">
        <f t="shared" si="28"/>
        <v>1.3050585800337293E-21</v>
      </c>
      <c r="G154" s="10">
        <f t="shared" si="35"/>
        <v>193.31533838743803</v>
      </c>
      <c r="M154" s="11"/>
    </row>
    <row r="155" spans="1:15">
      <c r="M155" s="11"/>
    </row>
    <row r="156" spans="1:15">
      <c r="M156" s="11"/>
    </row>
    <row r="157" spans="1:15">
      <c r="M157" s="11"/>
    </row>
    <row r="158" spans="1:15">
      <c r="M158" s="11"/>
    </row>
    <row r="159" spans="1:15">
      <c r="M159" s="11"/>
    </row>
    <row r="160" spans="1:15">
      <c r="M160" s="11"/>
    </row>
    <row r="161" spans="13:13">
      <c r="M161" s="11"/>
    </row>
    <row r="162" spans="13:13">
      <c r="M162" s="11"/>
    </row>
    <row r="163" spans="13:13">
      <c r="M163" s="11"/>
    </row>
    <row r="164" spans="13:13">
      <c r="M164" s="11"/>
    </row>
    <row r="165" spans="13:13">
      <c r="M165" s="11"/>
    </row>
    <row r="166" spans="13:13">
      <c r="M166" s="11"/>
    </row>
    <row r="167" spans="13:13">
      <c r="M167" s="11"/>
    </row>
    <row r="168" spans="13:13">
      <c r="M168" s="11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168"/>
  <sheetViews>
    <sheetView topLeftCell="J1" workbookViewId="0">
      <selection activeCell="I2" sqref="I2:J9"/>
    </sheetView>
  </sheetViews>
  <sheetFormatPr defaultColWidth="9.109375" defaultRowHeight="13.2"/>
  <cols>
    <col min="1" max="16384" width="9.109375" style="10"/>
  </cols>
  <sheetData>
    <row r="1" spans="1:28">
      <c r="A1" s="9" t="s">
        <v>48</v>
      </c>
      <c r="I1" s="9" t="s">
        <v>48</v>
      </c>
      <c r="M1" s="11"/>
      <c r="O1" s="12"/>
      <c r="P1" s="12"/>
    </row>
    <row r="2" spans="1:28">
      <c r="A2" s="12" t="s">
        <v>49</v>
      </c>
      <c r="I2" s="12" t="s">
        <v>50</v>
      </c>
      <c r="M2" s="11"/>
      <c r="O2" s="12"/>
      <c r="X2" s="11"/>
      <c r="Y2" s="11"/>
      <c r="Z2" s="11"/>
    </row>
    <row r="3" spans="1:28">
      <c r="A3" s="13" t="s">
        <v>51</v>
      </c>
      <c r="B3" s="14">
        <v>0.08</v>
      </c>
      <c r="C3" s="10">
        <f>B3*10.19</f>
        <v>0.81519999999999992</v>
      </c>
      <c r="D3" s="10">
        <f>1/C3</f>
        <v>1.2266928361138372</v>
      </c>
      <c r="F3" s="15"/>
      <c r="G3" s="15"/>
      <c r="I3" s="13" t="s">
        <v>52</v>
      </c>
      <c r="J3" s="16">
        <v>0.08</v>
      </c>
      <c r="K3" s="10">
        <f>J3*10.19</f>
        <v>0.81519999999999992</v>
      </c>
      <c r="L3" s="10">
        <f>1/K3</f>
        <v>1.2266928361138372</v>
      </c>
      <c r="M3" s="11"/>
      <c r="O3" s="12"/>
      <c r="P3" s="17"/>
    </row>
    <row r="4" spans="1:28">
      <c r="A4" s="10" t="s">
        <v>53</v>
      </c>
      <c r="B4" s="17">
        <v>1.47</v>
      </c>
      <c r="F4" s="18"/>
      <c r="G4" s="18"/>
      <c r="I4" s="10" t="s">
        <v>53</v>
      </c>
      <c r="J4" s="14">
        <v>1.4</v>
      </c>
      <c r="M4" s="11"/>
      <c r="P4" s="17"/>
    </row>
    <row r="5" spans="1:28">
      <c r="A5" s="10" t="s">
        <v>54</v>
      </c>
      <c r="B5" s="19">
        <f>1-1/B4</f>
        <v>0.31972789115646261</v>
      </c>
      <c r="F5" s="18"/>
      <c r="G5" s="18"/>
      <c r="I5" s="10" t="s">
        <v>54</v>
      </c>
      <c r="J5" s="19">
        <f>1-1/J4</f>
        <v>0.2857142857142857</v>
      </c>
      <c r="M5" s="11"/>
      <c r="P5" s="19"/>
    </row>
    <row r="6" spans="1:28" ht="15.6">
      <c r="A6" s="13" t="s">
        <v>55</v>
      </c>
      <c r="B6" s="17">
        <v>8.8999999999999996E-2</v>
      </c>
      <c r="F6" s="18"/>
      <c r="G6" s="18"/>
      <c r="I6" s="13" t="s">
        <v>55</v>
      </c>
      <c r="J6" s="17">
        <v>8.8999999999999996E-2</v>
      </c>
      <c r="M6" s="11"/>
      <c r="O6" s="13"/>
      <c r="P6" s="17"/>
    </row>
    <row r="7" spans="1:28" ht="15.6">
      <c r="A7" s="13" t="s">
        <v>56</v>
      </c>
      <c r="B7" s="20">
        <v>0.41</v>
      </c>
      <c r="F7" s="21"/>
      <c r="G7" s="21"/>
      <c r="I7" s="13" t="s">
        <v>56</v>
      </c>
      <c r="J7" s="22">
        <v>0.33</v>
      </c>
      <c r="M7" s="11"/>
      <c r="O7" s="13"/>
      <c r="P7" s="20"/>
    </row>
    <row r="8" spans="1:28" ht="15.6">
      <c r="A8" s="12" t="s">
        <v>57</v>
      </c>
      <c r="B8" s="14">
        <v>4.0899999999999999E-3</v>
      </c>
      <c r="F8" s="15"/>
      <c r="G8" s="15"/>
      <c r="I8" s="12" t="s">
        <v>57</v>
      </c>
      <c r="J8" s="14">
        <v>6.8899999999999994E-5</v>
      </c>
      <c r="M8" s="11"/>
      <c r="O8" s="12"/>
      <c r="P8" s="14"/>
    </row>
    <row r="9" spans="1:28">
      <c r="A9" s="12" t="s">
        <v>58</v>
      </c>
      <c r="B9" s="17">
        <v>0.5</v>
      </c>
      <c r="F9" s="18"/>
      <c r="G9" s="18"/>
      <c r="I9" s="12" t="s">
        <v>58</v>
      </c>
      <c r="J9" s="17">
        <v>0.5</v>
      </c>
      <c r="M9" s="11"/>
      <c r="O9" s="12"/>
      <c r="P9" s="17"/>
    </row>
    <row r="10" spans="1:28">
      <c r="A10" s="12"/>
      <c r="B10" s="12"/>
      <c r="I10" s="12"/>
      <c r="J10" s="12"/>
      <c r="M10" s="11"/>
      <c r="O10" s="12"/>
      <c r="P10" s="12"/>
    </row>
    <row r="11" spans="1:28">
      <c r="A11" s="10" t="s">
        <v>59</v>
      </c>
      <c r="I11" s="10" t="s">
        <v>59</v>
      </c>
      <c r="M11" s="11"/>
    </row>
    <row r="12" spans="1:28">
      <c r="M12" s="11"/>
    </row>
    <row r="13" spans="1:28">
      <c r="A13" s="10" t="s">
        <v>60</v>
      </c>
      <c r="B13" s="10" t="s">
        <v>61</v>
      </c>
      <c r="C13" s="13" t="s">
        <v>62</v>
      </c>
      <c r="D13" s="10" t="s">
        <v>63</v>
      </c>
      <c r="E13" s="12" t="s">
        <v>64</v>
      </c>
      <c r="G13" s="12" t="s">
        <v>65</v>
      </c>
      <c r="H13" s="12"/>
      <c r="I13" s="10" t="s">
        <v>60</v>
      </c>
      <c r="J13" s="10" t="s">
        <v>61</v>
      </c>
      <c r="K13" s="13" t="s">
        <v>62</v>
      </c>
      <c r="L13" s="10" t="s">
        <v>63</v>
      </c>
      <c r="M13" s="23" t="s">
        <v>64</v>
      </c>
      <c r="O13" s="12" t="s">
        <v>65</v>
      </c>
      <c r="Q13" s="13"/>
      <c r="R13" s="10" t="s">
        <v>112</v>
      </c>
      <c r="S13" s="10" t="s">
        <v>113</v>
      </c>
      <c r="T13" s="10" t="s">
        <v>114</v>
      </c>
      <c r="U13" s="10" t="s">
        <v>115</v>
      </c>
      <c r="V13" s="10" t="s">
        <v>116</v>
      </c>
      <c r="W13" s="10" t="s">
        <v>117</v>
      </c>
      <c r="X13" s="10" t="s">
        <v>118</v>
      </c>
      <c r="Y13" s="10" t="s">
        <v>119</v>
      </c>
      <c r="Z13" s="10" t="s">
        <v>120</v>
      </c>
      <c r="AA13" s="10" t="s">
        <v>121</v>
      </c>
      <c r="AB13" s="10" t="s">
        <v>122</v>
      </c>
    </row>
    <row r="14" spans="1:28">
      <c r="A14" s="10">
        <v>1</v>
      </c>
      <c r="B14" s="10">
        <f t="shared" ref="B14:B77" si="0">0.098967*A14</f>
        <v>9.8966999999999999E-2</v>
      </c>
      <c r="C14" s="10">
        <f t="shared" ref="C14:C77" si="1">$B$6+(($B$7-$B$6)/(1+($B$3*A14)^$B$4)^$B$5)</f>
        <v>0.40753448584340002</v>
      </c>
      <c r="D14" s="10">
        <f t="shared" ref="D14:D77" si="2">(C14-$B$6)/($B$7-$B$6)</f>
        <v>0.9923192705401872</v>
      </c>
      <c r="E14" s="10">
        <f t="shared" ref="E14:E77" si="3">$B$8*D14^$B$9*(1-(1-D14^(1/$B$5))^$B$5)^2</f>
        <v>1.9806560891816472E-3</v>
      </c>
      <c r="F14" s="10">
        <f t="shared" ref="F14:F77" si="4">$B$8*((1-(($B$3*A14)^($B$4-1))*(1+($B$3*A14)^$B$4)^(-1+1/$B$4))^2)/(1+($B$3*A14)^$B$4)^(0.5-(1/(2*$B$4)))</f>
        <v>1.9806560891816394E-3</v>
      </c>
      <c r="G14" s="10">
        <f>D14*B14</f>
        <v>9.8206861247550709E-2</v>
      </c>
      <c r="I14" s="10">
        <v>1</v>
      </c>
      <c r="J14" s="10">
        <f t="shared" ref="J14:J77" si="5">0.098967*I14</f>
        <v>9.8966999999999999E-2</v>
      </c>
      <c r="K14" s="11">
        <f t="shared" ref="K14:K77" si="6">$J$6+(($J$7-$J$6)/(1+($J$3*I14)^$J$4)^$J$5)</f>
        <v>0.32803100342141123</v>
      </c>
      <c r="L14" s="10">
        <f t="shared" ref="L14:L77" si="7">(K14-$J$6)/($J$7-$J$6)</f>
        <v>0.9918298897153992</v>
      </c>
      <c r="M14" s="11">
        <f>$J$8*L14^$J$9*(1-(1-L14^(1/$J$5))^$J$5)^2</f>
        <v>2.8006054741756856E-5</v>
      </c>
      <c r="N14" s="11">
        <f t="shared" ref="N14:N77" si="8">$J$8*((1-(($J$3*I14)^($J$4-1))*(1+($J$3*I14)^$J$4)^(-1+1/$J$4))^2)/(1+($J$3*I14)^$J$4)^(0.5-(1/(2*$J$4)))</f>
        <v>2.8006054741756618E-5</v>
      </c>
      <c r="O14" s="10">
        <f t="shared" ref="O14:O77" si="9">L14*J14</f>
        <v>9.8158428695463915E-2</v>
      </c>
      <c r="S14" s="10" t="s">
        <v>123</v>
      </c>
      <c r="T14" s="10" t="s">
        <v>123</v>
      </c>
      <c r="U14" s="10" t="s">
        <v>124</v>
      </c>
      <c r="V14" s="10" t="s">
        <v>125</v>
      </c>
      <c r="W14" s="10" t="s">
        <v>126</v>
      </c>
      <c r="X14" s="10" t="s">
        <v>125</v>
      </c>
      <c r="Y14" s="10" t="s">
        <v>127</v>
      </c>
      <c r="Z14" s="10" t="s">
        <v>124</v>
      </c>
      <c r="AA14" s="10" t="s">
        <v>124</v>
      </c>
      <c r="AB14" s="10" t="s">
        <v>128</v>
      </c>
    </row>
    <row r="15" spans="1:28">
      <c r="A15" s="10">
        <v>2</v>
      </c>
      <c r="B15" s="10">
        <f t="shared" si="0"/>
        <v>0.197934</v>
      </c>
      <c r="C15" s="10">
        <f t="shared" si="1"/>
        <v>0.40335458642704047</v>
      </c>
      <c r="D15" s="10">
        <f t="shared" si="2"/>
        <v>0.97929777703127896</v>
      </c>
      <c r="E15" s="10">
        <f t="shared" si="3"/>
        <v>1.3905501306828371E-3</v>
      </c>
      <c r="F15" s="10">
        <f t="shared" si="4"/>
        <v>1.3905501306828297E-3</v>
      </c>
      <c r="G15" s="10">
        <f t="shared" ref="G15:G78" si="10">D15*B15</f>
        <v>0.19383632619890917</v>
      </c>
      <c r="I15" s="10">
        <v>2</v>
      </c>
      <c r="J15" s="10">
        <f t="shared" si="5"/>
        <v>0.197934</v>
      </c>
      <c r="K15" s="11">
        <f t="shared" si="6"/>
        <v>0.32495398049629937</v>
      </c>
      <c r="L15" s="10">
        <f t="shared" si="7"/>
        <v>0.979062159735682</v>
      </c>
      <c r="M15" s="11">
        <f t="shared" ref="M15:M78" si="11">$J$8*L15^$J$9*(1-(1-L15^(1/$J$5))^$J$5)^2</f>
        <v>1.9122135521685129E-5</v>
      </c>
      <c r="N15" s="11">
        <f t="shared" si="8"/>
        <v>1.9122135521685089E-5</v>
      </c>
      <c r="O15" s="10">
        <f t="shared" si="9"/>
        <v>0.19378968952512249</v>
      </c>
    </row>
    <row r="16" spans="1:28">
      <c r="A16" s="10">
        <v>4</v>
      </c>
      <c r="B16" s="10">
        <f t="shared" si="0"/>
        <v>0.395868</v>
      </c>
      <c r="C16" s="10">
        <f t="shared" si="1"/>
        <v>0.39285355536899846</v>
      </c>
      <c r="D16" s="10">
        <f t="shared" si="2"/>
        <v>0.94658428463862476</v>
      </c>
      <c r="E16" s="10">
        <f t="shared" si="3"/>
        <v>7.9122263019041044E-4</v>
      </c>
      <c r="F16" s="10">
        <f t="shared" si="4"/>
        <v>7.9122263019040687E-4</v>
      </c>
      <c r="G16" s="10">
        <f t="shared" si="10"/>
        <v>0.37472242759132313</v>
      </c>
      <c r="I16" s="10">
        <v>4</v>
      </c>
      <c r="J16" s="10">
        <f t="shared" si="5"/>
        <v>0.395868</v>
      </c>
      <c r="K16" s="10">
        <f t="shared" si="6"/>
        <v>0.31761135331900092</v>
      </c>
      <c r="L16" s="10">
        <f t="shared" si="7"/>
        <v>0.94859482704979625</v>
      </c>
      <c r="M16" s="11">
        <f t="shared" si="11"/>
        <v>1.0663569941089333E-5</v>
      </c>
      <c r="N16" s="11">
        <f t="shared" si="8"/>
        <v>1.0663569941089291E-5</v>
      </c>
      <c r="O16" s="10">
        <f t="shared" si="9"/>
        <v>0.37551833699454873</v>
      </c>
      <c r="R16" s="10">
        <v>1</v>
      </c>
      <c r="S16" s="10">
        <v>0</v>
      </c>
      <c r="T16" s="10">
        <v>-369.80399999999997</v>
      </c>
      <c r="U16" s="10">
        <v>0.1565</v>
      </c>
      <c r="V16" s="11">
        <v>9.2859999999999998E-10</v>
      </c>
      <c r="W16" s="11">
        <v>8.5740000000000002E-5</v>
      </c>
      <c r="X16" s="11">
        <v>1.5109999999999999E-12</v>
      </c>
      <c r="Y16" s="11">
        <v>0</v>
      </c>
      <c r="Z16" s="10">
        <v>-1</v>
      </c>
      <c r="AA16" s="11">
        <v>3.6899999999999999E-9</v>
      </c>
      <c r="AB16" s="10">
        <v>20</v>
      </c>
    </row>
    <row r="17" spans="1:28">
      <c r="A17" s="10">
        <v>5</v>
      </c>
      <c r="B17" s="10">
        <f t="shared" si="0"/>
        <v>0.49483500000000002</v>
      </c>
      <c r="C17" s="10">
        <f t="shared" si="1"/>
        <v>0.3871330694666012</v>
      </c>
      <c r="D17" s="10">
        <f t="shared" si="2"/>
        <v>0.92876345628224699</v>
      </c>
      <c r="E17" s="10">
        <f t="shared" si="3"/>
        <v>6.1882113333205761E-4</v>
      </c>
      <c r="F17" s="10">
        <f t="shared" si="4"/>
        <v>6.188211333320588E-4</v>
      </c>
      <c r="G17" s="10">
        <f t="shared" si="10"/>
        <v>0.45958466488942573</v>
      </c>
      <c r="I17" s="10">
        <v>5</v>
      </c>
      <c r="J17" s="10">
        <f t="shared" si="5"/>
        <v>0.49483500000000002</v>
      </c>
      <c r="K17" s="11">
        <f t="shared" si="6"/>
        <v>0.3137251740054447</v>
      </c>
      <c r="L17" s="10">
        <f t="shared" si="7"/>
        <v>0.93246960168234305</v>
      </c>
      <c r="M17" s="11">
        <f t="shared" si="11"/>
        <v>8.3217957975265008E-6</v>
      </c>
      <c r="N17" s="11">
        <f t="shared" si="8"/>
        <v>8.3217957975265008E-6</v>
      </c>
      <c r="O17" s="10">
        <f t="shared" si="9"/>
        <v>0.46141859534848223</v>
      </c>
      <c r="R17" s="10">
        <v>2</v>
      </c>
      <c r="S17" s="10">
        <v>-0.13420000000000001</v>
      </c>
      <c r="T17" s="10">
        <v>-369.92700000000002</v>
      </c>
      <c r="U17" s="10">
        <v>0.1565</v>
      </c>
      <c r="V17" s="11">
        <v>9.2729999999999999E-10</v>
      </c>
      <c r="W17" s="11">
        <v>8.5699999999999996E-5</v>
      </c>
      <c r="X17" s="11">
        <v>-3.5360000000000002E-9</v>
      </c>
      <c r="Y17" s="11">
        <v>0</v>
      </c>
      <c r="Z17" s="10">
        <v>-1</v>
      </c>
      <c r="AA17" s="11">
        <v>-8.6500000000000002E-6</v>
      </c>
      <c r="AB17" s="10">
        <v>20</v>
      </c>
    </row>
    <row r="18" spans="1:28">
      <c r="A18" s="10">
        <v>6</v>
      </c>
      <c r="B18" s="10">
        <f t="shared" si="0"/>
        <v>0.59380199999999994</v>
      </c>
      <c r="C18" s="10">
        <f t="shared" si="1"/>
        <v>0.38132804893200245</v>
      </c>
      <c r="D18" s="10">
        <f t="shared" si="2"/>
        <v>0.91067928016200161</v>
      </c>
      <c r="E18" s="10">
        <f t="shared" si="3"/>
        <v>4.9192882042442727E-4</v>
      </c>
      <c r="F18" s="10">
        <f t="shared" si="4"/>
        <v>4.9192882042442814E-4</v>
      </c>
      <c r="G18" s="10">
        <f t="shared" si="10"/>
        <v>0.54076317791875683</v>
      </c>
      <c r="I18" s="10">
        <v>6</v>
      </c>
      <c r="J18" s="10">
        <f t="shared" si="5"/>
        <v>0.59380199999999994</v>
      </c>
      <c r="K18" s="10">
        <f t="shared" si="6"/>
        <v>0.30982926251518539</v>
      </c>
      <c r="L18" s="10">
        <f t="shared" si="7"/>
        <v>0.91630399383894345</v>
      </c>
      <c r="M18" s="11">
        <f t="shared" si="11"/>
        <v>6.6200333594732912E-6</v>
      </c>
      <c r="N18" s="11">
        <f t="shared" si="8"/>
        <v>6.6200333594732963E-6</v>
      </c>
      <c r="O18" s="10">
        <f t="shared" si="9"/>
        <v>0.5441031441495523</v>
      </c>
      <c r="R18" s="10">
        <v>3</v>
      </c>
      <c r="S18" s="10">
        <v>-0.26579999999999998</v>
      </c>
      <c r="T18" s="10">
        <v>-370.55399999999997</v>
      </c>
      <c r="U18" s="10">
        <v>0.15640000000000001</v>
      </c>
      <c r="V18" s="11">
        <v>9.2079999999999996E-10</v>
      </c>
      <c r="W18" s="11">
        <v>8.5439999999999995E-5</v>
      </c>
      <c r="X18" s="11">
        <v>-7.0569999999999999E-9</v>
      </c>
      <c r="Y18" s="11">
        <v>0</v>
      </c>
      <c r="Z18" s="10">
        <v>-1</v>
      </c>
      <c r="AA18" s="11">
        <v>-1.73E-5</v>
      </c>
      <c r="AB18" s="10">
        <v>20</v>
      </c>
    </row>
    <row r="19" spans="1:28">
      <c r="A19" s="10">
        <v>8</v>
      </c>
      <c r="B19" s="10">
        <f t="shared" si="0"/>
        <v>0.791736</v>
      </c>
      <c r="C19" s="10">
        <f t="shared" si="1"/>
        <v>0.36984389816864216</v>
      </c>
      <c r="D19" s="10">
        <f t="shared" si="2"/>
        <v>0.87490310955963313</v>
      </c>
      <c r="E19" s="10">
        <f t="shared" si="3"/>
        <v>3.2316516515616857E-4</v>
      </c>
      <c r="F19" s="10">
        <f t="shared" si="4"/>
        <v>3.2316516515616748E-4</v>
      </c>
      <c r="G19" s="10">
        <f t="shared" si="10"/>
        <v>0.69269228835030572</v>
      </c>
      <c r="I19" s="10">
        <v>8</v>
      </c>
      <c r="J19" s="10">
        <f t="shared" si="5"/>
        <v>0.791736</v>
      </c>
      <c r="K19" s="10">
        <f t="shared" si="6"/>
        <v>0.30221292092634022</v>
      </c>
      <c r="L19" s="10">
        <f t="shared" si="7"/>
        <v>0.88470091670680584</v>
      </c>
      <c r="M19" s="11">
        <f t="shared" si="11"/>
        <v>4.3787983565785573E-6</v>
      </c>
      <c r="N19" s="11">
        <f t="shared" si="8"/>
        <v>4.3787983565785581E-6</v>
      </c>
      <c r="O19" s="10">
        <f t="shared" si="9"/>
        <v>0.70044956498977962</v>
      </c>
      <c r="R19" s="10">
        <v>4</v>
      </c>
      <c r="S19" s="10">
        <v>-0.39479999999999998</v>
      </c>
      <c r="T19" s="10">
        <v>-371.66899999999998</v>
      </c>
      <c r="U19" s="10">
        <v>0.15629999999999999</v>
      </c>
      <c r="V19" s="11">
        <v>9.0920000000000002E-10</v>
      </c>
      <c r="W19" s="11">
        <v>8.5000000000000006E-5</v>
      </c>
      <c r="X19" s="11">
        <v>-1.054E-8</v>
      </c>
      <c r="Y19" s="11">
        <v>0</v>
      </c>
      <c r="Z19" s="10">
        <v>-1</v>
      </c>
      <c r="AA19" s="11">
        <v>-2.58E-5</v>
      </c>
      <c r="AB19" s="10">
        <v>20</v>
      </c>
    </row>
    <row r="20" spans="1:28">
      <c r="A20" s="10">
        <v>10</v>
      </c>
      <c r="B20" s="10">
        <f t="shared" si="0"/>
        <v>0.98967000000000005</v>
      </c>
      <c r="C20" s="10">
        <f t="shared" si="1"/>
        <v>0.35888076800307778</v>
      </c>
      <c r="D20" s="10">
        <f t="shared" si="2"/>
        <v>0.84075005608435471</v>
      </c>
      <c r="E20" s="10">
        <f t="shared" si="3"/>
        <v>2.2137266918074847E-4</v>
      </c>
      <c r="F20" s="10">
        <f t="shared" si="4"/>
        <v>2.2137266918074804E-4</v>
      </c>
      <c r="G20" s="10">
        <f t="shared" si="10"/>
        <v>0.83206510800500333</v>
      </c>
      <c r="I20" s="10">
        <v>10</v>
      </c>
      <c r="J20" s="10">
        <f t="shared" si="5"/>
        <v>0.98967000000000005</v>
      </c>
      <c r="K20" s="10">
        <f t="shared" si="6"/>
        <v>0.29500741455194635</v>
      </c>
      <c r="L20" s="10">
        <f t="shared" si="7"/>
        <v>0.85480255000807603</v>
      </c>
      <c r="M20" s="11">
        <f t="shared" si="11"/>
        <v>3.0326174869483915E-6</v>
      </c>
      <c r="N20" s="11">
        <f t="shared" si="8"/>
        <v>3.0326174869483983E-6</v>
      </c>
      <c r="O20" s="10">
        <f t="shared" si="9"/>
        <v>0.8459724396664926</v>
      </c>
      <c r="R20" s="10">
        <v>5</v>
      </c>
      <c r="S20" s="10">
        <v>-0.5212</v>
      </c>
      <c r="T20" s="10">
        <v>-373.26900000000001</v>
      </c>
      <c r="U20" s="10">
        <v>0.15620000000000001</v>
      </c>
      <c r="V20" s="11">
        <v>8.9249999999999997E-10</v>
      </c>
      <c r="W20" s="11">
        <v>8.4350000000000004E-5</v>
      </c>
      <c r="X20" s="11">
        <v>-1.4009999999999999E-8</v>
      </c>
      <c r="Y20" s="11">
        <v>0</v>
      </c>
      <c r="Z20" s="10">
        <v>-1</v>
      </c>
      <c r="AA20" s="11">
        <v>-3.43E-5</v>
      </c>
      <c r="AB20" s="10">
        <v>20</v>
      </c>
    </row>
    <row r="21" spans="1:28">
      <c r="A21" s="10">
        <v>11</v>
      </c>
      <c r="B21" s="10">
        <f t="shared" si="0"/>
        <v>1.0886370000000001</v>
      </c>
      <c r="C21" s="10">
        <f t="shared" si="1"/>
        <v>0.35366219291331535</v>
      </c>
      <c r="D21" s="10">
        <f t="shared" si="2"/>
        <v>0.82449281281406672</v>
      </c>
      <c r="E21" s="10">
        <f t="shared" si="3"/>
        <v>1.856535988094078E-4</v>
      </c>
      <c r="F21" s="10">
        <f t="shared" si="4"/>
        <v>1.8565359880940756E-4</v>
      </c>
      <c r="G21" s="10">
        <f t="shared" si="10"/>
        <v>0.89757338226346717</v>
      </c>
      <c r="I21" s="10">
        <v>11</v>
      </c>
      <c r="J21" s="10">
        <f t="shared" si="5"/>
        <v>1.0886370000000001</v>
      </c>
      <c r="K21" s="10">
        <f t="shared" si="6"/>
        <v>0.29158897718997523</v>
      </c>
      <c r="L21" s="10">
        <f t="shared" si="7"/>
        <v>0.84061816261400502</v>
      </c>
      <c r="M21" s="11">
        <f t="shared" si="11"/>
        <v>2.5594193583268198E-6</v>
      </c>
      <c r="N21" s="11">
        <f t="shared" si="8"/>
        <v>2.5594193583268257E-6</v>
      </c>
      <c r="O21" s="10">
        <f t="shared" si="9"/>
        <v>0.91512803469362269</v>
      </c>
      <c r="R21" s="10">
        <v>6</v>
      </c>
      <c r="S21" s="10">
        <v>-0.64500000000000002</v>
      </c>
      <c r="T21" s="10">
        <v>-375.358</v>
      </c>
      <c r="U21" s="10">
        <v>0.156</v>
      </c>
      <c r="V21" s="11">
        <v>8.707E-10</v>
      </c>
      <c r="W21" s="11">
        <v>8.352E-5</v>
      </c>
      <c r="X21" s="11">
        <v>-1.7479999999999998E-8</v>
      </c>
      <c r="Y21" s="11">
        <v>0</v>
      </c>
      <c r="Z21" s="10">
        <v>-1</v>
      </c>
      <c r="AA21" s="11">
        <v>-4.2700000000000001E-5</v>
      </c>
      <c r="AB21" s="10">
        <v>20</v>
      </c>
    </row>
    <row r="22" spans="1:28">
      <c r="A22" s="10">
        <v>13</v>
      </c>
      <c r="B22" s="10">
        <f t="shared" si="0"/>
        <v>1.2865709999999999</v>
      </c>
      <c r="C22" s="10">
        <f t="shared" si="1"/>
        <v>0.34379847517461126</v>
      </c>
      <c r="D22" s="10">
        <f t="shared" si="2"/>
        <v>0.79376472017012878</v>
      </c>
      <c r="E22" s="10">
        <f t="shared" si="3"/>
        <v>1.3358555697038626E-4</v>
      </c>
      <c r="F22" s="10">
        <f t="shared" si="4"/>
        <v>1.3358555697038626E-4</v>
      </c>
      <c r="G22" s="10">
        <f t="shared" si="10"/>
        <v>1.0212346697940027</v>
      </c>
      <c r="I22" s="10">
        <v>13</v>
      </c>
      <c r="J22" s="10">
        <f t="shared" si="5"/>
        <v>1.2865709999999999</v>
      </c>
      <c r="K22" s="10">
        <f t="shared" si="6"/>
        <v>0.28513497580641112</v>
      </c>
      <c r="L22" s="10">
        <f t="shared" si="7"/>
        <v>0.81383807388552321</v>
      </c>
      <c r="M22" s="11">
        <f t="shared" si="11"/>
        <v>1.8666070145976157E-6</v>
      </c>
      <c r="N22" s="11">
        <f t="shared" si="8"/>
        <v>1.8666070145976161E-6</v>
      </c>
      <c r="O22" s="10">
        <f t="shared" si="9"/>
        <v>1.0470604645569714</v>
      </c>
      <c r="R22" s="10">
        <v>7</v>
      </c>
      <c r="S22" s="10">
        <v>-0.76629999999999998</v>
      </c>
      <c r="T22" s="10">
        <v>-377.95800000000003</v>
      </c>
      <c r="U22" s="10">
        <v>0.15570000000000001</v>
      </c>
      <c r="V22" s="11">
        <v>8.4359999999999996E-10</v>
      </c>
      <c r="W22" s="11">
        <v>8.2470000000000002E-5</v>
      </c>
      <c r="X22" s="11">
        <v>-2.096E-8</v>
      </c>
      <c r="Y22" s="11">
        <v>0</v>
      </c>
      <c r="Z22" s="10">
        <v>-1</v>
      </c>
      <c r="AA22" s="11">
        <v>-5.1199999999999998E-5</v>
      </c>
      <c r="AB22" s="10">
        <v>20</v>
      </c>
    </row>
    <row r="23" spans="1:28">
      <c r="A23" s="10">
        <v>15</v>
      </c>
      <c r="B23" s="10">
        <f t="shared" si="0"/>
        <v>1.484505</v>
      </c>
      <c r="C23" s="10">
        <f t="shared" si="1"/>
        <v>0.33470087317930503</v>
      </c>
      <c r="D23" s="10">
        <f t="shared" si="2"/>
        <v>0.76542328093241452</v>
      </c>
      <c r="E23" s="10">
        <f t="shared" si="3"/>
        <v>9.8715305813539821E-5</v>
      </c>
      <c r="F23" s="10">
        <f t="shared" si="4"/>
        <v>9.8715305813539971E-5</v>
      </c>
      <c r="G23" s="10">
        <f t="shared" si="10"/>
        <v>1.136274687660574</v>
      </c>
      <c r="I23" s="10">
        <v>15</v>
      </c>
      <c r="J23" s="10">
        <f t="shared" si="5"/>
        <v>1.484505</v>
      </c>
      <c r="K23" s="10">
        <f t="shared" si="6"/>
        <v>0.27917980742256598</v>
      </c>
      <c r="L23" s="10">
        <f t="shared" si="7"/>
        <v>0.78912783162890443</v>
      </c>
      <c r="M23" s="11">
        <f t="shared" si="11"/>
        <v>1.3987297100116107E-6</v>
      </c>
      <c r="N23" s="11">
        <f t="shared" si="8"/>
        <v>1.3987297100116129E-6</v>
      </c>
      <c r="O23" s="10">
        <f t="shared" si="9"/>
        <v>1.1714642116922667</v>
      </c>
      <c r="R23" s="10">
        <v>8</v>
      </c>
      <c r="S23" s="10">
        <v>-0.88490000000000002</v>
      </c>
      <c r="T23" s="10">
        <v>-381.09899999999999</v>
      </c>
      <c r="U23" s="10">
        <v>0.1555</v>
      </c>
      <c r="V23" s="11">
        <v>8.1089999999999996E-10</v>
      </c>
      <c r="W23" s="11">
        <v>8.1210000000000003E-5</v>
      </c>
      <c r="X23" s="11">
        <v>-2.4480000000000001E-8</v>
      </c>
      <c r="Y23" s="11">
        <v>0</v>
      </c>
      <c r="Z23" s="10">
        <v>-1</v>
      </c>
      <c r="AA23" s="11">
        <v>-5.9799999999999997E-5</v>
      </c>
      <c r="AB23" s="10">
        <v>20</v>
      </c>
    </row>
    <row r="24" spans="1:28">
      <c r="A24" s="10">
        <v>17</v>
      </c>
      <c r="B24" s="10">
        <f t="shared" si="0"/>
        <v>1.682439</v>
      </c>
      <c r="C24" s="10">
        <f t="shared" si="1"/>
        <v>0.32633366205957637</v>
      </c>
      <c r="D24" s="10">
        <f t="shared" si="2"/>
        <v>0.73935720267780813</v>
      </c>
      <c r="E24" s="10">
        <f t="shared" si="3"/>
        <v>7.4642342610164002E-5</v>
      </c>
      <c r="F24" s="10">
        <f t="shared" si="4"/>
        <v>7.4642342610164232E-5</v>
      </c>
      <c r="G24" s="10">
        <f t="shared" si="10"/>
        <v>1.2439233927160489</v>
      </c>
      <c r="I24" s="10">
        <v>17</v>
      </c>
      <c r="J24" s="10">
        <f t="shared" si="5"/>
        <v>1.682439</v>
      </c>
      <c r="K24" s="10">
        <f t="shared" si="6"/>
        <v>0.27369210520774845</v>
      </c>
      <c r="L24" s="10">
        <f t="shared" si="7"/>
        <v>0.76635728301970307</v>
      </c>
      <c r="M24" s="11">
        <f t="shared" si="11"/>
        <v>1.072458431053391E-6</v>
      </c>
      <c r="N24" s="11">
        <f t="shared" si="8"/>
        <v>1.0724584310533891E-6</v>
      </c>
      <c r="O24" s="10">
        <f t="shared" si="9"/>
        <v>1.2893493808863863</v>
      </c>
      <c r="R24" s="10">
        <v>9</v>
      </c>
      <c r="S24" s="10">
        <v>-1.0009999999999999</v>
      </c>
      <c r="T24" s="10">
        <v>-384.83499999999998</v>
      </c>
      <c r="U24" s="10">
        <v>0.15509999999999999</v>
      </c>
      <c r="V24" s="11">
        <v>7.7200000000000002E-10</v>
      </c>
      <c r="W24" s="11">
        <v>7.9709999999999994E-5</v>
      </c>
      <c r="X24" s="11">
        <v>-2.805E-8</v>
      </c>
      <c r="Y24" s="11">
        <v>0</v>
      </c>
      <c r="Z24" s="10">
        <v>-1</v>
      </c>
      <c r="AA24" s="11">
        <v>-6.86E-5</v>
      </c>
      <c r="AB24" s="10">
        <v>20</v>
      </c>
    </row>
    <row r="25" spans="1:28">
      <c r="A25" s="10">
        <v>19</v>
      </c>
      <c r="B25" s="10">
        <f t="shared" si="0"/>
        <v>1.8803730000000001</v>
      </c>
      <c r="C25" s="10">
        <f t="shared" si="1"/>
        <v>0.31864115907777457</v>
      </c>
      <c r="D25" s="10">
        <f t="shared" si="2"/>
        <v>0.7153930189338773</v>
      </c>
      <c r="E25" s="10">
        <f t="shared" si="3"/>
        <v>5.757967444846987E-5</v>
      </c>
      <c r="F25" s="10">
        <f t="shared" si="4"/>
        <v>5.7579674448469775E-5</v>
      </c>
      <c r="G25" s="10">
        <f t="shared" si="10"/>
        <v>1.3452057171917517</v>
      </c>
      <c r="I25" s="10">
        <v>19</v>
      </c>
      <c r="J25" s="10">
        <f t="shared" si="5"/>
        <v>1.8803730000000001</v>
      </c>
      <c r="K25" s="10">
        <f t="shared" si="6"/>
        <v>0.26863236006515423</v>
      </c>
      <c r="L25" s="10">
        <f t="shared" si="7"/>
        <v>0.74536248989690546</v>
      </c>
      <c r="M25" s="11">
        <f t="shared" si="11"/>
        <v>8.3865543462746753E-7</v>
      </c>
      <c r="N25" s="11">
        <f t="shared" si="8"/>
        <v>8.3865543462746901E-7</v>
      </c>
      <c r="O25" s="10">
        <f t="shared" si="9"/>
        <v>1.4015595012149138</v>
      </c>
      <c r="R25" s="10">
        <v>10</v>
      </c>
      <c r="S25" s="10">
        <v>-1.1145</v>
      </c>
      <c r="T25" s="10">
        <v>-389.17099999999999</v>
      </c>
      <c r="U25" s="10">
        <v>0.15479999999999999</v>
      </c>
      <c r="V25" s="11">
        <v>7.5140000000000001E-10</v>
      </c>
      <c r="W25" s="11">
        <v>7.8640000000000006E-5</v>
      </c>
      <c r="X25" s="11">
        <v>-3.114E-8</v>
      </c>
      <c r="Y25" s="11">
        <v>0</v>
      </c>
      <c r="Z25" s="10">
        <v>-1</v>
      </c>
      <c r="AA25" s="11">
        <v>-7.6100000000000007E-5</v>
      </c>
      <c r="AB25" s="10">
        <v>20</v>
      </c>
    </row>
    <row r="26" spans="1:28">
      <c r="A26" s="10">
        <v>21</v>
      </c>
      <c r="B26" s="10">
        <f t="shared" si="0"/>
        <v>2.0783070000000001</v>
      </c>
      <c r="C26" s="10">
        <f t="shared" si="1"/>
        <v>0.31156167457018458</v>
      </c>
      <c r="D26" s="10">
        <f t="shared" si="2"/>
        <v>0.69333855006288037</v>
      </c>
      <c r="E26" s="10">
        <f t="shared" si="3"/>
        <v>4.5203137715269324E-5</v>
      </c>
      <c r="F26" s="10">
        <f t="shared" si="4"/>
        <v>4.5203137715269412E-5</v>
      </c>
      <c r="G26" s="10">
        <f t="shared" si="10"/>
        <v>1.4409703619655347</v>
      </c>
      <c r="I26" s="10">
        <v>21</v>
      </c>
      <c r="J26" s="10">
        <f t="shared" si="5"/>
        <v>2.0783070000000001</v>
      </c>
      <c r="K26" s="10">
        <f t="shared" si="6"/>
        <v>0.26395974948289608</v>
      </c>
      <c r="L26" s="10">
        <f t="shared" si="7"/>
        <v>0.72597406424438204</v>
      </c>
      <c r="M26" s="11">
        <f t="shared" si="11"/>
        <v>6.6713407245292934E-7</v>
      </c>
      <c r="N26" s="11">
        <f t="shared" si="8"/>
        <v>6.6713407245293072E-7</v>
      </c>
      <c r="O26" s="10">
        <f t="shared" si="9"/>
        <v>1.5087969795375491</v>
      </c>
      <c r="R26" s="10">
        <v>11</v>
      </c>
      <c r="S26" s="10">
        <v>-1.2254</v>
      </c>
      <c r="T26" s="10">
        <v>-393.90699999999998</v>
      </c>
      <c r="U26" s="10">
        <v>0.1545</v>
      </c>
      <c r="V26" s="11">
        <v>7.3269999999999996E-10</v>
      </c>
      <c r="W26" s="11">
        <v>7.7559999999999996E-5</v>
      </c>
      <c r="X26" s="11">
        <v>-3.3689999999999999E-8</v>
      </c>
      <c r="Y26" s="11">
        <v>0</v>
      </c>
      <c r="Z26" s="10">
        <v>-1</v>
      </c>
      <c r="AA26" s="11">
        <v>-8.2299999999999995E-5</v>
      </c>
      <c r="AB26" s="10">
        <v>20</v>
      </c>
    </row>
    <row r="27" spans="1:28">
      <c r="A27" s="10">
        <v>23</v>
      </c>
      <c r="B27" s="10">
        <f t="shared" si="0"/>
        <v>2.2762410000000002</v>
      </c>
      <c r="C27" s="10">
        <f t="shared" si="1"/>
        <v>0.30503439544884087</v>
      </c>
      <c r="D27" s="10">
        <f t="shared" si="2"/>
        <v>0.67300434719265079</v>
      </c>
      <c r="E27" s="10">
        <f t="shared" si="3"/>
        <v>3.6040506416671273E-5</v>
      </c>
      <c r="F27" s="10">
        <f t="shared" si="4"/>
        <v>3.6040506416671266E-5</v>
      </c>
      <c r="G27" s="10">
        <f t="shared" si="10"/>
        <v>1.5319200882581467</v>
      </c>
      <c r="I27" s="10">
        <v>23</v>
      </c>
      <c r="J27" s="10">
        <f t="shared" si="5"/>
        <v>2.2762410000000002</v>
      </c>
      <c r="K27" s="10">
        <f t="shared" si="6"/>
        <v>0.25963532858360211</v>
      </c>
      <c r="L27" s="10">
        <f t="shared" si="7"/>
        <v>0.70803040906058967</v>
      </c>
      <c r="M27" s="11">
        <f t="shared" si="11"/>
        <v>5.3869931623799771E-7</v>
      </c>
      <c r="N27" s="11">
        <f t="shared" si="8"/>
        <v>5.3869931623799771E-7</v>
      </c>
      <c r="O27" s="10">
        <f t="shared" si="9"/>
        <v>1.6116478463504857</v>
      </c>
      <c r="R27" s="10">
        <v>12</v>
      </c>
      <c r="S27" s="10">
        <v>-1.3335999999999999</v>
      </c>
      <c r="T27" s="10">
        <v>-399.03899999999999</v>
      </c>
      <c r="U27" s="10">
        <v>0.15409999999999999</v>
      </c>
      <c r="V27" s="11">
        <v>7.1240000000000004E-10</v>
      </c>
      <c r="W27" s="11">
        <v>7.64E-5</v>
      </c>
      <c r="X27" s="11">
        <v>-3.6190000000000002E-8</v>
      </c>
      <c r="Y27" s="11">
        <v>0</v>
      </c>
      <c r="Z27" s="10">
        <v>-1</v>
      </c>
      <c r="AA27" s="11">
        <v>-8.8499999999999996E-5</v>
      </c>
      <c r="AB27" s="10">
        <v>20</v>
      </c>
    </row>
    <row r="28" spans="1:28">
      <c r="A28" s="10">
        <v>25</v>
      </c>
      <c r="B28" s="10">
        <f t="shared" si="0"/>
        <v>2.4741749999999998</v>
      </c>
      <c r="C28" s="10">
        <f t="shared" si="1"/>
        <v>0.29900254808926519</v>
      </c>
      <c r="D28" s="10">
        <f t="shared" si="2"/>
        <v>0.65421354544942434</v>
      </c>
      <c r="E28" s="10">
        <f t="shared" si="3"/>
        <v>2.9132875980755992E-5</v>
      </c>
      <c r="F28" s="10">
        <f t="shared" si="4"/>
        <v>2.9132875980755989E-5</v>
      </c>
      <c r="G28" s="10">
        <f t="shared" si="10"/>
        <v>1.6186387988123294</v>
      </c>
      <c r="I28" s="10">
        <v>25</v>
      </c>
      <c r="J28" s="10">
        <f t="shared" si="5"/>
        <v>2.4741749999999998</v>
      </c>
      <c r="K28" s="10">
        <f t="shared" si="6"/>
        <v>0.25562337070480828</v>
      </c>
      <c r="L28" s="10">
        <f t="shared" si="7"/>
        <v>0.69138328093281443</v>
      </c>
      <c r="M28" s="11">
        <f t="shared" si="11"/>
        <v>4.4077745945270576E-7</v>
      </c>
      <c r="N28" s="11">
        <f t="shared" si="8"/>
        <v>4.4077745945270576E-7</v>
      </c>
      <c r="O28" s="10">
        <f t="shared" si="9"/>
        <v>1.710603229101946</v>
      </c>
      <c r="R28" s="10">
        <v>13</v>
      </c>
      <c r="S28" s="10">
        <v>-1.4393</v>
      </c>
      <c r="T28" s="10">
        <v>-404.57600000000002</v>
      </c>
      <c r="U28" s="10">
        <v>0.15379999999999999</v>
      </c>
      <c r="V28" s="11">
        <v>6.9040000000000001E-10</v>
      </c>
      <c r="W28" s="11">
        <v>7.5140000000000002E-5</v>
      </c>
      <c r="X28" s="11">
        <v>-3.8640000000000001E-8</v>
      </c>
      <c r="Y28" s="11">
        <v>0</v>
      </c>
      <c r="Z28" s="10">
        <v>-1</v>
      </c>
      <c r="AA28" s="11">
        <v>-9.4400000000000004E-5</v>
      </c>
      <c r="AB28" s="10">
        <v>20</v>
      </c>
    </row>
    <row r="29" spans="1:28">
      <c r="A29" s="10">
        <v>27</v>
      </c>
      <c r="B29" s="10">
        <f t="shared" si="0"/>
        <v>2.6721089999999998</v>
      </c>
      <c r="C29" s="10">
        <f t="shared" si="1"/>
        <v>0.29341462369408611</v>
      </c>
      <c r="D29" s="10">
        <f t="shared" si="2"/>
        <v>0.63680568128998793</v>
      </c>
      <c r="E29" s="10">
        <f t="shared" si="3"/>
        <v>2.3840004451600654E-5</v>
      </c>
      <c r="F29" s="10">
        <f t="shared" si="4"/>
        <v>2.3840004451600715E-5</v>
      </c>
      <c r="G29" s="10">
        <f t="shared" si="10"/>
        <v>1.7016141922261083</v>
      </c>
      <c r="I29" s="10">
        <v>27</v>
      </c>
      <c r="J29" s="10">
        <f t="shared" si="5"/>
        <v>2.6721089999999998</v>
      </c>
      <c r="K29" s="10">
        <f t="shared" si="6"/>
        <v>0.25189177625697773</v>
      </c>
      <c r="L29" s="10">
        <f t="shared" si="7"/>
        <v>0.67589948654347598</v>
      </c>
      <c r="M29" s="11">
        <f t="shared" si="11"/>
        <v>3.649152367673526E-7</v>
      </c>
      <c r="N29" s="11">
        <f t="shared" si="8"/>
        <v>3.6491523676735165E-7</v>
      </c>
      <c r="O29" s="10">
        <f t="shared" si="9"/>
        <v>1.8060771010882009</v>
      </c>
      <c r="R29" s="10">
        <v>14</v>
      </c>
      <c r="S29" s="10">
        <v>-1.5425</v>
      </c>
      <c r="T29" s="10">
        <v>-410.529</v>
      </c>
      <c r="U29" s="10">
        <v>0.15340000000000001</v>
      </c>
      <c r="V29" s="11">
        <v>6.6680000000000001E-10</v>
      </c>
      <c r="W29" s="11">
        <v>7.3789999999999997E-5</v>
      </c>
      <c r="X29" s="11">
        <v>-4.1040000000000002E-8</v>
      </c>
      <c r="Y29" s="11">
        <v>0</v>
      </c>
      <c r="Z29" s="10">
        <v>-1</v>
      </c>
      <c r="AA29" s="11">
        <v>-1E-4</v>
      </c>
      <c r="AB29" s="10">
        <v>20</v>
      </c>
    </row>
    <row r="30" spans="1:28">
      <c r="A30" s="10">
        <v>30</v>
      </c>
      <c r="B30" s="10">
        <f t="shared" si="0"/>
        <v>2.9690099999999999</v>
      </c>
      <c r="C30" s="10">
        <f t="shared" si="1"/>
        <v>0.28576590998225071</v>
      </c>
      <c r="D30" s="10">
        <f t="shared" si="2"/>
        <v>0.61297791271729207</v>
      </c>
      <c r="E30" s="10">
        <f t="shared" si="3"/>
        <v>1.8009830146339762E-5</v>
      </c>
      <c r="F30" s="10">
        <f t="shared" si="4"/>
        <v>1.8009830146339704E-5</v>
      </c>
      <c r="G30" s="10">
        <f t="shared" si="10"/>
        <v>1.8199375526367674</v>
      </c>
      <c r="I30" s="10">
        <v>30</v>
      </c>
      <c r="J30" s="10">
        <f t="shared" si="5"/>
        <v>2.9690099999999999</v>
      </c>
      <c r="K30" s="10">
        <f t="shared" si="6"/>
        <v>0.24675860053142429</v>
      </c>
      <c r="L30" s="10">
        <f t="shared" si="7"/>
        <v>0.65460000220507997</v>
      </c>
      <c r="M30" s="11">
        <f t="shared" si="11"/>
        <v>2.8025352645830323E-7</v>
      </c>
      <c r="N30" s="11">
        <f t="shared" si="8"/>
        <v>2.8025352645830323E-7</v>
      </c>
      <c r="O30" s="10">
        <f t="shared" si="9"/>
        <v>1.9435139525469045</v>
      </c>
      <c r="R30" s="10">
        <v>15</v>
      </c>
      <c r="S30" s="10">
        <v>-1.643</v>
      </c>
      <c r="T30" s="10">
        <v>-416.91899999999998</v>
      </c>
      <c r="U30" s="10">
        <v>0.15290000000000001</v>
      </c>
      <c r="V30" s="11">
        <v>6.4150000000000001E-10</v>
      </c>
      <c r="W30" s="11">
        <v>7.2340000000000002E-5</v>
      </c>
      <c r="X30" s="11">
        <v>-4.3380000000000002E-8</v>
      </c>
      <c r="Y30" s="11">
        <v>0</v>
      </c>
      <c r="Z30" s="10">
        <v>-1</v>
      </c>
      <c r="AA30" s="11">
        <v>-1.06E-4</v>
      </c>
      <c r="AB30" s="10">
        <v>20</v>
      </c>
    </row>
    <row r="31" spans="1:28">
      <c r="A31" s="10">
        <v>40</v>
      </c>
      <c r="B31" s="10">
        <f t="shared" si="0"/>
        <v>3.9586800000000002</v>
      </c>
      <c r="C31" s="10">
        <f t="shared" si="1"/>
        <v>0.26519615857809542</v>
      </c>
      <c r="D31" s="10">
        <f t="shared" si="2"/>
        <v>0.54889769027444069</v>
      </c>
      <c r="E31" s="10">
        <f t="shared" si="3"/>
        <v>8.1225278896625022E-6</v>
      </c>
      <c r="F31" s="10">
        <f t="shared" si="4"/>
        <v>8.1225278896625022E-6</v>
      </c>
      <c r="G31" s="10">
        <f t="shared" si="10"/>
        <v>2.1729103085356232</v>
      </c>
      <c r="I31" s="10">
        <v>40</v>
      </c>
      <c r="J31" s="10">
        <f t="shared" si="5"/>
        <v>3.9586800000000002</v>
      </c>
      <c r="K31" s="10">
        <f t="shared" si="6"/>
        <v>0.23278816074264189</v>
      </c>
      <c r="L31" s="10">
        <f t="shared" si="7"/>
        <v>0.59663137237610742</v>
      </c>
      <c r="M31" s="11">
        <f t="shared" si="11"/>
        <v>1.3255519675670814E-7</v>
      </c>
      <c r="N31" s="11">
        <f t="shared" si="8"/>
        <v>1.3255519675670814E-7</v>
      </c>
      <c r="O31" s="10">
        <f t="shared" si="9"/>
        <v>2.3618726811978492</v>
      </c>
      <c r="R31" s="10">
        <v>16</v>
      </c>
      <c r="S31" s="10">
        <v>-1.7408999999999999</v>
      </c>
      <c r="T31" s="10">
        <v>-423.77</v>
      </c>
      <c r="U31" s="10">
        <v>0.1525</v>
      </c>
      <c r="V31" s="11">
        <v>6.1439999999999997E-10</v>
      </c>
      <c r="W31" s="11">
        <v>7.0779999999999997E-5</v>
      </c>
      <c r="X31" s="11">
        <v>-4.5680000000000003E-8</v>
      </c>
      <c r="Y31" s="11">
        <v>0</v>
      </c>
      <c r="Z31" s="10">
        <v>-1</v>
      </c>
      <c r="AA31" s="11">
        <v>-1.12E-4</v>
      </c>
      <c r="AB31" s="10">
        <v>20</v>
      </c>
    </row>
    <row r="32" spans="1:28">
      <c r="A32" s="10">
        <v>50</v>
      </c>
      <c r="B32" s="10">
        <f t="shared" si="0"/>
        <v>4.9483499999999996</v>
      </c>
      <c r="C32" s="10">
        <f t="shared" si="1"/>
        <v>0.24988972460647801</v>
      </c>
      <c r="D32" s="10">
        <f t="shared" si="2"/>
        <v>0.50121409534728367</v>
      </c>
      <c r="E32" s="10">
        <f t="shared" si="3"/>
        <v>4.2711691557827964E-6</v>
      </c>
      <c r="F32" s="10">
        <f t="shared" si="4"/>
        <v>4.2711691557828464E-6</v>
      </c>
      <c r="G32" s="10">
        <f t="shared" si="10"/>
        <v>2.4801827687117308</v>
      </c>
      <c r="I32" s="10">
        <v>50</v>
      </c>
      <c r="J32" s="10">
        <f t="shared" si="5"/>
        <v>4.9483499999999996</v>
      </c>
      <c r="K32" s="10">
        <f t="shared" si="6"/>
        <v>0.22221240481136567</v>
      </c>
      <c r="L32" s="10">
        <f t="shared" si="7"/>
        <v>0.55274856768201519</v>
      </c>
      <c r="M32" s="11">
        <f t="shared" si="11"/>
        <v>7.2454114334082683E-8</v>
      </c>
      <c r="N32" s="11">
        <f t="shared" si="8"/>
        <v>7.2454114334083094E-8</v>
      </c>
      <c r="O32" s="10">
        <f t="shared" si="9"/>
        <v>2.7351933748892998</v>
      </c>
      <c r="R32" s="10">
        <v>17</v>
      </c>
      <c r="S32" s="10">
        <v>-1.8363</v>
      </c>
      <c r="T32" s="10">
        <v>-431.12</v>
      </c>
      <c r="U32" s="10">
        <v>0.152</v>
      </c>
      <c r="V32" s="11">
        <v>5.8530000000000004E-10</v>
      </c>
      <c r="W32" s="11">
        <v>6.9109999999999994E-5</v>
      </c>
      <c r="X32" s="11">
        <v>-4.7939999999999998E-8</v>
      </c>
      <c r="Y32" s="11">
        <v>0</v>
      </c>
      <c r="Z32" s="10">
        <v>-1</v>
      </c>
      <c r="AA32" s="11">
        <v>-1.17E-4</v>
      </c>
      <c r="AB32" s="10">
        <v>20</v>
      </c>
    </row>
    <row r="33" spans="1:28">
      <c r="A33" s="10">
        <v>60</v>
      </c>
      <c r="B33" s="10">
        <f t="shared" si="0"/>
        <v>5.9380199999999999</v>
      </c>
      <c r="C33" s="10">
        <f t="shared" si="1"/>
        <v>0.23798021662862665</v>
      </c>
      <c r="D33" s="10">
        <f t="shared" si="2"/>
        <v>0.46411282438824508</v>
      </c>
      <c r="E33" s="10">
        <f t="shared" si="3"/>
        <v>2.4945786206122081E-6</v>
      </c>
      <c r="F33" s="10">
        <f t="shared" si="4"/>
        <v>2.4945786206122635E-6</v>
      </c>
      <c r="G33" s="10">
        <f t="shared" si="10"/>
        <v>2.7559112334738871</v>
      </c>
      <c r="I33" s="10">
        <v>60</v>
      </c>
      <c r="J33" s="10">
        <f t="shared" si="5"/>
        <v>5.9380199999999999</v>
      </c>
      <c r="K33" s="10">
        <f t="shared" si="6"/>
        <v>0.21386265036807747</v>
      </c>
      <c r="L33" s="10">
        <f t="shared" si="7"/>
        <v>0.51810228368496869</v>
      </c>
      <c r="M33" s="11">
        <f t="shared" si="11"/>
        <v>4.3706868789891297E-8</v>
      </c>
      <c r="N33" s="11">
        <f t="shared" si="8"/>
        <v>4.3706868789891297E-8</v>
      </c>
      <c r="O33" s="10">
        <f t="shared" si="9"/>
        <v>3.0765017225670177</v>
      </c>
      <c r="R33" s="10">
        <v>18</v>
      </c>
      <c r="S33" s="10">
        <v>-1.929</v>
      </c>
      <c r="T33" s="10">
        <v>-439.01799999999997</v>
      </c>
      <c r="U33" s="10">
        <v>0.1515</v>
      </c>
      <c r="V33" s="11">
        <v>5.5400000000000005E-10</v>
      </c>
      <c r="W33" s="11">
        <v>6.7319999999999999E-5</v>
      </c>
      <c r="X33" s="11">
        <v>-5.0169999999999999E-8</v>
      </c>
      <c r="Y33" s="11">
        <v>0</v>
      </c>
      <c r="Z33" s="10">
        <v>-1</v>
      </c>
      <c r="AA33" s="11">
        <v>-1.2300000000000001E-4</v>
      </c>
      <c r="AB33" s="10">
        <v>20</v>
      </c>
    </row>
    <row r="34" spans="1:28">
      <c r="A34" s="10">
        <v>70</v>
      </c>
      <c r="B34" s="10">
        <f t="shared" si="0"/>
        <v>6.9276900000000001</v>
      </c>
      <c r="C34" s="10">
        <f t="shared" si="1"/>
        <v>0.22839244770255226</v>
      </c>
      <c r="D34" s="10">
        <f t="shared" si="2"/>
        <v>0.43424438536620652</v>
      </c>
      <c r="E34" s="10">
        <f t="shared" si="3"/>
        <v>1.5720401280596521E-6</v>
      </c>
      <c r="F34" s="10">
        <f t="shared" si="4"/>
        <v>1.5720401280596523E-6</v>
      </c>
      <c r="G34" s="10">
        <f t="shared" si="10"/>
        <v>3.0083104860576153</v>
      </c>
      <c r="I34" s="10">
        <v>70</v>
      </c>
      <c r="J34" s="10">
        <f t="shared" si="5"/>
        <v>6.9276900000000001</v>
      </c>
      <c r="K34" s="10">
        <f t="shared" si="6"/>
        <v>0.20705617679772464</v>
      </c>
      <c r="L34" s="10">
        <f t="shared" si="7"/>
        <v>0.48985965476234289</v>
      </c>
      <c r="M34" s="11">
        <f t="shared" si="11"/>
        <v>2.8314473953412794E-8</v>
      </c>
      <c r="N34" s="11">
        <f t="shared" si="8"/>
        <v>2.8314473953412798E-8</v>
      </c>
      <c r="O34" s="10">
        <f t="shared" si="9"/>
        <v>3.3935958317005355</v>
      </c>
      <c r="R34" s="10">
        <v>19</v>
      </c>
      <c r="S34" s="10">
        <v>-2.0192000000000001</v>
      </c>
      <c r="T34" s="10">
        <v>-447.53800000000001</v>
      </c>
      <c r="U34" s="10">
        <v>0.15090000000000001</v>
      </c>
      <c r="V34" s="11">
        <v>5.2020000000000002E-10</v>
      </c>
      <c r="W34" s="11">
        <v>6.5389999999999996E-5</v>
      </c>
      <c r="X34" s="11">
        <v>-5.2369999999999998E-8</v>
      </c>
      <c r="Y34" s="11">
        <v>0</v>
      </c>
      <c r="Z34" s="10">
        <v>-1</v>
      </c>
      <c r="AA34" s="11">
        <v>-1.2799999999999999E-4</v>
      </c>
      <c r="AB34" s="10">
        <v>20</v>
      </c>
    </row>
    <row r="35" spans="1:28">
      <c r="A35" s="10">
        <v>80</v>
      </c>
      <c r="B35" s="10">
        <f t="shared" si="0"/>
        <v>7.9173600000000004</v>
      </c>
      <c r="C35" s="10">
        <f t="shared" si="1"/>
        <v>0.2204670322106683</v>
      </c>
      <c r="D35" s="10">
        <f t="shared" si="2"/>
        <v>0.40955461747871752</v>
      </c>
      <c r="E35" s="10">
        <f t="shared" si="3"/>
        <v>1.0492657234037541E-6</v>
      </c>
      <c r="F35" s="10">
        <f t="shared" si="4"/>
        <v>1.0492657234037541E-6</v>
      </c>
      <c r="G35" s="10">
        <f t="shared" si="10"/>
        <v>3.2425913462412992</v>
      </c>
      <c r="I35" s="10">
        <v>80</v>
      </c>
      <c r="J35" s="10">
        <f t="shared" si="5"/>
        <v>7.9173600000000004</v>
      </c>
      <c r="K35" s="10">
        <f t="shared" si="6"/>
        <v>0.20136858970520999</v>
      </c>
      <c r="L35" s="10">
        <f t="shared" si="7"/>
        <v>0.46625970832037339</v>
      </c>
      <c r="M35" s="11">
        <f t="shared" si="11"/>
        <v>1.9358495961114868E-8</v>
      </c>
      <c r="N35" s="11">
        <f t="shared" si="8"/>
        <v>1.9358495961114656E-8</v>
      </c>
      <c r="O35" s="10">
        <f t="shared" si="9"/>
        <v>3.6915459642673918</v>
      </c>
      <c r="R35" s="10">
        <v>20</v>
      </c>
      <c r="S35" s="10">
        <v>-2.1067999999999998</v>
      </c>
      <c r="T35" s="10">
        <v>-456.78300000000002</v>
      </c>
      <c r="U35" s="10">
        <v>0.15029999999999999</v>
      </c>
      <c r="V35" s="11">
        <v>4.8359999999999996E-10</v>
      </c>
      <c r="W35" s="11">
        <v>6.3289999999999999E-5</v>
      </c>
      <c r="X35" s="11">
        <v>-5.4569999999999998E-8</v>
      </c>
      <c r="Y35" s="11">
        <v>0</v>
      </c>
      <c r="Z35" s="10">
        <v>-1</v>
      </c>
      <c r="AA35" s="11">
        <v>-1.3300000000000001E-4</v>
      </c>
      <c r="AB35" s="10">
        <v>20</v>
      </c>
    </row>
    <row r="36" spans="1:28">
      <c r="A36" s="10">
        <v>90</v>
      </c>
      <c r="B36" s="10">
        <f t="shared" si="0"/>
        <v>8.9070300000000007</v>
      </c>
      <c r="C36" s="10">
        <f t="shared" si="1"/>
        <v>0.21377712756994965</v>
      </c>
      <c r="D36" s="10">
        <f t="shared" si="2"/>
        <v>0.38871379305280274</v>
      </c>
      <c r="E36" s="10">
        <f t="shared" si="3"/>
        <v>7.3249742525728822E-7</v>
      </c>
      <c r="F36" s="10">
        <f t="shared" si="4"/>
        <v>7.3249742525729775E-7</v>
      </c>
      <c r="G36" s="10">
        <f t="shared" si="10"/>
        <v>3.462285416135106</v>
      </c>
      <c r="I36" s="10">
        <v>90</v>
      </c>
      <c r="J36" s="10">
        <f t="shared" si="5"/>
        <v>8.9070300000000007</v>
      </c>
      <c r="K36" s="10">
        <f t="shared" si="6"/>
        <v>0.19652177803967236</v>
      </c>
      <c r="L36" s="10">
        <f t="shared" si="7"/>
        <v>0.44614845659615082</v>
      </c>
      <c r="M36" s="11">
        <f t="shared" si="11"/>
        <v>1.38045844196108E-8</v>
      </c>
      <c r="N36" s="11">
        <f t="shared" si="8"/>
        <v>1.3804584419610977E-8</v>
      </c>
      <c r="O36" s="10">
        <f t="shared" si="9"/>
        <v>3.9738576873556135</v>
      </c>
      <c r="R36" s="10">
        <v>21</v>
      </c>
      <c r="S36" s="10">
        <v>-2.1917</v>
      </c>
      <c r="T36" s="10">
        <v>-466.90600000000001</v>
      </c>
      <c r="U36" s="10">
        <v>0.14960000000000001</v>
      </c>
      <c r="V36" s="11">
        <v>4.4350000000000002E-10</v>
      </c>
      <c r="W36" s="11">
        <v>6.0989999999999997E-5</v>
      </c>
      <c r="X36" s="11">
        <v>-5.6780000000000003E-8</v>
      </c>
      <c r="Y36" s="11">
        <v>0</v>
      </c>
      <c r="Z36" s="10">
        <v>-1</v>
      </c>
      <c r="AA36" s="11">
        <v>-1.3899999999999999E-4</v>
      </c>
      <c r="AB36" s="10">
        <v>20</v>
      </c>
    </row>
    <row r="37" spans="1:28">
      <c r="A37" s="10">
        <v>100</v>
      </c>
      <c r="B37" s="10">
        <f t="shared" si="0"/>
        <v>9.8966999999999992</v>
      </c>
      <c r="C37" s="10">
        <f t="shared" si="1"/>
        <v>0.20803373502536521</v>
      </c>
      <c r="D37" s="10">
        <f t="shared" si="2"/>
        <v>0.37082160444039014</v>
      </c>
      <c r="E37" s="10">
        <f t="shared" si="3"/>
        <v>5.301126130783564E-7</v>
      </c>
      <c r="F37" s="10">
        <f t="shared" si="4"/>
        <v>5.3011261307836445E-7</v>
      </c>
      <c r="G37" s="10">
        <f t="shared" si="10"/>
        <v>3.6699101726652086</v>
      </c>
      <c r="I37" s="10">
        <v>100</v>
      </c>
      <c r="J37" s="10">
        <f t="shared" si="5"/>
        <v>9.8966999999999992</v>
      </c>
      <c r="K37" s="10">
        <f t="shared" si="6"/>
        <v>0.19232537014165543</v>
      </c>
      <c r="L37" s="10">
        <f t="shared" si="7"/>
        <v>0.42873597569151628</v>
      </c>
      <c r="M37" s="11">
        <f t="shared" si="11"/>
        <v>1.0182384433500927E-8</v>
      </c>
      <c r="N37" s="11">
        <f t="shared" si="8"/>
        <v>1.0182384433501074E-8</v>
      </c>
      <c r="O37" s="10">
        <f t="shared" si="9"/>
        <v>4.2430713306262291</v>
      </c>
      <c r="R37" s="10">
        <v>22</v>
      </c>
      <c r="S37" s="10">
        <v>-2.2740999999999998</v>
      </c>
      <c r="T37" s="10">
        <v>-478.15</v>
      </c>
      <c r="U37" s="10">
        <v>0.14879999999999999</v>
      </c>
      <c r="V37" s="11">
        <v>3.9900000000000002E-10</v>
      </c>
      <c r="W37" s="11">
        <v>5.8440000000000003E-5</v>
      </c>
      <c r="X37" s="11">
        <v>-5.903E-8</v>
      </c>
      <c r="Y37" s="11">
        <v>0</v>
      </c>
      <c r="Z37" s="10">
        <v>-1</v>
      </c>
      <c r="AA37" s="11">
        <v>-1.44E-4</v>
      </c>
      <c r="AB37" s="10">
        <v>20</v>
      </c>
    </row>
    <row r="38" spans="1:28">
      <c r="A38" s="10">
        <v>110</v>
      </c>
      <c r="B38" s="10">
        <f t="shared" si="0"/>
        <v>10.886369999999999</v>
      </c>
      <c r="C38" s="10">
        <f t="shared" si="1"/>
        <v>0.20303376101836468</v>
      </c>
      <c r="D38" s="10">
        <f t="shared" si="2"/>
        <v>0.3552453614279274</v>
      </c>
      <c r="E38" s="10">
        <f t="shared" si="3"/>
        <v>3.9513729314668033E-7</v>
      </c>
      <c r="F38" s="10">
        <f t="shared" si="4"/>
        <v>3.9513729314670103E-7</v>
      </c>
      <c r="G38" s="10">
        <f t="shared" si="10"/>
        <v>3.8673324452881457</v>
      </c>
      <c r="I38" s="10">
        <v>150</v>
      </c>
      <c r="J38" s="10">
        <f t="shared" si="5"/>
        <v>14.845050000000001</v>
      </c>
      <c r="K38" s="10">
        <f t="shared" si="6"/>
        <v>0.17742505518255439</v>
      </c>
      <c r="L38" s="10">
        <f t="shared" si="7"/>
        <v>0.36690894266620078</v>
      </c>
      <c r="M38" s="11">
        <f t="shared" si="11"/>
        <v>3.1164682306121135E-9</v>
      </c>
      <c r="N38" s="11">
        <f t="shared" si="8"/>
        <v>3.1164682306122732E-9</v>
      </c>
      <c r="O38" s="10">
        <f t="shared" si="9"/>
        <v>5.4467815993268838</v>
      </c>
      <c r="R38" s="10">
        <v>23</v>
      </c>
      <c r="S38" s="10">
        <v>-2.3540000000000001</v>
      </c>
      <c r="T38" s="10">
        <v>-490.72500000000002</v>
      </c>
      <c r="U38" s="10">
        <v>0.14810000000000001</v>
      </c>
      <c r="V38" s="11">
        <v>3.6009999999999998E-10</v>
      </c>
      <c r="W38" s="11">
        <v>5.6020000000000002E-5</v>
      </c>
      <c r="X38" s="11">
        <v>-6.0990000000000005E-8</v>
      </c>
      <c r="Y38" s="11">
        <v>0</v>
      </c>
      <c r="Z38" s="10">
        <v>-1</v>
      </c>
      <c r="AA38" s="11">
        <v>-1.4899999999999999E-4</v>
      </c>
      <c r="AB38" s="10">
        <v>20</v>
      </c>
    </row>
    <row r="39" spans="1:28">
      <c r="A39" s="10">
        <v>130</v>
      </c>
      <c r="B39" s="10">
        <f t="shared" si="0"/>
        <v>12.86571</v>
      </c>
      <c r="C39" s="10">
        <f t="shared" si="1"/>
        <v>0.19471277062577386</v>
      </c>
      <c r="D39" s="10">
        <f t="shared" si="2"/>
        <v>0.3293232729774887</v>
      </c>
      <c r="E39" s="10">
        <f t="shared" si="3"/>
        <v>2.3547217389377815E-7</v>
      </c>
      <c r="F39" s="10">
        <f t="shared" si="4"/>
        <v>2.3547217389377294E-7</v>
      </c>
      <c r="G39" s="10">
        <f t="shared" si="10"/>
        <v>4.2369777263792061</v>
      </c>
      <c r="I39" s="10">
        <v>200</v>
      </c>
      <c r="J39" s="10">
        <f t="shared" si="5"/>
        <v>19.793399999999998</v>
      </c>
      <c r="K39" s="10">
        <f t="shared" si="6"/>
        <v>0.16803815314683496</v>
      </c>
      <c r="L39" s="10">
        <f t="shared" si="7"/>
        <v>0.32795914168811185</v>
      </c>
      <c r="M39" s="11">
        <f t="shared" si="11"/>
        <v>1.3336688697563529E-9</v>
      </c>
      <c r="N39" s="11">
        <f t="shared" si="8"/>
        <v>1.333668869756455E-9</v>
      </c>
      <c r="O39" s="10">
        <f t="shared" si="9"/>
        <v>6.4914264750894723</v>
      </c>
      <c r="R39" s="10">
        <v>24</v>
      </c>
      <c r="S39" s="10">
        <v>-2.4312</v>
      </c>
      <c r="T39" s="10">
        <v>-504.28899999999999</v>
      </c>
      <c r="U39" s="10">
        <v>0.1474</v>
      </c>
      <c r="V39" s="11">
        <v>3.3980000000000001E-10</v>
      </c>
      <c r="W39" s="11">
        <v>5.4280000000000002E-5</v>
      </c>
      <c r="X39" s="11">
        <v>-6.2600000000000005E-8</v>
      </c>
      <c r="Y39" s="11">
        <v>0</v>
      </c>
      <c r="Z39" s="10">
        <v>-1</v>
      </c>
      <c r="AA39" s="11">
        <v>-1.5300000000000001E-4</v>
      </c>
      <c r="AB39" s="10">
        <v>20</v>
      </c>
    </row>
    <row r="40" spans="1:28">
      <c r="A40" s="10">
        <v>150</v>
      </c>
      <c r="B40" s="10">
        <f t="shared" si="0"/>
        <v>14.845050000000001</v>
      </c>
      <c r="C40" s="10">
        <f t="shared" si="1"/>
        <v>0.18802316560541624</v>
      </c>
      <c r="D40" s="10">
        <f t="shared" si="2"/>
        <v>0.30848338194833724</v>
      </c>
      <c r="E40" s="10">
        <f t="shared" si="3"/>
        <v>1.5080660430250022E-7</v>
      </c>
      <c r="F40" s="10">
        <f t="shared" si="4"/>
        <v>1.5080660430249614E-7</v>
      </c>
      <c r="G40" s="10">
        <f t="shared" si="10"/>
        <v>4.5794512291921636</v>
      </c>
      <c r="I40" s="10">
        <v>250</v>
      </c>
      <c r="J40" s="10">
        <f t="shared" si="5"/>
        <v>24.74175</v>
      </c>
      <c r="K40" s="10">
        <f t="shared" si="6"/>
        <v>0.16140143248439309</v>
      </c>
      <c r="L40" s="10">
        <f t="shared" si="7"/>
        <v>0.30042088167797965</v>
      </c>
      <c r="M40" s="11">
        <f t="shared" si="11"/>
        <v>6.8817084306410108E-10</v>
      </c>
      <c r="N40" s="11">
        <f t="shared" si="8"/>
        <v>6.8817084306410108E-10</v>
      </c>
      <c r="O40" s="10">
        <f t="shared" si="9"/>
        <v>7.4329383492561529</v>
      </c>
      <c r="R40" s="10">
        <v>25</v>
      </c>
      <c r="S40" s="10">
        <v>-2.5057999999999998</v>
      </c>
      <c r="T40" s="10">
        <v>-518.596</v>
      </c>
      <c r="U40" s="10">
        <v>0.14680000000000001</v>
      </c>
      <c r="V40" s="11">
        <v>3.182E-10</v>
      </c>
      <c r="W40" s="11">
        <v>5.2439999999999999E-5</v>
      </c>
      <c r="X40" s="11">
        <v>-6.416E-8</v>
      </c>
      <c r="Y40" s="11">
        <v>0</v>
      </c>
      <c r="Z40" s="10">
        <v>-1</v>
      </c>
      <c r="AA40" s="11">
        <v>-1.5699999999999999E-4</v>
      </c>
      <c r="AB40" s="10">
        <v>20</v>
      </c>
    </row>
    <row r="41" spans="1:28">
      <c r="A41" s="10">
        <v>170</v>
      </c>
      <c r="B41" s="10">
        <f t="shared" si="0"/>
        <v>16.824390000000001</v>
      </c>
      <c r="C41" s="10">
        <f t="shared" si="1"/>
        <v>0.1824930857261306</v>
      </c>
      <c r="D41" s="10">
        <f t="shared" si="2"/>
        <v>0.29125571877299256</v>
      </c>
      <c r="E41" s="10">
        <f t="shared" si="3"/>
        <v>1.0199414486746778E-7</v>
      </c>
      <c r="F41" s="10">
        <f t="shared" si="4"/>
        <v>1.0199414486747443E-7</v>
      </c>
      <c r="G41" s="10">
        <f t="shared" si="10"/>
        <v>4.9001998023671485</v>
      </c>
      <c r="I41" s="10">
        <v>300</v>
      </c>
      <c r="J41" s="10">
        <f t="shared" si="5"/>
        <v>29.690100000000001</v>
      </c>
      <c r="K41" s="10">
        <f t="shared" si="6"/>
        <v>0.15637375907083062</v>
      </c>
      <c r="L41" s="10">
        <f t="shared" si="7"/>
        <v>0.27955916626900673</v>
      </c>
      <c r="M41" s="11">
        <f t="shared" si="11"/>
        <v>4.0016222327843834E-10</v>
      </c>
      <c r="N41" s="11">
        <f t="shared" si="8"/>
        <v>4.0016222327849195E-10</v>
      </c>
      <c r="O41" s="10">
        <f t="shared" si="9"/>
        <v>8.3001396024434371</v>
      </c>
      <c r="R41" s="10">
        <v>26</v>
      </c>
      <c r="S41" s="10">
        <v>-2.5777999999999999</v>
      </c>
      <c r="T41" s="10">
        <v>-533.77</v>
      </c>
      <c r="U41" s="10">
        <v>0.14599999999999999</v>
      </c>
      <c r="V41" s="11">
        <v>2.9539999999999998E-10</v>
      </c>
      <c r="W41" s="11">
        <v>5.0500000000000001E-5</v>
      </c>
      <c r="X41" s="11">
        <v>-6.5670000000000005E-8</v>
      </c>
      <c r="Y41" s="11">
        <v>0</v>
      </c>
      <c r="Z41" s="10">
        <v>-1</v>
      </c>
      <c r="AA41" s="11">
        <v>-1.6100000000000001E-4</v>
      </c>
      <c r="AB41" s="10">
        <v>20</v>
      </c>
    </row>
    <row r="42" spans="1:28">
      <c r="A42" s="10">
        <v>200</v>
      </c>
      <c r="B42" s="10">
        <f t="shared" si="0"/>
        <v>19.793399999999998</v>
      </c>
      <c r="C42" s="10">
        <f t="shared" si="1"/>
        <v>0.17574223874483791</v>
      </c>
      <c r="D42" s="10">
        <f t="shared" si="2"/>
        <v>0.27022504281880971</v>
      </c>
      <c r="E42" s="10">
        <f t="shared" si="3"/>
        <v>6.1287889433186301E-8</v>
      </c>
      <c r="F42" s="10">
        <f t="shared" si="4"/>
        <v>6.1287889433191384E-8</v>
      </c>
      <c r="G42" s="10">
        <f t="shared" si="10"/>
        <v>5.348672362529828</v>
      </c>
      <c r="I42" s="10">
        <v>350</v>
      </c>
      <c r="J42" s="10">
        <f t="shared" si="5"/>
        <v>34.638449999999999</v>
      </c>
      <c r="K42" s="10">
        <f t="shared" si="6"/>
        <v>0.15238560221979</v>
      </c>
      <c r="L42" s="10">
        <f t="shared" si="7"/>
        <v>0.26301079759248963</v>
      </c>
      <c r="M42" s="11">
        <f t="shared" si="11"/>
        <v>2.5280756903026247E-10</v>
      </c>
      <c r="N42" s="11">
        <f t="shared" si="8"/>
        <v>2.5280756903036742E-10</v>
      </c>
      <c r="O42" s="10">
        <f t="shared" si="9"/>
        <v>9.1102863618675727</v>
      </c>
      <c r="R42" s="10">
        <v>27</v>
      </c>
      <c r="S42" s="10">
        <v>-2.6473</v>
      </c>
      <c r="T42" s="10">
        <v>-549.98900000000003</v>
      </c>
      <c r="U42" s="10">
        <v>0.14530000000000001</v>
      </c>
      <c r="V42" s="11">
        <v>2.7110000000000003E-10</v>
      </c>
      <c r="W42" s="11">
        <v>4.8420000000000001E-5</v>
      </c>
      <c r="X42" s="11">
        <v>-6.7150000000000002E-8</v>
      </c>
      <c r="Y42" s="11">
        <v>0</v>
      </c>
      <c r="Z42" s="10">
        <v>-1</v>
      </c>
      <c r="AA42" s="11">
        <v>-1.64E-4</v>
      </c>
      <c r="AB42" s="10">
        <v>20</v>
      </c>
    </row>
    <row r="43" spans="1:28">
      <c r="A43" s="10">
        <v>230</v>
      </c>
      <c r="B43" s="10">
        <f t="shared" si="0"/>
        <v>22.762409999999999</v>
      </c>
      <c r="C43" s="10">
        <f t="shared" si="1"/>
        <v>0.17030811443634786</v>
      </c>
      <c r="D43" s="10">
        <f t="shared" si="2"/>
        <v>0.25329630665528935</v>
      </c>
      <c r="E43" s="10">
        <f t="shared" si="3"/>
        <v>3.9505519418555791E-8</v>
      </c>
      <c r="F43" s="10">
        <f t="shared" si="4"/>
        <v>3.9505519418557796E-8</v>
      </c>
      <c r="G43" s="10">
        <f t="shared" si="10"/>
        <v>5.7656343835734249</v>
      </c>
      <c r="I43" s="10">
        <v>400</v>
      </c>
      <c r="J43" s="10">
        <f t="shared" si="5"/>
        <v>39.586799999999997</v>
      </c>
      <c r="K43" s="10">
        <f t="shared" si="6"/>
        <v>0.14911618483300909</v>
      </c>
      <c r="L43" s="10">
        <f t="shared" si="7"/>
        <v>0.24944475034443606</v>
      </c>
      <c r="M43" s="11">
        <f t="shared" si="11"/>
        <v>1.6974734272787431E-10</v>
      </c>
      <c r="N43" s="11">
        <f t="shared" si="8"/>
        <v>1.6974734272789121E-10</v>
      </c>
      <c r="O43" s="10">
        <f t="shared" si="9"/>
        <v>9.8747194429351204</v>
      </c>
      <c r="R43" s="10">
        <v>28</v>
      </c>
      <c r="S43" s="10">
        <v>-2.7141000000000002</v>
      </c>
      <c r="T43" s="10">
        <v>-567.52599999999995</v>
      </c>
      <c r="U43" s="10">
        <v>0.1444</v>
      </c>
      <c r="V43" s="11">
        <v>2.4469999999999999E-10</v>
      </c>
      <c r="W43" s="11">
        <v>4.617E-5</v>
      </c>
      <c r="X43" s="11">
        <v>-6.8610000000000004E-8</v>
      </c>
      <c r="Y43" s="11">
        <v>0</v>
      </c>
      <c r="Z43" s="10">
        <v>-1</v>
      </c>
      <c r="AA43" s="11">
        <v>-1.6799999999999999E-4</v>
      </c>
      <c r="AB43" s="10">
        <v>20</v>
      </c>
    </row>
    <row r="44" spans="1:28">
      <c r="A44" s="10">
        <v>260</v>
      </c>
      <c r="B44" s="10">
        <f t="shared" si="0"/>
        <v>25.73142</v>
      </c>
      <c r="C44" s="10">
        <f t="shared" si="1"/>
        <v>0.16581060073634613</v>
      </c>
      <c r="D44" s="10">
        <f t="shared" si="2"/>
        <v>0.23928536054936492</v>
      </c>
      <c r="E44" s="10">
        <f t="shared" si="3"/>
        <v>2.6856660954554745E-8</v>
      </c>
      <c r="F44" s="10">
        <f t="shared" si="4"/>
        <v>2.6856660954559628E-8</v>
      </c>
      <c r="G44" s="10">
        <f t="shared" si="10"/>
        <v>6.1571521121471395</v>
      </c>
      <c r="I44" s="10">
        <v>500</v>
      </c>
      <c r="J44" s="10">
        <f t="shared" si="5"/>
        <v>49.483499999999999</v>
      </c>
      <c r="K44" s="10">
        <f t="shared" si="6"/>
        <v>0.14401558836190176</v>
      </c>
      <c r="L44" s="10">
        <f t="shared" si="7"/>
        <v>0.22828044963444713</v>
      </c>
      <c r="M44" s="11">
        <f t="shared" si="11"/>
        <v>8.7169721498998018E-11</v>
      </c>
      <c r="N44" s="11">
        <f t="shared" si="8"/>
        <v>8.7169721498986101E-11</v>
      </c>
      <c r="O44" s="10">
        <f t="shared" si="9"/>
        <v>11.296115629486165</v>
      </c>
      <c r="R44" s="10">
        <v>29</v>
      </c>
      <c r="S44" s="10">
        <v>-2.7784</v>
      </c>
      <c r="T44" s="10">
        <v>-586.82299999999998</v>
      </c>
      <c r="U44" s="10">
        <v>0.14349999999999999</v>
      </c>
      <c r="V44" s="11">
        <v>2.1569999999999999E-10</v>
      </c>
      <c r="W44" s="11">
        <v>4.3689999999999997E-5</v>
      </c>
      <c r="X44" s="11">
        <v>-7.0059999999999993E-8</v>
      </c>
      <c r="Y44" s="11">
        <v>0</v>
      </c>
      <c r="Z44" s="10">
        <v>-1</v>
      </c>
      <c r="AA44" s="11">
        <v>-1.7100000000000001E-4</v>
      </c>
      <c r="AB44" s="10">
        <v>20</v>
      </c>
    </row>
    <row r="45" spans="1:28">
      <c r="A45" s="10">
        <v>290</v>
      </c>
      <c r="B45" s="10">
        <f t="shared" si="0"/>
        <v>28.700430000000001</v>
      </c>
      <c r="C45" s="10">
        <f t="shared" si="1"/>
        <v>0.16200739153199406</v>
      </c>
      <c r="D45" s="10">
        <f t="shared" si="2"/>
        <v>0.22743735679748933</v>
      </c>
      <c r="E45" s="10">
        <f t="shared" si="3"/>
        <v>1.9035689253468838E-8</v>
      </c>
      <c r="F45" s="10">
        <f t="shared" si="4"/>
        <v>1.9035689253470188E-8</v>
      </c>
      <c r="G45" s="10">
        <f t="shared" si="10"/>
        <v>6.5275499381513669</v>
      </c>
      <c r="I45" s="10">
        <v>600</v>
      </c>
      <c r="J45" s="10">
        <f t="shared" si="5"/>
        <v>59.380200000000002</v>
      </c>
      <c r="K45" s="10">
        <f t="shared" si="6"/>
        <v>0.14016491383779489</v>
      </c>
      <c r="L45" s="10">
        <f t="shared" si="7"/>
        <v>0.21230254704479207</v>
      </c>
      <c r="M45" s="11">
        <f t="shared" si="11"/>
        <v>5.053790905271906E-11</v>
      </c>
      <c r="N45" s="11">
        <f t="shared" si="8"/>
        <v>5.0537909052727965E-11</v>
      </c>
      <c r="O45" s="10">
        <f t="shared" si="9"/>
        <v>12.606567704029162</v>
      </c>
      <c r="R45" s="10">
        <v>30</v>
      </c>
      <c r="S45" s="10">
        <v>-2.8401000000000001</v>
      </c>
      <c r="T45" s="10">
        <v>-608.67899999999997</v>
      </c>
      <c r="U45" s="10">
        <v>0.14249999999999999</v>
      </c>
      <c r="V45" s="11">
        <v>1.828E-10</v>
      </c>
      <c r="W45" s="11">
        <v>4.0890000000000003E-5</v>
      </c>
      <c r="X45" s="11">
        <v>-7.1530000000000006E-8</v>
      </c>
      <c r="Y45" s="11">
        <v>0</v>
      </c>
      <c r="Z45" s="10">
        <v>-1</v>
      </c>
      <c r="AA45" s="11">
        <v>-1.75E-4</v>
      </c>
      <c r="AB45" s="10">
        <v>20</v>
      </c>
    </row>
    <row r="46" spans="1:28">
      <c r="A46" s="10">
        <v>320</v>
      </c>
      <c r="B46" s="10">
        <f t="shared" si="0"/>
        <v>31.669440000000002</v>
      </c>
      <c r="C46" s="10">
        <f t="shared" si="1"/>
        <v>0.15873578554719298</v>
      </c>
      <c r="D46" s="10">
        <f t="shared" si="2"/>
        <v>0.2172454378417227</v>
      </c>
      <c r="E46" s="10">
        <f t="shared" si="3"/>
        <v>1.3953252488858804E-8</v>
      </c>
      <c r="F46" s="10">
        <f t="shared" si="4"/>
        <v>1.3953252488857662E-8</v>
      </c>
      <c r="G46" s="10">
        <f t="shared" si="10"/>
        <v>6.880041359002167</v>
      </c>
      <c r="I46" s="10">
        <v>700</v>
      </c>
      <c r="J46" s="10">
        <f t="shared" si="5"/>
        <v>69.276899999999998</v>
      </c>
      <c r="K46" s="10">
        <f t="shared" si="6"/>
        <v>0.13711713646695378</v>
      </c>
      <c r="L46" s="10">
        <f t="shared" si="7"/>
        <v>0.1996561679126713</v>
      </c>
      <c r="M46" s="11">
        <f t="shared" si="11"/>
        <v>3.1864590427771039E-11</v>
      </c>
      <c r="N46" s="11">
        <f t="shared" si="8"/>
        <v>3.1864590427764079E-11</v>
      </c>
      <c r="O46" s="10">
        <f t="shared" si="9"/>
        <v>13.831560378869337</v>
      </c>
      <c r="R46" s="10">
        <v>31</v>
      </c>
      <c r="S46" s="10">
        <v>-2.8992</v>
      </c>
      <c r="T46" s="10">
        <v>-633.24199999999996</v>
      </c>
      <c r="U46" s="10">
        <v>0.1416</v>
      </c>
      <c r="V46" s="11">
        <v>1.6420000000000001E-10</v>
      </c>
      <c r="W46" s="11">
        <v>3.8829999999999999E-5</v>
      </c>
      <c r="X46" s="11">
        <v>-7.2839999999999996E-8</v>
      </c>
      <c r="Y46" s="11">
        <v>0</v>
      </c>
      <c r="Z46" s="10">
        <v>-1</v>
      </c>
      <c r="AA46" s="11">
        <v>-1.7799999999999999E-4</v>
      </c>
      <c r="AB46" s="10">
        <v>20</v>
      </c>
    </row>
    <row r="47" spans="1:28">
      <c r="A47" s="10">
        <v>350</v>
      </c>
      <c r="B47" s="10">
        <f t="shared" si="0"/>
        <v>34.638449999999999</v>
      </c>
      <c r="C47" s="10">
        <f t="shared" si="1"/>
        <v>0.1558819429207764</v>
      </c>
      <c r="D47" s="10">
        <f t="shared" si="2"/>
        <v>0.20835496237001996</v>
      </c>
      <c r="E47" s="10">
        <f t="shared" si="3"/>
        <v>1.0514306575543855E-8</v>
      </c>
      <c r="F47" s="10">
        <f t="shared" si="4"/>
        <v>1.0514306575541885E-8</v>
      </c>
      <c r="G47" s="10">
        <f t="shared" si="10"/>
        <v>7.2170929463058178</v>
      </c>
      <c r="I47" s="10">
        <v>800</v>
      </c>
      <c r="J47" s="10">
        <f t="shared" si="5"/>
        <v>79.173599999999993</v>
      </c>
      <c r="K47" s="10">
        <f t="shared" si="6"/>
        <v>0.13462241376468434</v>
      </c>
      <c r="L47" s="10">
        <f t="shared" si="7"/>
        <v>0.18930462143022547</v>
      </c>
      <c r="M47" s="11">
        <f t="shared" si="11"/>
        <v>2.1365297804358685E-11</v>
      </c>
      <c r="N47" s="11">
        <f t="shared" si="8"/>
        <v>2.1365297804364304E-11</v>
      </c>
      <c r="O47" s="10">
        <f t="shared" si="9"/>
        <v>14.987928375268098</v>
      </c>
      <c r="R47" s="10">
        <v>32</v>
      </c>
      <c r="S47" s="10">
        <v>-2.9557000000000002</v>
      </c>
      <c r="T47" s="10">
        <v>-659.64700000000005</v>
      </c>
      <c r="U47" s="10">
        <v>0.14069999999999999</v>
      </c>
      <c r="V47" s="11">
        <v>1.4920000000000001E-10</v>
      </c>
      <c r="W47" s="11">
        <v>3.6919999999999999E-5</v>
      </c>
      <c r="X47" s="11">
        <v>-7.3900000000000007E-8</v>
      </c>
      <c r="Y47" s="11">
        <v>0</v>
      </c>
      <c r="Z47" s="10">
        <v>-1</v>
      </c>
      <c r="AA47" s="11">
        <v>-1.8100000000000001E-4</v>
      </c>
      <c r="AB47" s="10">
        <v>20</v>
      </c>
    </row>
    <row r="48" spans="1:28">
      <c r="A48" s="10">
        <v>380</v>
      </c>
      <c r="B48" s="10">
        <f t="shared" si="0"/>
        <v>37.607460000000003</v>
      </c>
      <c r="C48" s="10">
        <f t="shared" si="1"/>
        <v>0.15336350460958653</v>
      </c>
      <c r="D48" s="10">
        <f t="shared" si="2"/>
        <v>0.20050936015447521</v>
      </c>
      <c r="E48" s="10">
        <f t="shared" si="3"/>
        <v>8.1082307035408654E-9</v>
      </c>
      <c r="F48" s="10">
        <f t="shared" si="4"/>
        <v>8.1082307035417223E-9</v>
      </c>
      <c r="G48" s="10">
        <f t="shared" si="10"/>
        <v>7.5406477416350208</v>
      </c>
      <c r="I48" s="10">
        <v>900</v>
      </c>
      <c r="J48" s="10">
        <f t="shared" si="5"/>
        <v>89.070300000000003</v>
      </c>
      <c r="K48" s="10">
        <f t="shared" si="6"/>
        <v>0.13252842362648681</v>
      </c>
      <c r="L48" s="10">
        <f t="shared" si="7"/>
        <v>0.18061586567006976</v>
      </c>
      <c r="M48" s="11">
        <f t="shared" si="11"/>
        <v>1.5015158214936197E-11</v>
      </c>
      <c r="N48" s="11">
        <f t="shared" si="8"/>
        <v>1.5015158214954825E-11</v>
      </c>
      <c r="O48" s="10">
        <f t="shared" si="9"/>
        <v>16.087509339992817</v>
      </c>
      <c r="R48" s="10">
        <v>33</v>
      </c>
      <c r="S48" s="10">
        <v>-3.0095999999999998</v>
      </c>
      <c r="T48" s="10">
        <v>-688.03300000000002</v>
      </c>
      <c r="U48" s="10">
        <v>0.13969999999999999</v>
      </c>
      <c r="V48" s="11">
        <v>1.3300000000000001E-10</v>
      </c>
      <c r="W48" s="11">
        <v>3.4860000000000002E-5</v>
      </c>
      <c r="X48" s="11">
        <v>-7.4919999999999999E-8</v>
      </c>
      <c r="Y48" s="11">
        <v>0</v>
      </c>
      <c r="Z48" s="10">
        <v>-1</v>
      </c>
      <c r="AA48" s="11">
        <v>-1.83E-4</v>
      </c>
      <c r="AB48" s="10">
        <v>20</v>
      </c>
    </row>
    <row r="49" spans="1:28">
      <c r="A49" s="10">
        <v>390</v>
      </c>
      <c r="B49" s="10">
        <f t="shared" si="0"/>
        <v>38.59713</v>
      </c>
      <c r="C49" s="10">
        <f t="shared" si="1"/>
        <v>0.15258750299075324</v>
      </c>
      <c r="D49" s="10">
        <f t="shared" si="2"/>
        <v>0.19809190962851481</v>
      </c>
      <c r="E49" s="10">
        <f t="shared" si="3"/>
        <v>7.4690795444957866E-9</v>
      </c>
      <c r="F49" s="10">
        <f t="shared" si="4"/>
        <v>7.4690795444966055E-9</v>
      </c>
      <c r="G49" s="10">
        <f t="shared" si="10"/>
        <v>7.6457791878800379</v>
      </c>
      <c r="I49" s="10">
        <v>950</v>
      </c>
      <c r="J49" s="10">
        <f t="shared" si="5"/>
        <v>94.018649999999994</v>
      </c>
      <c r="K49" s="10">
        <f t="shared" si="6"/>
        <v>0.13159936784910883</v>
      </c>
      <c r="L49" s="10">
        <f t="shared" si="7"/>
        <v>0.17676086244443501</v>
      </c>
      <c r="M49" s="11">
        <f t="shared" si="11"/>
        <v>1.2770265329552988E-11</v>
      </c>
      <c r="N49" s="11">
        <f t="shared" si="8"/>
        <v>1.2770265329552985E-11</v>
      </c>
      <c r="O49" s="10">
        <f t="shared" si="9"/>
        <v>16.618817659861477</v>
      </c>
      <c r="R49" s="10">
        <v>34</v>
      </c>
      <c r="S49" s="10">
        <v>-3.0609000000000002</v>
      </c>
      <c r="T49" s="10">
        <v>-719.17</v>
      </c>
      <c r="U49" s="10">
        <v>0.1386</v>
      </c>
      <c r="V49" s="11">
        <v>1.152E-10</v>
      </c>
      <c r="W49" s="11">
        <v>3.2610000000000001E-5</v>
      </c>
      <c r="X49" s="11">
        <v>-7.5909999999999996E-8</v>
      </c>
      <c r="Y49" s="11">
        <v>0</v>
      </c>
      <c r="Z49" s="10">
        <v>-1</v>
      </c>
      <c r="AA49" s="11">
        <v>-1.8599999999999999E-4</v>
      </c>
      <c r="AB49" s="10">
        <v>20</v>
      </c>
    </row>
    <row r="50" spans="1:28">
      <c r="A50" s="10">
        <v>400</v>
      </c>
      <c r="B50" s="10">
        <f t="shared" si="0"/>
        <v>39.586799999999997</v>
      </c>
      <c r="C50" s="10">
        <f t="shared" si="1"/>
        <v>0.15183997643463049</v>
      </c>
      <c r="D50" s="10">
        <f t="shared" si="2"/>
        <v>0.19576316646302336</v>
      </c>
      <c r="E50" s="10">
        <f t="shared" si="3"/>
        <v>6.8945393737399697E-9</v>
      </c>
      <c r="F50" s="10">
        <f t="shared" si="4"/>
        <v>6.8945393737399713E-9</v>
      </c>
      <c r="G50" s="10">
        <f t="shared" si="10"/>
        <v>7.7496373181384124</v>
      </c>
      <c r="I50" s="10">
        <v>1000</v>
      </c>
      <c r="J50" s="10">
        <f t="shared" si="5"/>
        <v>98.966999999999999</v>
      </c>
      <c r="K50" s="10">
        <f t="shared" si="6"/>
        <v>0.13073616710630198</v>
      </c>
      <c r="L50" s="10">
        <f t="shared" si="7"/>
        <v>0.17317911662365967</v>
      </c>
      <c r="M50" s="11">
        <f t="shared" si="11"/>
        <v>1.095142392447687E-11</v>
      </c>
      <c r="N50" s="11">
        <f t="shared" si="8"/>
        <v>1.0951423924492609E-11</v>
      </c>
      <c r="O50" s="10">
        <f t="shared" si="9"/>
        <v>17.139017634893726</v>
      </c>
      <c r="R50" s="10">
        <v>35</v>
      </c>
      <c r="S50" s="10">
        <v>-3.1097000000000001</v>
      </c>
      <c r="T50" s="10">
        <v>-754.53</v>
      </c>
      <c r="U50" s="10">
        <v>0.13750000000000001</v>
      </c>
      <c r="V50" s="11">
        <v>9.5090000000000005E-11</v>
      </c>
      <c r="W50" s="11">
        <v>3.0049999999999999E-5</v>
      </c>
      <c r="X50" s="11">
        <v>-7.6910000000000005E-8</v>
      </c>
      <c r="Y50" s="11">
        <v>0</v>
      </c>
      <c r="Z50" s="10">
        <v>-1</v>
      </c>
      <c r="AA50" s="11">
        <v>-1.8799999999999999E-4</v>
      </c>
      <c r="AB50" s="10">
        <v>20</v>
      </c>
    </row>
    <row r="51" spans="1:28">
      <c r="A51" s="10">
        <v>500</v>
      </c>
      <c r="B51" s="10">
        <f t="shared" si="0"/>
        <v>49.483499999999999</v>
      </c>
      <c r="C51" s="10">
        <f t="shared" si="1"/>
        <v>0.14561416138126165</v>
      </c>
      <c r="D51" s="10">
        <f t="shared" si="2"/>
        <v>0.17636810399146938</v>
      </c>
      <c r="E51" s="10">
        <f t="shared" si="3"/>
        <v>3.4033941167922775E-9</v>
      </c>
      <c r="F51" s="10">
        <f t="shared" si="4"/>
        <v>3.403394116793888E-9</v>
      </c>
      <c r="G51" s="10">
        <f t="shared" si="10"/>
        <v>8.7273110738618751</v>
      </c>
      <c r="I51" s="10">
        <v>1050</v>
      </c>
      <c r="J51" s="10">
        <f t="shared" si="5"/>
        <v>103.91535</v>
      </c>
      <c r="K51" s="10">
        <f t="shared" si="6"/>
        <v>0.12993120703886041</v>
      </c>
      <c r="L51" s="10">
        <f t="shared" si="7"/>
        <v>0.16983903335626727</v>
      </c>
      <c r="M51" s="11">
        <f t="shared" si="11"/>
        <v>9.462181150329534E-12</v>
      </c>
      <c r="N51" s="11">
        <f t="shared" si="8"/>
        <v>9.4621811503404537E-12</v>
      </c>
      <c r="O51" s="10">
        <f t="shared" si="9"/>
        <v>17.648882594878188</v>
      </c>
      <c r="R51" s="10">
        <v>36</v>
      </c>
      <c r="S51" s="10">
        <v>-3.1558000000000002</v>
      </c>
      <c r="T51" s="10">
        <v>-795.46600000000001</v>
      </c>
      <c r="U51" s="10">
        <v>0.1363</v>
      </c>
      <c r="V51" s="11">
        <v>7.9260000000000006E-11</v>
      </c>
      <c r="W51" s="11">
        <v>2.775E-5</v>
      </c>
      <c r="X51" s="11">
        <v>-7.7779999999999999E-8</v>
      </c>
      <c r="Y51" s="11">
        <v>0</v>
      </c>
      <c r="Z51" s="10">
        <v>-1</v>
      </c>
      <c r="AA51" s="11">
        <v>-1.9000000000000001E-4</v>
      </c>
      <c r="AB51" s="10">
        <v>20</v>
      </c>
    </row>
    <row r="52" spans="1:28">
      <c r="A52" s="10">
        <v>600</v>
      </c>
      <c r="B52" s="10">
        <f t="shared" si="0"/>
        <v>59.380200000000002</v>
      </c>
      <c r="C52" s="10">
        <f t="shared" si="1"/>
        <v>0.14098205880715184</v>
      </c>
      <c r="D52" s="10">
        <f t="shared" si="2"/>
        <v>0.16193787790389985</v>
      </c>
      <c r="E52" s="10">
        <f t="shared" si="3"/>
        <v>1.9106296084748619E-9</v>
      </c>
      <c r="F52" s="10">
        <f t="shared" si="4"/>
        <v>1.9106296084752557E-9</v>
      </c>
      <c r="G52" s="10">
        <f t="shared" si="10"/>
        <v>9.6159035775091546</v>
      </c>
      <c r="I52" s="10">
        <v>1100</v>
      </c>
      <c r="J52" s="10">
        <f t="shared" si="5"/>
        <v>108.86369999999999</v>
      </c>
      <c r="K52" s="10">
        <f t="shared" si="6"/>
        <v>0.12917806292571621</v>
      </c>
      <c r="L52" s="10">
        <f t="shared" si="7"/>
        <v>0.16671395404861497</v>
      </c>
      <c r="M52" s="11">
        <f t="shared" si="11"/>
        <v>8.2311421521063577E-12</v>
      </c>
      <c r="N52" s="11">
        <f t="shared" si="8"/>
        <v>8.2311421521097375E-12</v>
      </c>
      <c r="O52" s="10">
        <f t="shared" si="9"/>
        <v>18.149097879362206</v>
      </c>
      <c r="R52" s="10">
        <v>37</v>
      </c>
      <c r="S52" s="10">
        <v>-3.1993</v>
      </c>
      <c r="T52" s="10">
        <v>-841.21600000000001</v>
      </c>
      <c r="U52" s="10">
        <v>0.13519999999999999</v>
      </c>
      <c r="V52" s="11">
        <v>6.9379999999999997E-11</v>
      </c>
      <c r="W52" s="11">
        <v>2.5890000000000001E-5</v>
      </c>
      <c r="X52" s="11">
        <v>-7.8470000000000001E-8</v>
      </c>
      <c r="Y52" s="11">
        <v>0</v>
      </c>
      <c r="Z52" s="10">
        <v>-1</v>
      </c>
      <c r="AA52" s="11">
        <v>-1.92E-4</v>
      </c>
      <c r="AB52" s="10">
        <v>20</v>
      </c>
    </row>
    <row r="53" spans="1:28">
      <c r="A53" s="10">
        <v>700</v>
      </c>
      <c r="B53" s="10">
        <f t="shared" si="0"/>
        <v>69.276899999999998</v>
      </c>
      <c r="C53" s="10">
        <f t="shared" si="1"/>
        <v>0.13735966518857962</v>
      </c>
      <c r="D53" s="10">
        <f t="shared" si="2"/>
        <v>0.15065316258124495</v>
      </c>
      <c r="E53" s="10">
        <f t="shared" si="3"/>
        <v>1.1723553903322412E-9</v>
      </c>
      <c r="F53" s="10">
        <f t="shared" si="4"/>
        <v>1.1723553903331499E-9</v>
      </c>
      <c r="G53" s="10">
        <f t="shared" si="10"/>
        <v>10.436784078824648</v>
      </c>
      <c r="I53" s="10">
        <v>1150</v>
      </c>
      <c r="J53" s="10">
        <f t="shared" si="5"/>
        <v>113.81205</v>
      </c>
      <c r="K53" s="10">
        <f t="shared" si="6"/>
        <v>0.12847126975895706</v>
      </c>
      <c r="L53" s="10">
        <f t="shared" si="7"/>
        <v>0.16378120231932392</v>
      </c>
      <c r="M53" s="11">
        <f t="shared" si="11"/>
        <v>7.2046929266775866E-12</v>
      </c>
      <c r="N53" s="11">
        <f t="shared" si="8"/>
        <v>7.2046929266838826E-12</v>
      </c>
      <c r="O53" s="10">
        <f t="shared" si="9"/>
        <v>18.640274387427009</v>
      </c>
      <c r="R53" s="10">
        <v>38</v>
      </c>
      <c r="S53" s="10">
        <v>-3.2403</v>
      </c>
      <c r="T53" s="10">
        <v>-891.68100000000004</v>
      </c>
      <c r="U53" s="10">
        <v>0.13400000000000001</v>
      </c>
      <c r="V53" s="11">
        <v>5.8480000000000001E-11</v>
      </c>
      <c r="W53" s="11">
        <v>2.3819999999999999E-5</v>
      </c>
      <c r="X53" s="11">
        <v>-7.9140000000000006E-8</v>
      </c>
      <c r="Y53" s="11">
        <v>0</v>
      </c>
      <c r="Z53" s="10">
        <v>-1</v>
      </c>
      <c r="AA53" s="11">
        <v>-1.93E-4</v>
      </c>
      <c r="AB53" s="10">
        <v>20</v>
      </c>
    </row>
    <row r="54" spans="1:28">
      <c r="A54" s="10">
        <v>850</v>
      </c>
      <c r="B54" s="10">
        <f t="shared" si="0"/>
        <v>84.121949999999998</v>
      </c>
      <c r="C54" s="10">
        <f t="shared" si="1"/>
        <v>0.13315146127177829</v>
      </c>
      <c r="D54" s="10">
        <f t="shared" si="2"/>
        <v>0.13754349305849939</v>
      </c>
      <c r="E54" s="10">
        <f t="shared" si="3"/>
        <v>6.335328734246105E-10</v>
      </c>
      <c r="F54" s="10">
        <f t="shared" si="4"/>
        <v>6.3353287342548101E-10</v>
      </c>
      <c r="G54" s="10">
        <f t="shared" si="10"/>
        <v>11.570426845892433</v>
      </c>
      <c r="I54" s="10">
        <v>1200</v>
      </c>
      <c r="J54" s="10">
        <f t="shared" si="5"/>
        <v>118.7604</v>
      </c>
      <c r="K54" s="10">
        <f t="shared" si="6"/>
        <v>0.12780614455515721</v>
      </c>
      <c r="L54" s="10">
        <f t="shared" si="7"/>
        <v>0.16102134670189713</v>
      </c>
      <c r="M54" s="11">
        <f t="shared" si="11"/>
        <v>6.3420414982228452E-12</v>
      </c>
      <c r="N54" s="11">
        <f t="shared" si="8"/>
        <v>6.3420414982228444E-12</v>
      </c>
      <c r="O54" s="10">
        <f t="shared" si="9"/>
        <v>19.122959542855984</v>
      </c>
      <c r="R54" s="10">
        <v>39</v>
      </c>
      <c r="S54" s="10">
        <v>-3.2787000000000002</v>
      </c>
      <c r="T54" s="10">
        <v>-950.096</v>
      </c>
      <c r="U54" s="10">
        <v>0.13250000000000001</v>
      </c>
      <c r="V54" s="11">
        <v>4.5869999999999999E-11</v>
      </c>
      <c r="W54" s="11">
        <v>2.1440000000000001E-5</v>
      </c>
      <c r="X54" s="11">
        <v>-7.9790000000000002E-8</v>
      </c>
      <c r="Y54" s="11">
        <v>0</v>
      </c>
      <c r="Z54" s="10">
        <v>-1</v>
      </c>
      <c r="AA54" s="11">
        <v>-1.95E-4</v>
      </c>
      <c r="AB54" s="10">
        <v>20</v>
      </c>
    </row>
    <row r="55" spans="1:28">
      <c r="A55" s="10">
        <v>900</v>
      </c>
      <c r="B55" s="10">
        <f t="shared" si="0"/>
        <v>89.070300000000003</v>
      </c>
      <c r="C55" s="10">
        <f t="shared" si="1"/>
        <v>0.13198338393697565</v>
      </c>
      <c r="D55" s="10">
        <f t="shared" si="2"/>
        <v>0.13390462285662197</v>
      </c>
      <c r="E55" s="10">
        <f t="shared" si="3"/>
        <v>5.285169348704678E-10</v>
      </c>
      <c r="F55" s="10">
        <f t="shared" si="4"/>
        <v>5.2851693487086289E-10</v>
      </c>
      <c r="G55" s="10">
        <f t="shared" si="10"/>
        <v>11.926924929226177</v>
      </c>
      <c r="I55" s="10">
        <v>1250</v>
      </c>
      <c r="J55" s="10">
        <f t="shared" si="5"/>
        <v>123.70874999999999</v>
      </c>
      <c r="K55" s="10">
        <f t="shared" si="6"/>
        <v>0.1271786474071111</v>
      </c>
      <c r="L55" s="10">
        <f t="shared" si="7"/>
        <v>0.15841762409589669</v>
      </c>
      <c r="M55" s="11">
        <f t="shared" si="11"/>
        <v>5.6117785887198427E-12</v>
      </c>
      <c r="N55" s="11">
        <f t="shared" si="8"/>
        <v>5.6117785887253527E-12</v>
      </c>
      <c r="O55" s="10">
        <f t="shared" si="9"/>
        <v>19.597646254873258</v>
      </c>
      <c r="R55" s="10">
        <v>40</v>
      </c>
      <c r="S55" s="10">
        <v>-3.3144999999999998</v>
      </c>
      <c r="T55" s="10">
        <v>-1019.6319999999999</v>
      </c>
      <c r="U55" s="10">
        <v>0.13120000000000001</v>
      </c>
      <c r="V55" s="11">
        <v>3.6570000000000003E-11</v>
      </c>
      <c r="W55" s="11">
        <v>1.9360000000000001E-5</v>
      </c>
      <c r="X55" s="11">
        <v>-8.036E-8</v>
      </c>
      <c r="Y55" s="11">
        <v>0</v>
      </c>
      <c r="Z55" s="10">
        <v>-1</v>
      </c>
      <c r="AA55" s="11">
        <v>-1.9599999999999999E-4</v>
      </c>
      <c r="AB55" s="10">
        <v>20</v>
      </c>
    </row>
    <row r="56" spans="1:28">
      <c r="A56" s="10">
        <v>950</v>
      </c>
      <c r="B56" s="10">
        <f t="shared" si="0"/>
        <v>94.018649999999994</v>
      </c>
      <c r="C56" s="10">
        <f t="shared" si="1"/>
        <v>0.13090677060850184</v>
      </c>
      <c r="D56" s="10">
        <f t="shared" si="2"/>
        <v>0.13055068725389984</v>
      </c>
      <c r="E56" s="10">
        <f t="shared" si="3"/>
        <v>4.4524355457799527E-10</v>
      </c>
      <c r="F56" s="10">
        <f t="shared" si="4"/>
        <v>4.4524355457817534E-10</v>
      </c>
      <c r="G56" s="10">
        <f t="shared" si="10"/>
        <v>12.274199372183869</v>
      </c>
      <c r="I56" s="10">
        <v>1300</v>
      </c>
      <c r="J56" s="10">
        <f t="shared" si="5"/>
        <v>128.65709999999999</v>
      </c>
      <c r="K56" s="10">
        <f t="shared" si="6"/>
        <v>0.12658527165494859</v>
      </c>
      <c r="L56" s="10">
        <f t="shared" si="7"/>
        <v>0.15595548404542986</v>
      </c>
      <c r="M56" s="11">
        <f t="shared" si="11"/>
        <v>4.9894534373719561E-12</v>
      </c>
      <c r="N56" s="11">
        <f t="shared" si="8"/>
        <v>4.9894534373719569E-12</v>
      </c>
      <c r="O56" s="10">
        <f t="shared" si="9"/>
        <v>20.064780306381273</v>
      </c>
      <c r="R56" s="10">
        <v>41</v>
      </c>
      <c r="S56" s="10">
        <v>-3.3477000000000001</v>
      </c>
      <c r="T56" s="10">
        <v>-1099.992</v>
      </c>
      <c r="U56" s="10">
        <v>0.1298</v>
      </c>
      <c r="V56" s="11">
        <v>3E-11</v>
      </c>
      <c r="W56" s="11">
        <v>1.751E-5</v>
      </c>
      <c r="X56" s="11">
        <v>-8.0809999999999994E-8</v>
      </c>
      <c r="Y56" s="11">
        <v>0</v>
      </c>
      <c r="Z56" s="10">
        <v>-1</v>
      </c>
      <c r="AA56" s="11">
        <v>-1.9799999999999999E-4</v>
      </c>
      <c r="AB56" s="10">
        <v>20</v>
      </c>
    </row>
    <row r="57" spans="1:28">
      <c r="A57" s="10">
        <v>1000</v>
      </c>
      <c r="B57" s="10">
        <f t="shared" si="0"/>
        <v>98.966999999999999</v>
      </c>
      <c r="C57" s="10">
        <f t="shared" si="1"/>
        <v>0.12991019916013472</v>
      </c>
      <c r="D57" s="10">
        <f t="shared" si="2"/>
        <v>0.12744610330260039</v>
      </c>
      <c r="E57" s="10">
        <f t="shared" si="3"/>
        <v>3.7839917472786544E-10</v>
      </c>
      <c r="F57" s="10">
        <f t="shared" si="4"/>
        <v>3.7839917472819564E-10</v>
      </c>
      <c r="G57" s="10">
        <f t="shared" si="10"/>
        <v>12.612958505548454</v>
      </c>
      <c r="I57" s="10">
        <v>1350</v>
      </c>
      <c r="J57" s="10">
        <f t="shared" si="5"/>
        <v>133.60544999999999</v>
      </c>
      <c r="K57" s="10">
        <f t="shared" si="6"/>
        <v>0.12602295621486709</v>
      </c>
      <c r="L57" s="10">
        <f t="shared" si="7"/>
        <v>0.15362222495795472</v>
      </c>
      <c r="M57" s="11">
        <f t="shared" si="11"/>
        <v>4.4558397628871718E-12</v>
      </c>
      <c r="N57" s="11">
        <f t="shared" si="8"/>
        <v>4.4558397628969146E-12</v>
      </c>
      <c r="O57" s="10">
        <f t="shared" si="9"/>
        <v>20.524766495508768</v>
      </c>
      <c r="R57" s="10">
        <v>42</v>
      </c>
      <c r="S57" s="10">
        <v>-3.3782999999999999</v>
      </c>
      <c r="T57" s="10">
        <v>-1194.94</v>
      </c>
      <c r="U57" s="10">
        <v>0.12820000000000001</v>
      </c>
      <c r="V57" s="11">
        <v>2.223E-11</v>
      </c>
      <c r="W57" s="11">
        <v>1.5319999999999999E-5</v>
      </c>
      <c r="X57" s="11">
        <v>-8.1240000000000005E-8</v>
      </c>
      <c r="Y57" s="11">
        <v>0</v>
      </c>
      <c r="Z57" s="10">
        <v>-1</v>
      </c>
      <c r="AA57" s="11">
        <v>-1.9900000000000001E-4</v>
      </c>
      <c r="AB57" s="10">
        <v>20</v>
      </c>
    </row>
    <row r="58" spans="1:28">
      <c r="A58" s="10">
        <v>1050</v>
      </c>
      <c r="B58" s="10">
        <f t="shared" si="0"/>
        <v>103.91535</v>
      </c>
      <c r="C58" s="10">
        <f t="shared" si="1"/>
        <v>0.12898415453242229</v>
      </c>
      <c r="D58" s="10">
        <f t="shared" si="2"/>
        <v>0.12456122907296667</v>
      </c>
      <c r="E58" s="10">
        <f t="shared" si="3"/>
        <v>3.241491915705175E-10</v>
      </c>
      <c r="F58" s="10">
        <f t="shared" si="4"/>
        <v>3.2414919157051739E-10</v>
      </c>
      <c r="G58" s="10">
        <f t="shared" si="10"/>
        <v>12.943823715547508</v>
      </c>
      <c r="I58" s="10">
        <v>1400</v>
      </c>
      <c r="J58" s="10">
        <f t="shared" si="5"/>
        <v>138.5538</v>
      </c>
      <c r="K58" s="10">
        <f t="shared" si="6"/>
        <v>0.12548901495872489</v>
      </c>
      <c r="L58" s="10">
        <f t="shared" si="7"/>
        <v>0.15140670107354726</v>
      </c>
      <c r="M58" s="11">
        <f t="shared" si="11"/>
        <v>3.9956784786339423E-12</v>
      </c>
      <c r="N58" s="11">
        <f t="shared" si="8"/>
        <v>3.9956784786408368E-12</v>
      </c>
      <c r="O58" s="10">
        <f t="shared" si="9"/>
        <v>20.977973779204053</v>
      </c>
      <c r="R58" s="10">
        <v>43</v>
      </c>
      <c r="S58" s="10">
        <v>-3.4062999999999999</v>
      </c>
      <c r="T58" s="10">
        <v>-1312.251</v>
      </c>
      <c r="U58" s="10">
        <v>0.12659999999999999</v>
      </c>
      <c r="V58" s="11">
        <v>1.6669999999999999E-11</v>
      </c>
      <c r="W58" s="11">
        <v>1.342E-5</v>
      </c>
      <c r="X58" s="11">
        <v>-8.1610000000000001E-8</v>
      </c>
      <c r="Y58" s="11">
        <v>0</v>
      </c>
      <c r="Z58" s="10">
        <v>-1</v>
      </c>
      <c r="AA58" s="11">
        <v>-1.9900000000000001E-4</v>
      </c>
      <c r="AB58" s="10">
        <v>20</v>
      </c>
    </row>
    <row r="59" spans="1:28">
      <c r="A59" s="10">
        <v>1100</v>
      </c>
      <c r="B59" s="10">
        <f t="shared" si="0"/>
        <v>108.86369999999999</v>
      </c>
      <c r="C59" s="10">
        <f t="shared" si="1"/>
        <v>0.12812063745556396</v>
      </c>
      <c r="D59" s="10">
        <f t="shared" si="2"/>
        <v>0.12187114472138308</v>
      </c>
      <c r="E59" s="10">
        <f t="shared" si="3"/>
        <v>2.7968045888497355E-10</v>
      </c>
      <c r="F59" s="10">
        <f t="shared" si="4"/>
        <v>2.7968045888511381E-10</v>
      </c>
      <c r="G59" s="10">
        <f t="shared" si="10"/>
        <v>13.267343737605231</v>
      </c>
      <c r="I59" s="10">
        <v>1450</v>
      </c>
      <c r="J59" s="10">
        <f t="shared" si="5"/>
        <v>143.50215</v>
      </c>
      <c r="K59" s="10">
        <f t="shared" si="6"/>
        <v>0.12498107935121024</v>
      </c>
      <c r="L59" s="10">
        <f t="shared" si="7"/>
        <v>0.14929908444485576</v>
      </c>
      <c r="M59" s="11">
        <f t="shared" si="11"/>
        <v>3.596754630371464E-12</v>
      </c>
      <c r="N59" s="11">
        <f t="shared" si="8"/>
        <v>3.5967546303758099E-12</v>
      </c>
      <c r="O59" s="10">
        <f t="shared" si="9"/>
        <v>21.424739610868357</v>
      </c>
      <c r="R59" s="10">
        <v>44</v>
      </c>
      <c r="S59" s="10">
        <v>-3.4317000000000002</v>
      </c>
      <c r="T59" s="10">
        <v>-1456.165</v>
      </c>
      <c r="U59" s="10">
        <v>0.12479999999999999</v>
      </c>
      <c r="V59" s="11">
        <v>1.2219999999999999E-11</v>
      </c>
      <c r="W59" s="11">
        <v>1.1559999999999999E-5</v>
      </c>
      <c r="X59" s="11">
        <v>-8.1890000000000001E-8</v>
      </c>
      <c r="Y59" s="11">
        <v>0</v>
      </c>
      <c r="Z59" s="10">
        <v>-1</v>
      </c>
      <c r="AA59" s="11">
        <v>-2.0000000000000001E-4</v>
      </c>
      <c r="AB59" s="10">
        <v>20</v>
      </c>
    </row>
    <row r="60" spans="1:28">
      <c r="A60" s="10">
        <v>1150</v>
      </c>
      <c r="B60" s="10">
        <f t="shared" si="0"/>
        <v>113.81205</v>
      </c>
      <c r="C60" s="10">
        <f t="shared" si="1"/>
        <v>0.12731286708789216</v>
      </c>
      <c r="D60" s="10">
        <f t="shared" si="2"/>
        <v>0.11935472613050521</v>
      </c>
      <c r="E60" s="10">
        <f t="shared" si="3"/>
        <v>2.4289831598052289E-10</v>
      </c>
      <c r="F60" s="10">
        <f t="shared" si="4"/>
        <v>2.4289831598039276E-10</v>
      </c>
      <c r="G60" s="10">
        <f t="shared" si="10"/>
        <v>13.584006058101366</v>
      </c>
      <c r="I60" s="10">
        <v>1500</v>
      </c>
      <c r="J60" s="10">
        <f t="shared" si="5"/>
        <v>148.45050000000001</v>
      </c>
      <c r="K60" s="10">
        <f t="shared" si="6"/>
        <v>0.1244970514941966</v>
      </c>
      <c r="L60" s="10">
        <f t="shared" si="7"/>
        <v>0.14729067010040084</v>
      </c>
      <c r="M60" s="11">
        <f t="shared" si="11"/>
        <v>3.2492118400337902E-12</v>
      </c>
      <c r="N60" s="11">
        <f t="shared" si="8"/>
        <v>3.2492118400358485E-12</v>
      </c>
      <c r="O60" s="10">
        <f t="shared" si="9"/>
        <v>21.865373621739554</v>
      </c>
      <c r="R60" s="10">
        <v>45</v>
      </c>
      <c r="S60" s="10">
        <v>-3.4546000000000001</v>
      </c>
      <c r="T60" s="10">
        <v>-1640.1780000000001</v>
      </c>
      <c r="U60" s="10">
        <v>0.1229</v>
      </c>
      <c r="V60" s="11">
        <v>8.1439999999999992E-12</v>
      </c>
      <c r="W60" s="11">
        <v>9.6490000000000003E-6</v>
      </c>
      <c r="X60" s="11">
        <v>-8.2119999999999997E-8</v>
      </c>
      <c r="Y60" s="11">
        <v>0</v>
      </c>
      <c r="Z60" s="10">
        <v>-1</v>
      </c>
      <c r="AA60" s="11">
        <v>-2.0100000000000001E-4</v>
      </c>
      <c r="AB60" s="10">
        <v>20</v>
      </c>
    </row>
    <row r="61" spans="1:28">
      <c r="A61" s="10">
        <v>1200</v>
      </c>
      <c r="B61" s="10">
        <f t="shared" si="0"/>
        <v>118.7604</v>
      </c>
      <c r="C61" s="10">
        <f t="shared" si="1"/>
        <v>0.12655505203044115</v>
      </c>
      <c r="D61" s="10">
        <f t="shared" si="2"/>
        <v>0.11699393155900673</v>
      </c>
      <c r="E61" s="10">
        <f t="shared" si="3"/>
        <v>2.1222190628469822E-10</v>
      </c>
      <c r="F61" s="10">
        <f t="shared" si="4"/>
        <v>2.1222190628481919E-10</v>
      </c>
      <c r="G61" s="10">
        <f t="shared" si="10"/>
        <v>13.894246109520262</v>
      </c>
      <c r="I61" s="10">
        <v>1550</v>
      </c>
      <c r="J61" s="10">
        <f t="shared" si="5"/>
        <v>153.39885000000001</v>
      </c>
      <c r="K61" s="10">
        <f t="shared" si="6"/>
        <v>0.12403506541340531</v>
      </c>
      <c r="L61" s="10">
        <f t="shared" si="7"/>
        <v>0.14537371540832078</v>
      </c>
      <c r="M61" s="11">
        <f t="shared" si="11"/>
        <v>2.9450376615991656E-12</v>
      </c>
      <c r="N61" s="11">
        <f t="shared" si="8"/>
        <v>2.9450376616069786E-12</v>
      </c>
      <c r="O61" s="10">
        <f t="shared" si="9"/>
        <v>22.300160763863691</v>
      </c>
      <c r="R61" s="10">
        <v>46</v>
      </c>
      <c r="S61" s="10">
        <v>-3.4748000000000001</v>
      </c>
      <c r="T61" s="10">
        <v>-1889.1189999999999</v>
      </c>
      <c r="U61" s="10">
        <v>0.1207</v>
      </c>
      <c r="V61" s="11">
        <v>5.2270000000000002E-12</v>
      </c>
      <c r="W61" s="11">
        <v>7.8320000000000006E-6</v>
      </c>
      <c r="X61" s="11">
        <v>-8.2269999999999995E-8</v>
      </c>
      <c r="Y61" s="11">
        <v>0</v>
      </c>
      <c r="Z61" s="10">
        <v>-1</v>
      </c>
      <c r="AA61" s="11">
        <v>-2.0100000000000001E-4</v>
      </c>
      <c r="AB61" s="10">
        <v>20</v>
      </c>
    </row>
    <row r="62" spans="1:28">
      <c r="A62" s="10">
        <v>1250</v>
      </c>
      <c r="B62" s="10">
        <f t="shared" si="0"/>
        <v>123.70874999999999</v>
      </c>
      <c r="C62" s="10">
        <f t="shared" si="1"/>
        <v>0.12584221187268863</v>
      </c>
      <c r="D62" s="10">
        <f t="shared" si="2"/>
        <v>0.11477324570931038</v>
      </c>
      <c r="E62" s="10">
        <f t="shared" si="3"/>
        <v>1.8644337498693649E-10</v>
      </c>
      <c r="F62" s="10">
        <f t="shared" si="4"/>
        <v>1.8644337498750078E-10</v>
      </c>
      <c r="G62" s="10">
        <f t="shared" si="10"/>
        <v>14.198454760141651</v>
      </c>
      <c r="I62" s="10">
        <v>1600</v>
      </c>
      <c r="J62" s="10">
        <f t="shared" si="5"/>
        <v>158.34719999999999</v>
      </c>
      <c r="K62" s="10">
        <f t="shared" si="6"/>
        <v>0.12359345492676721</v>
      </c>
      <c r="L62" s="10">
        <f t="shared" si="7"/>
        <v>0.14354130675007143</v>
      </c>
      <c r="M62" s="11">
        <f t="shared" si="11"/>
        <v>2.6776733713330722E-12</v>
      </c>
      <c r="N62" s="11">
        <f t="shared" si="8"/>
        <v>2.6776733713386411E-12</v>
      </c>
      <c r="O62" s="10">
        <f t="shared" si="9"/>
        <v>22.729364008214908</v>
      </c>
      <c r="R62" s="10">
        <v>47</v>
      </c>
      <c r="S62" s="10">
        <v>-3.4925000000000002</v>
      </c>
      <c r="T62" s="10">
        <v>-2236.2339999999999</v>
      </c>
      <c r="U62" s="10">
        <v>0.11840000000000001</v>
      </c>
      <c r="V62" s="11">
        <v>3.1500000000000001E-12</v>
      </c>
      <c r="W62" s="11">
        <v>6.1689999999999997E-6</v>
      </c>
      <c r="X62" s="11">
        <v>-8.2370000000000002E-8</v>
      </c>
      <c r="Y62" s="11">
        <v>0</v>
      </c>
      <c r="Z62" s="10">
        <v>-1</v>
      </c>
      <c r="AA62" s="11">
        <v>-2.0100000000000001E-4</v>
      </c>
      <c r="AB62" s="10">
        <v>20</v>
      </c>
    </row>
    <row r="63" spans="1:28">
      <c r="A63" s="10">
        <v>1300</v>
      </c>
      <c r="B63" s="10">
        <f t="shared" si="0"/>
        <v>128.65709999999999</v>
      </c>
      <c r="C63" s="10">
        <f t="shared" si="1"/>
        <v>0.12517003659265555</v>
      </c>
      <c r="D63" s="10">
        <f t="shared" si="2"/>
        <v>0.11267924172166841</v>
      </c>
      <c r="E63" s="10">
        <f t="shared" si="3"/>
        <v>1.64629400035827E-10</v>
      </c>
      <c r="F63" s="10">
        <f t="shared" si="4"/>
        <v>1.6462940003593254E-10</v>
      </c>
      <c r="G63" s="10">
        <f t="shared" si="10"/>
        <v>14.496984470108863</v>
      </c>
      <c r="I63" s="10">
        <v>1650</v>
      </c>
      <c r="J63" s="10">
        <f t="shared" si="5"/>
        <v>163.29554999999999</v>
      </c>
      <c r="K63" s="10">
        <f t="shared" si="6"/>
        <v>0.12317072680888713</v>
      </c>
      <c r="L63" s="10">
        <f t="shared" si="7"/>
        <v>0.14178724816965615</v>
      </c>
      <c r="M63" s="11">
        <f t="shared" si="11"/>
        <v>2.4417153438865803E-12</v>
      </c>
      <c r="N63" s="11">
        <f t="shared" si="8"/>
        <v>2.4417153438971842E-12</v>
      </c>
      <c r="O63" s="10">
        <f t="shared" si="9"/>
        <v>23.153226672850494</v>
      </c>
      <c r="R63" s="10">
        <v>48</v>
      </c>
      <c r="S63" s="10">
        <v>-3.5074999999999998</v>
      </c>
      <c r="T63" s="10">
        <v>-2757.93</v>
      </c>
      <c r="U63" s="10">
        <v>0.1157</v>
      </c>
      <c r="V63" s="11">
        <v>1.6109999999999999E-12</v>
      </c>
      <c r="W63" s="11">
        <v>4.5290000000000002E-6</v>
      </c>
      <c r="X63" s="11">
        <v>-8.2609999999999997E-8</v>
      </c>
      <c r="Y63" s="11">
        <v>0</v>
      </c>
      <c r="Z63" s="10">
        <v>-1</v>
      </c>
      <c r="AA63" s="11">
        <v>-2.02E-4</v>
      </c>
      <c r="AB63" s="10">
        <v>20</v>
      </c>
    </row>
    <row r="64" spans="1:28">
      <c r="A64" s="10">
        <v>1350</v>
      </c>
      <c r="B64" s="10">
        <f t="shared" si="0"/>
        <v>133.60544999999999</v>
      </c>
      <c r="C64" s="10">
        <f t="shared" si="1"/>
        <v>0.1245347746689959</v>
      </c>
      <c r="D64" s="10">
        <f t="shared" si="2"/>
        <v>0.11070023261369442</v>
      </c>
      <c r="E64" s="10">
        <f t="shared" si="3"/>
        <v>1.4605128214062151E-10</v>
      </c>
      <c r="F64" s="10">
        <f t="shared" si="4"/>
        <v>1.4605128214052253E-10</v>
      </c>
      <c r="G64" s="10">
        <f t="shared" si="10"/>
        <v>14.790154393457319</v>
      </c>
      <c r="I64" s="10">
        <v>1700</v>
      </c>
      <c r="J64" s="10">
        <f t="shared" si="5"/>
        <v>168.2439</v>
      </c>
      <c r="K64" s="10">
        <f t="shared" si="6"/>
        <v>0.1227655382477492</v>
      </c>
      <c r="L64" s="10">
        <f t="shared" si="7"/>
        <v>0.14010596783298426</v>
      </c>
      <c r="M64" s="11">
        <f t="shared" si="11"/>
        <v>2.2326845244899962E-12</v>
      </c>
      <c r="N64" s="11">
        <f t="shared" si="8"/>
        <v>2.2326845244950514E-12</v>
      </c>
      <c r="O64" s="10">
        <f t="shared" si="9"/>
        <v>23.571974441495822</v>
      </c>
      <c r="R64" s="10">
        <v>49</v>
      </c>
      <c r="S64" s="10">
        <v>-3.52</v>
      </c>
      <c r="T64" s="10">
        <v>-2757.933</v>
      </c>
      <c r="U64" s="10">
        <v>0.33939999999999998</v>
      </c>
      <c r="V64" s="11">
        <v>1.342E-7</v>
      </c>
      <c r="W64" s="11">
        <v>1.469E-6</v>
      </c>
      <c r="X64" s="11">
        <v>-8.2430000000000004E-8</v>
      </c>
      <c r="Y64" s="11">
        <v>0</v>
      </c>
      <c r="Z64" s="10">
        <v>-1</v>
      </c>
      <c r="AA64" s="11">
        <v>-2.02E-4</v>
      </c>
      <c r="AB64" s="10">
        <v>20</v>
      </c>
    </row>
    <row r="65" spans="1:28">
      <c r="A65" s="10">
        <v>1400</v>
      </c>
      <c r="B65" s="10">
        <f t="shared" si="0"/>
        <v>138.5538</v>
      </c>
      <c r="C65" s="10">
        <f t="shared" si="1"/>
        <v>0.12393314322006552</v>
      </c>
      <c r="D65" s="10">
        <f t="shared" si="2"/>
        <v>0.10882599133976799</v>
      </c>
      <c r="E65" s="10">
        <f t="shared" si="3"/>
        <v>1.3013461836612612E-10</v>
      </c>
      <c r="F65" s="10">
        <f t="shared" si="4"/>
        <v>1.3013461836659134E-10</v>
      </c>
      <c r="G65" s="10">
        <f t="shared" si="10"/>
        <v>15.078254638891945</v>
      </c>
      <c r="I65" s="10">
        <v>1750</v>
      </c>
      <c r="J65" s="10">
        <f t="shared" si="5"/>
        <v>173.19225</v>
      </c>
      <c r="K65" s="10">
        <f t="shared" si="6"/>
        <v>0.12237667780346675</v>
      </c>
      <c r="L65" s="10">
        <f t="shared" si="7"/>
        <v>0.13849243901853425</v>
      </c>
      <c r="M65" s="11">
        <f t="shared" si="11"/>
        <v>2.0468470149853617E-12</v>
      </c>
      <c r="N65" s="11">
        <f t="shared" si="8"/>
        <v>2.0468470149901874E-12</v>
      </c>
      <c r="O65" s="10">
        <f t="shared" si="9"/>
        <v>23.985817121607738</v>
      </c>
      <c r="R65" s="10">
        <v>50</v>
      </c>
      <c r="S65" s="10">
        <v>-3.6787999999999998</v>
      </c>
      <c r="T65" s="10">
        <v>-2757.8710000000001</v>
      </c>
      <c r="U65" s="10">
        <v>0.33939999999999998</v>
      </c>
      <c r="V65" s="11">
        <v>1.342E-7</v>
      </c>
      <c r="W65" s="11">
        <v>1.469E-6</v>
      </c>
      <c r="X65" s="11">
        <v>-8.2399999999999997E-8</v>
      </c>
      <c r="Y65" s="11">
        <v>0</v>
      </c>
      <c r="Z65" s="10">
        <v>-1</v>
      </c>
      <c r="AA65" s="11">
        <v>-2.0100000000000001E-4</v>
      </c>
      <c r="AB65" s="10">
        <v>20</v>
      </c>
    </row>
    <row r="66" spans="1:28">
      <c r="A66" s="10">
        <v>1450</v>
      </c>
      <c r="B66" s="10">
        <f t="shared" si="0"/>
        <v>143.50215</v>
      </c>
      <c r="C66" s="10">
        <f t="shared" si="1"/>
        <v>0.12336225521944555</v>
      </c>
      <c r="D66" s="10">
        <f t="shared" si="2"/>
        <v>0.107047524048117</v>
      </c>
      <c r="E66" s="10">
        <f t="shared" si="3"/>
        <v>1.1642260779210744E-10</v>
      </c>
      <c r="F66" s="10">
        <f t="shared" si="4"/>
        <v>1.1642260779245801E-10</v>
      </c>
      <c r="G66" s="10">
        <f t="shared" si="10"/>
        <v>15.361549853081494</v>
      </c>
      <c r="I66" s="10">
        <v>1800</v>
      </c>
      <c r="J66" s="10">
        <f t="shared" si="5"/>
        <v>178.14060000000001</v>
      </c>
      <c r="K66" s="10">
        <f t="shared" si="6"/>
        <v>0.12200304924237337</v>
      </c>
      <c r="L66" s="10">
        <f t="shared" si="7"/>
        <v>0.13694211303889367</v>
      </c>
      <c r="M66" s="11">
        <f t="shared" si="11"/>
        <v>1.8810733695901464E-12</v>
      </c>
      <c r="N66" s="11">
        <f t="shared" si="8"/>
        <v>1.8810733695947597E-12</v>
      </c>
      <c r="O66" s="10">
        <f t="shared" si="9"/>
        <v>24.394950182016341</v>
      </c>
      <c r="R66" s="10">
        <v>51</v>
      </c>
      <c r="S66" s="10">
        <v>-3.8374999999999999</v>
      </c>
      <c r="T66" s="10">
        <v>-2757.81</v>
      </c>
      <c r="U66" s="10">
        <v>0.33939999999999998</v>
      </c>
      <c r="V66" s="11">
        <v>1.342E-7</v>
      </c>
      <c r="W66" s="11">
        <v>1.469E-6</v>
      </c>
      <c r="X66" s="11">
        <v>-8.2399999999999997E-8</v>
      </c>
      <c r="Y66" s="11">
        <v>0</v>
      </c>
      <c r="Z66" s="10">
        <v>-1</v>
      </c>
      <c r="AA66" s="11">
        <v>-2.0100000000000001E-4</v>
      </c>
      <c r="AB66" s="10">
        <v>20</v>
      </c>
    </row>
    <row r="67" spans="1:28">
      <c r="A67" s="10">
        <v>1500</v>
      </c>
      <c r="B67" s="10">
        <f t="shared" si="0"/>
        <v>148.45050000000001</v>
      </c>
      <c r="C67" s="10">
        <f t="shared" si="1"/>
        <v>0.12281956007877118</v>
      </c>
      <c r="D67" s="10">
        <f t="shared" si="2"/>
        <v>0.1053568849805956</v>
      </c>
      <c r="E67" s="10">
        <f t="shared" si="3"/>
        <v>1.0454897880011071E-10</v>
      </c>
      <c r="F67" s="10">
        <f t="shared" si="4"/>
        <v>1.0454897880011071E-10</v>
      </c>
      <c r="G67" s="10">
        <f t="shared" si="10"/>
        <v>15.640282253811908</v>
      </c>
      <c r="I67" s="10">
        <v>1850</v>
      </c>
      <c r="J67" s="10">
        <f t="shared" si="5"/>
        <v>183.08895000000001</v>
      </c>
      <c r="K67" s="10">
        <f t="shared" si="6"/>
        <v>0.12164365774588981</v>
      </c>
      <c r="L67" s="10">
        <f t="shared" si="7"/>
        <v>0.13545086201614029</v>
      </c>
      <c r="M67" s="11">
        <f t="shared" si="11"/>
        <v>1.7327274526242743E-12</v>
      </c>
      <c r="N67" s="11">
        <f t="shared" si="8"/>
        <v>1.7327274526286897E-12</v>
      </c>
      <c r="O67" s="10">
        <f t="shared" si="9"/>
        <v>24.799556103130008</v>
      </c>
      <c r="R67" s="10" t="s">
        <v>111</v>
      </c>
    </row>
    <row r="68" spans="1:28">
      <c r="A68" s="10">
        <v>1550</v>
      </c>
      <c r="B68" s="10">
        <f t="shared" si="0"/>
        <v>153.39885000000001</v>
      </c>
      <c r="C68" s="10">
        <f t="shared" si="1"/>
        <v>0.12230279478862038</v>
      </c>
      <c r="D68" s="10">
        <f t="shared" si="2"/>
        <v>0.10374702426361493</v>
      </c>
      <c r="E68" s="10">
        <f t="shared" si="3"/>
        <v>9.4217795062186042E-11</v>
      </c>
      <c r="F68" s="10">
        <f t="shared" si="4"/>
        <v>9.4217795062264275E-11</v>
      </c>
      <c r="G68" s="10">
        <f t="shared" si="10"/>
        <v>15.914674212960628</v>
      </c>
      <c r="I68" s="10">
        <v>1900</v>
      </c>
      <c r="J68" s="10">
        <f t="shared" si="5"/>
        <v>188.03729999999999</v>
      </c>
      <c r="K68" s="10">
        <f t="shared" si="6"/>
        <v>0.12129759809168644</v>
      </c>
      <c r="L68" s="10">
        <f t="shared" si="7"/>
        <v>0.13401492984102259</v>
      </c>
      <c r="M68" s="11">
        <f t="shared" si="11"/>
        <v>1.5995780506302222E-12</v>
      </c>
      <c r="N68" s="11">
        <f t="shared" si="8"/>
        <v>1.5995780506302222E-12</v>
      </c>
      <c r="O68" s="10">
        <f t="shared" si="9"/>
        <v>25.199805566995316</v>
      </c>
    </row>
    <row r="69" spans="1:28">
      <c r="A69" s="10">
        <v>1600</v>
      </c>
      <c r="B69" s="10">
        <f t="shared" si="0"/>
        <v>158.34719999999999</v>
      </c>
      <c r="C69" s="10">
        <f t="shared" si="1"/>
        <v>0.12180994346836471</v>
      </c>
      <c r="D69" s="10">
        <f t="shared" si="2"/>
        <v>0.1022116618952172</v>
      </c>
      <c r="E69" s="10">
        <f t="shared" si="3"/>
        <v>8.5188238189839536E-11</v>
      </c>
      <c r="F69" s="10">
        <f t="shared" si="4"/>
        <v>8.5188238190210088E-11</v>
      </c>
      <c r="G69" s="10">
        <f t="shared" si="10"/>
        <v>16.184930468454336</v>
      </c>
      <c r="I69" s="10">
        <v>1950</v>
      </c>
      <c r="J69" s="10">
        <f t="shared" si="5"/>
        <v>192.98564999999999</v>
      </c>
      <c r="K69" s="10">
        <f t="shared" si="6"/>
        <v>0.12096404448149348</v>
      </c>
      <c r="L69" s="10">
        <f t="shared" si="7"/>
        <v>0.13263088996470324</v>
      </c>
      <c r="M69" s="11">
        <f t="shared" si="11"/>
        <v>1.4797281294856709E-12</v>
      </c>
      <c r="N69" s="11">
        <f t="shared" si="8"/>
        <v>1.4797281294883768E-12</v>
      </c>
      <c r="O69" s="10">
        <f t="shared" si="9"/>
        <v>25.595858509916731</v>
      </c>
    </row>
    <row r="70" spans="1:28">
      <c r="A70" s="10">
        <v>1650</v>
      </c>
      <c r="B70" s="10">
        <f t="shared" si="0"/>
        <v>163.29554999999999</v>
      </c>
      <c r="C70" s="10">
        <f t="shared" si="1"/>
        <v>0.12133920366550809</v>
      </c>
      <c r="D70" s="10">
        <f t="shared" si="2"/>
        <v>0.10074518275859219</v>
      </c>
      <c r="E70" s="10">
        <f t="shared" si="3"/>
        <v>7.7263031087557092E-11</v>
      </c>
      <c r="F70" s="10">
        <f t="shared" si="4"/>
        <v>7.7263031087768049E-11</v>
      </c>
      <c r="G70" s="10">
        <f t="shared" si="10"/>
        <v>16.45124002841483</v>
      </c>
      <c r="I70" s="10">
        <v>2000</v>
      </c>
      <c r="J70" s="10">
        <f t="shared" si="5"/>
        <v>197.934</v>
      </c>
      <c r="K70" s="10">
        <f t="shared" si="6"/>
        <v>0.12064224175051239</v>
      </c>
      <c r="L70" s="10">
        <f t="shared" si="7"/>
        <v>0.13129560892328793</v>
      </c>
      <c r="M70" s="11">
        <f t="shared" si="11"/>
        <v>1.3715578706656057E-12</v>
      </c>
      <c r="N70" s="11">
        <f t="shared" si="8"/>
        <v>1.3715578706669053E-12</v>
      </c>
      <c r="O70" s="10">
        <f t="shared" si="9"/>
        <v>25.987865056622073</v>
      </c>
    </row>
    <row r="71" spans="1:28">
      <c r="A71" s="10">
        <v>1700</v>
      </c>
      <c r="B71" s="10">
        <f t="shared" si="0"/>
        <v>168.2439</v>
      </c>
      <c r="C71" s="10">
        <f t="shared" si="1"/>
        <v>0.12088895811193365</v>
      </c>
      <c r="D71" s="10">
        <f t="shared" si="2"/>
        <v>9.9342548635307337E-2</v>
      </c>
      <c r="E71" s="10">
        <f t="shared" si="3"/>
        <v>7.0279552402868406E-11</v>
      </c>
      <c r="F71" s="10">
        <f t="shared" si="4"/>
        <v>7.027955240306892E-11</v>
      </c>
      <c r="G71" s="10">
        <f t="shared" si="10"/>
        <v>16.713777818343782</v>
      </c>
      <c r="I71" s="10">
        <v>2050</v>
      </c>
      <c r="J71" s="10">
        <f t="shared" si="5"/>
        <v>202.88235</v>
      </c>
      <c r="K71" s="10">
        <f t="shared" si="6"/>
        <v>0.12033149774149844</v>
      </c>
      <c r="L71" s="10">
        <f t="shared" si="7"/>
        <v>0.13000621469501428</v>
      </c>
      <c r="M71" s="11">
        <f t="shared" si="11"/>
        <v>1.2736785394368992E-12</v>
      </c>
      <c r="N71" s="11">
        <f t="shared" si="8"/>
        <v>1.2736785394418954E-12</v>
      </c>
      <c r="O71" s="10">
        <f t="shared" si="9"/>
        <v>26.37596635192903</v>
      </c>
    </row>
    <row r="72" spans="1:28">
      <c r="A72" s="10">
        <v>1750</v>
      </c>
      <c r="B72" s="10">
        <f t="shared" si="0"/>
        <v>173.19225</v>
      </c>
      <c r="C72" s="10">
        <f t="shared" si="1"/>
        <v>0.120457750922043</v>
      </c>
      <c r="D72" s="10">
        <f t="shared" si="2"/>
        <v>9.7999224056208756E-2</v>
      </c>
      <c r="E72" s="10">
        <f t="shared" si="3"/>
        <v>6.4102959508252648E-11</v>
      </c>
      <c r="F72" s="10">
        <f t="shared" si="4"/>
        <v>6.4102959508443494E-11</v>
      </c>
      <c r="G72" s="10">
        <f t="shared" si="10"/>
        <v>16.97270611254892</v>
      </c>
      <c r="I72" s="10">
        <v>2100</v>
      </c>
      <c r="J72" s="10">
        <f t="shared" si="5"/>
        <v>207.83070000000001</v>
      </c>
      <c r="K72" s="10">
        <f t="shared" si="6"/>
        <v>0.12003117666502124</v>
      </c>
      <c r="L72" s="10">
        <f t="shared" si="7"/>
        <v>0.12876006914946572</v>
      </c>
      <c r="M72" s="11">
        <f t="shared" si="11"/>
        <v>1.1848949218359843E-12</v>
      </c>
      <c r="N72" s="11">
        <f t="shared" si="8"/>
        <v>1.1848949218347825E-12</v>
      </c>
      <c r="O72" s="10">
        <f t="shared" si="9"/>
        <v>26.760295303381866</v>
      </c>
    </row>
    <row r="73" spans="1:28">
      <c r="A73" s="10">
        <v>1800</v>
      </c>
      <c r="B73" s="10">
        <f t="shared" si="0"/>
        <v>178.14060000000001</v>
      </c>
      <c r="C73" s="10">
        <f t="shared" si="1"/>
        <v>0.12004426742964795</v>
      </c>
      <c r="D73" s="10">
        <f t="shared" si="2"/>
        <v>9.6711113487999878E-2</v>
      </c>
      <c r="E73" s="10">
        <f t="shared" si="3"/>
        <v>5.8620824249166599E-11</v>
      </c>
      <c r="F73" s="10">
        <f t="shared" si="4"/>
        <v>5.8620824249227229E-11</v>
      </c>
      <c r="G73" s="10">
        <f t="shared" si="10"/>
        <v>17.22817578342039</v>
      </c>
      <c r="I73" s="10">
        <v>2150</v>
      </c>
      <c r="J73" s="10">
        <f t="shared" si="5"/>
        <v>212.77905000000001</v>
      </c>
      <c r="K73" s="10">
        <f t="shared" si="6"/>
        <v>0.11974069329829837</v>
      </c>
      <c r="L73" s="10">
        <f t="shared" si="7"/>
        <v>0.12755474397634178</v>
      </c>
      <c r="M73" s="11">
        <f t="shared" si="11"/>
        <v>1.1041745806883815E-12</v>
      </c>
      <c r="N73" s="11">
        <f t="shared" si="8"/>
        <v>1.1041745806918538E-12</v>
      </c>
      <c r="O73" s="10">
        <f t="shared" si="9"/>
        <v>27.140977246279228</v>
      </c>
    </row>
    <row r="74" spans="1:28">
      <c r="A74" s="10">
        <v>1850</v>
      </c>
      <c r="B74" s="10">
        <f t="shared" si="0"/>
        <v>183.08895000000001</v>
      </c>
      <c r="C74" s="10">
        <f t="shared" si="1"/>
        <v>0.11964731702356839</v>
      </c>
      <c r="D74" s="10">
        <f t="shared" si="2"/>
        <v>9.5474507861583791E-2</v>
      </c>
      <c r="E74" s="10">
        <f t="shared" si="3"/>
        <v>5.37389178255077E-11</v>
      </c>
      <c r="F74" s="10">
        <f t="shared" si="4"/>
        <v>5.3738917825739155E-11</v>
      </c>
      <c r="G74" s="10">
        <f t="shared" si="10"/>
        <v>17.480327396144123</v>
      </c>
      <c r="I74" s="10">
        <v>2200</v>
      </c>
      <c r="J74" s="10">
        <f t="shared" si="5"/>
        <v>217.72739999999999</v>
      </c>
      <c r="K74" s="10">
        <f t="shared" si="6"/>
        <v>0.11945950789995755</v>
      </c>
      <c r="L74" s="10">
        <f t="shared" si="7"/>
        <v>0.12638799958488608</v>
      </c>
      <c r="M74" s="11">
        <f t="shared" si="11"/>
        <v>1.0306225690906239E-12</v>
      </c>
      <c r="N74" s="11">
        <f t="shared" si="8"/>
        <v>1.0306225690939708E-12</v>
      </c>
      <c r="O74" s="10">
        <f t="shared" si="9"/>
        <v>27.518130540818326</v>
      </c>
    </row>
    <row r="75" spans="1:28">
      <c r="A75" s="10">
        <v>1900</v>
      </c>
      <c r="B75" s="10">
        <f t="shared" si="0"/>
        <v>188.03729999999999</v>
      </c>
      <c r="C75" s="10">
        <f t="shared" si="1"/>
        <v>0.11926581846842445</v>
      </c>
      <c r="D75" s="10">
        <f t="shared" si="2"/>
        <v>9.4286038842443784E-2</v>
      </c>
      <c r="E75" s="10">
        <f t="shared" si="3"/>
        <v>4.9377875620321084E-11</v>
      </c>
      <c r="F75" s="10">
        <f t="shared" si="4"/>
        <v>4.9377875620431674E-11</v>
      </c>
      <c r="G75" s="10">
        <f t="shared" si="10"/>
        <v>17.729292171628252</v>
      </c>
      <c r="I75" s="10">
        <v>2250</v>
      </c>
      <c r="J75" s="10">
        <f t="shared" si="5"/>
        <v>222.67574999999999</v>
      </c>
      <c r="K75" s="10">
        <f t="shared" si="6"/>
        <v>0.11918712173835669</v>
      </c>
      <c r="L75" s="10">
        <f t="shared" si="7"/>
        <v>0.12525776654919787</v>
      </c>
      <c r="M75" s="11">
        <f t="shared" si="11"/>
        <v>9.6346053523929976E-13</v>
      </c>
      <c r="N75" s="11">
        <f t="shared" si="8"/>
        <v>9.6346053524252871E-13</v>
      </c>
      <c r="O75" s="10">
        <f t="shared" si="9"/>
        <v>27.891867109667547</v>
      </c>
    </row>
    <row r="76" spans="1:28">
      <c r="A76" s="10">
        <v>1950</v>
      </c>
      <c r="B76" s="10">
        <f t="shared" si="0"/>
        <v>192.98564999999999</v>
      </c>
      <c r="C76" s="10">
        <f t="shared" si="1"/>
        <v>0.1188987872960168</v>
      </c>
      <c r="D76" s="10">
        <f t="shared" si="2"/>
        <v>9.3142639551454229E-2</v>
      </c>
      <c r="E76" s="10">
        <f t="shared" si="3"/>
        <v>4.5470540968465711E-11</v>
      </c>
      <c r="F76" s="10">
        <f t="shared" si="4"/>
        <v>4.5470540968730222E-11</v>
      </c>
      <c r="G76" s="10">
        <f t="shared" si="10"/>
        <v>17.975192836553102</v>
      </c>
      <c r="I76" s="10">
        <v>2300</v>
      </c>
      <c r="J76" s="10">
        <f t="shared" si="5"/>
        <v>227.6241</v>
      </c>
      <c r="K76" s="10">
        <f t="shared" si="6"/>
        <v>0.11892307314764744</v>
      </c>
      <c r="L76" s="10">
        <f t="shared" si="7"/>
        <v>0.12416212924335038</v>
      </c>
      <c r="M76" s="11">
        <f t="shared" si="11"/>
        <v>9.0200937899120942E-13</v>
      </c>
      <c r="N76" s="11">
        <f t="shared" si="8"/>
        <v>9.0200937899224854E-13</v>
      </c>
      <c r="O76" s="10">
        <f t="shared" si="9"/>
        <v>28.26229292310131</v>
      </c>
    </row>
    <row r="77" spans="1:28">
      <c r="A77" s="10">
        <v>2000</v>
      </c>
      <c r="B77" s="10">
        <f t="shared" si="0"/>
        <v>197.934</v>
      </c>
      <c r="C77" s="10">
        <f t="shared" si="1"/>
        <v>0.11854532493053582</v>
      </c>
      <c r="D77" s="10">
        <f t="shared" si="2"/>
        <v>9.2041510687027511E-2</v>
      </c>
      <c r="E77" s="10">
        <f t="shared" si="3"/>
        <v>4.1959836536987377E-11</v>
      </c>
      <c r="F77" s="10">
        <f t="shared" si="4"/>
        <v>4.1959836537342031E-11</v>
      </c>
      <c r="G77" s="10">
        <f t="shared" si="10"/>
        <v>18.218144376326102</v>
      </c>
      <c r="I77" s="10">
        <v>2350</v>
      </c>
      <c r="J77" s="10">
        <f t="shared" si="5"/>
        <v>232.57245</v>
      </c>
      <c r="K77" s="10">
        <f t="shared" si="6"/>
        <v>0.11866693403934653</v>
      </c>
      <c r="L77" s="10">
        <f t="shared" si="7"/>
        <v>0.12309931136658311</v>
      </c>
      <c r="M77" s="11">
        <f t="shared" si="11"/>
        <v>8.4567479515800439E-13</v>
      </c>
      <c r="N77" s="11">
        <f t="shared" si="8"/>
        <v>8.4567479515800439E-13</v>
      </c>
      <c r="O77" s="10">
        <f t="shared" si="9"/>
        <v>28.629508437839082</v>
      </c>
    </row>
    <row r="78" spans="1:28">
      <c r="A78" s="10">
        <v>2050</v>
      </c>
      <c r="B78" s="10">
        <f t="shared" ref="B78:B141" si="12">0.098967*A78</f>
        <v>202.88235</v>
      </c>
      <c r="C78" s="10">
        <f t="shared" ref="C78:C141" si="13">$B$6+(($B$7-$B$6)/(1+($B$3*A78)^$B$4)^$B$5)</f>
        <v>0.1182046092725228</v>
      </c>
      <c r="D78" s="10">
        <f t="shared" ref="D78:D141" si="14">(C78-$B$6)/($B$7-$B$6)</f>
        <v>9.098009119165984E-2</v>
      </c>
      <c r="E78" s="10">
        <f t="shared" ref="E78:E141" si="15">$B$8*D78^$B$9*(1-(1-D78^(1/$B$5))^$B$5)^2</f>
        <v>3.8797048500881875E-11</v>
      </c>
      <c r="F78" s="10">
        <f t="shared" ref="F78:F141" si="16">$B$8*((1-(($B$3*A78)^($B$4-1))*(1+($B$3*A78)^$B$4)^(-1+1/$B$4))^2)/(1+($B$3*A78)^$B$4)^(0.5-(1/(2*$B$4)))</f>
        <v>3.8797048501124762E-11</v>
      </c>
      <c r="G78" s="10">
        <f t="shared" si="10"/>
        <v>18.458254704178248</v>
      </c>
      <c r="I78" s="10">
        <v>2400</v>
      </c>
      <c r="J78" s="10">
        <f t="shared" ref="J78:J141" si="17">0.098967*I78</f>
        <v>237.52080000000001</v>
      </c>
      <c r="K78" s="10">
        <f t="shared" ref="K78:K141" si="18">$J$6+(($J$7-$J$6)/(1+($J$3*I78)^$J$4)^$J$5)</f>
        <v>0.1184183068083727</v>
      </c>
      <c r="L78" s="10">
        <f t="shared" ref="L78:L141" si="19">(K78-$J$6)/($J$7-$J$6)</f>
        <v>0.12206766310528093</v>
      </c>
      <c r="M78" s="11">
        <f t="shared" si="11"/>
        <v>7.9393517405870571E-13</v>
      </c>
      <c r="N78" s="11">
        <f t="shared" ref="N78:N141" si="20">$J$8*((1-(($J$3*I78)^($J$4-1))*(1+($J$3*I78)^$J$4)^(-1+1/$J$4))^2)/(1+($J$3*I78)^$J$4)^(0.5-(1/(2*$J$4)))</f>
        <v>7.9393517406064734E-13</v>
      </c>
      <c r="O78" s="10">
        <f t="shared" ref="O78:O141" si="21">L78*J78</f>
        <v>28.99360899489681</v>
      </c>
    </row>
    <row r="79" spans="1:28">
      <c r="A79" s="10">
        <v>2100</v>
      </c>
      <c r="B79" s="10">
        <f t="shared" si="12"/>
        <v>207.83070000000001</v>
      </c>
      <c r="C79" s="10">
        <f t="shared" si="13"/>
        <v>0.11787588651568527</v>
      </c>
      <c r="D79" s="10">
        <f t="shared" si="14"/>
        <v>8.9956032759144169E-2</v>
      </c>
      <c r="E79" s="10">
        <f t="shared" si="15"/>
        <v>3.5940435763227382E-11</v>
      </c>
      <c r="F79" s="10">
        <f t="shared" si="16"/>
        <v>3.5940435763413879E-11</v>
      </c>
      <c r="G79" s="10">
        <f t="shared" ref="G79:G142" si="22">D79*B79</f>
        <v>18.695625257555864</v>
      </c>
      <c r="I79" s="10">
        <v>2450</v>
      </c>
      <c r="J79" s="10">
        <f t="shared" si="17"/>
        <v>242.46914999999998</v>
      </c>
      <c r="K79" s="10">
        <f t="shared" si="18"/>
        <v>0.11817682158177034</v>
      </c>
      <c r="L79" s="10">
        <f t="shared" si="19"/>
        <v>0.12106564971688939</v>
      </c>
      <c r="M79" s="11">
        <f t="shared" ref="M79:M142" si="23">$J$8*L79^$J$9*(1-(1-L79^(1/$J$5))^$J$5)^2</f>
        <v>7.4633143559857706E-13</v>
      </c>
      <c r="N79" s="11">
        <f t="shared" si="20"/>
        <v>7.463314355976379E-13</v>
      </c>
      <c r="O79" s="10">
        <f t="shared" si="21"/>
        <v>29.354685181051909</v>
      </c>
    </row>
    <row r="80" spans="1:28">
      <c r="A80" s="10">
        <v>2150</v>
      </c>
      <c r="B80" s="10">
        <f t="shared" si="12"/>
        <v>212.77905000000001</v>
      </c>
      <c r="C80" s="10">
        <f t="shared" si="13"/>
        <v>0.11755846401011</v>
      </c>
      <c r="D80" s="10">
        <f t="shared" si="14"/>
        <v>8.8967177601588801E-2</v>
      </c>
      <c r="E80" s="10">
        <f t="shared" si="15"/>
        <v>3.3354096684237643E-11</v>
      </c>
      <c r="F80" s="10">
        <f t="shared" si="16"/>
        <v>3.3354096684416799E-11</v>
      </c>
      <c r="G80" s="10">
        <f t="shared" si="22"/>
        <v>18.930351531247343</v>
      </c>
      <c r="I80" s="10">
        <v>2500</v>
      </c>
      <c r="J80" s="10">
        <f t="shared" si="17"/>
        <v>247.41749999999999</v>
      </c>
      <c r="K80" s="10">
        <f t="shared" si="18"/>
        <v>0.11794213376604122</v>
      </c>
      <c r="L80" s="10">
        <f t="shared" si="19"/>
        <v>0.12009184135286814</v>
      </c>
      <c r="M80" s="11">
        <f t="shared" si="23"/>
        <v>7.0245845610488719E-13</v>
      </c>
      <c r="N80" s="11">
        <f t="shared" si="20"/>
        <v>7.0245845610579656E-13</v>
      </c>
      <c r="O80" s="10">
        <f t="shared" si="21"/>
        <v>29.712823157923253</v>
      </c>
    </row>
    <row r="81" spans="1:15">
      <c r="A81" s="10">
        <v>2200</v>
      </c>
      <c r="B81" s="10">
        <f t="shared" si="12"/>
        <v>217.72739999999999</v>
      </c>
      <c r="C81" s="10">
        <f t="shared" si="13"/>
        <v>0.11725170401723155</v>
      </c>
      <c r="D81" s="10">
        <f t="shared" si="14"/>
        <v>8.8011538994490823E-2</v>
      </c>
      <c r="E81" s="10">
        <f t="shared" si="15"/>
        <v>3.1007040998746669E-11</v>
      </c>
      <c r="F81" s="10">
        <f t="shared" si="16"/>
        <v>3.1007040998746669E-11</v>
      </c>
      <c r="G81" s="10">
        <f t="shared" si="22"/>
        <v>19.1625235552691</v>
      </c>
      <c r="I81" s="10">
        <v>2550</v>
      </c>
      <c r="J81" s="10">
        <f t="shared" si="17"/>
        <v>252.36584999999999</v>
      </c>
      <c r="K81" s="10">
        <f t="shared" si="18"/>
        <v>0.11771392185543264</v>
      </c>
      <c r="L81" s="10">
        <f t="shared" si="19"/>
        <v>0.11914490396445079</v>
      </c>
      <c r="M81" s="11">
        <f t="shared" si="23"/>
        <v>6.6195781258259284E-13</v>
      </c>
      <c r="N81" s="11">
        <f t="shared" si="20"/>
        <v>6.6195781258523584E-13</v>
      </c>
      <c r="O81" s="10">
        <f t="shared" si="21"/>
        <v>30.068104962156994</v>
      </c>
    </row>
    <row r="82" spans="1:15">
      <c r="A82" s="10">
        <v>2250</v>
      </c>
      <c r="B82" s="10">
        <f t="shared" si="12"/>
        <v>222.67574999999999</v>
      </c>
      <c r="C82" s="10">
        <f t="shared" si="13"/>
        <v>0.11695501822770903</v>
      </c>
      <c r="D82" s="10">
        <f t="shared" si="14"/>
        <v>8.7087284198470519E-2</v>
      </c>
      <c r="E82" s="10">
        <f t="shared" si="15"/>
        <v>2.8872426134968751E-11</v>
      </c>
      <c r="F82" s="10">
        <f t="shared" si="16"/>
        <v>2.8872426135051653E-11</v>
      </c>
      <c r="G82" s="10">
        <f t="shared" si="22"/>
        <v>19.392226324357573</v>
      </c>
      <c r="I82" s="10">
        <v>2600</v>
      </c>
      <c r="J82" s="10">
        <f t="shared" si="17"/>
        <v>257.31419999999997</v>
      </c>
      <c r="K82" s="10">
        <f t="shared" si="18"/>
        <v>0.1174918854689122</v>
      </c>
      <c r="L82" s="10">
        <f t="shared" si="19"/>
        <v>0.11822359115731206</v>
      </c>
      <c r="M82" s="11">
        <f t="shared" si="23"/>
        <v>6.2451162096794199E-13</v>
      </c>
      <c r="N82" s="11">
        <f t="shared" si="20"/>
        <v>6.2451162096794199E-13</v>
      </c>
      <c r="O82" s="10">
        <f t="shared" si="21"/>
        <v>30.420608779770824</v>
      </c>
    </row>
    <row r="83" spans="1:15">
      <c r="A83" s="10">
        <v>2300</v>
      </c>
      <c r="B83" s="10">
        <f t="shared" si="12"/>
        <v>227.6241</v>
      </c>
      <c r="C83" s="10">
        <f t="shared" si="13"/>
        <v>0.11666786293438774</v>
      </c>
      <c r="D83" s="10">
        <f t="shared" si="14"/>
        <v>8.6192719421768704E-2</v>
      </c>
      <c r="E83" s="10">
        <f t="shared" si="15"/>
        <v>2.6926925945776579E-11</v>
      </c>
      <c r="F83" s="10">
        <f t="shared" si="16"/>
        <v>2.69269259458165E-11</v>
      </c>
      <c r="G83" s="10">
        <f t="shared" si="22"/>
        <v>19.619540184932621</v>
      </c>
      <c r="I83" s="10">
        <v>2650</v>
      </c>
      <c r="J83" s="10">
        <f t="shared" si="17"/>
        <v>262.26254999999998</v>
      </c>
      <c r="K83" s="10">
        <f t="shared" si="18"/>
        <v>0.11727574358808672</v>
      </c>
      <c r="L83" s="10">
        <f t="shared" si="19"/>
        <v>0.11732673688002788</v>
      </c>
      <c r="M83" s="11">
        <f t="shared" si="23"/>
        <v>5.8983728624790431E-13</v>
      </c>
      <c r="N83" s="11">
        <f t="shared" si="20"/>
        <v>5.8983728624790431E-13</v>
      </c>
      <c r="O83" s="10">
        <f t="shared" si="21"/>
        <v>30.770409197335155</v>
      </c>
    </row>
    <row r="84" spans="1:15">
      <c r="A84" s="10">
        <v>2350</v>
      </c>
      <c r="B84" s="10">
        <f t="shared" si="12"/>
        <v>232.57245</v>
      </c>
      <c r="C84" s="10">
        <f t="shared" si="13"/>
        <v>0.11638973476973966</v>
      </c>
      <c r="D84" s="10">
        <f t="shared" si="14"/>
        <v>8.5326276541245055E-2</v>
      </c>
      <c r="E84" s="10">
        <f t="shared" si="15"/>
        <v>2.5150206623706348E-11</v>
      </c>
      <c r="F84" s="10">
        <f t="shared" si="16"/>
        <v>2.515020662393729E-11</v>
      </c>
      <c r="G84" s="10">
        <f t="shared" si="22"/>
        <v>19.84454118457489</v>
      </c>
      <c r="I84" s="10">
        <v>2700</v>
      </c>
      <c r="J84" s="10">
        <f t="shared" si="17"/>
        <v>267.21089999999998</v>
      </c>
      <c r="K84" s="10">
        <f t="shared" si="18"/>
        <v>0.11706523297214098</v>
      </c>
      <c r="L84" s="10">
        <f t="shared" si="19"/>
        <v>0.11645324884705803</v>
      </c>
      <c r="M84" s="11">
        <f t="shared" si="23"/>
        <v>5.576830154023904E-13</v>
      </c>
      <c r="N84" s="11">
        <f t="shared" si="20"/>
        <v>5.576830154023905E-13</v>
      </c>
      <c r="O84" s="10">
        <f t="shared" si="21"/>
        <v>31.117577432346337</v>
      </c>
    </row>
    <row r="85" spans="1:15">
      <c r="A85" s="10">
        <v>2400</v>
      </c>
      <c r="B85" s="10">
        <f t="shared" si="12"/>
        <v>237.52080000000001</v>
      </c>
      <c r="C85" s="10">
        <f t="shared" si="13"/>
        <v>0.11612016693134233</v>
      </c>
      <c r="D85" s="10">
        <f t="shared" si="14"/>
        <v>8.4486501343745607E-2</v>
      </c>
      <c r="E85" s="10">
        <f t="shared" si="15"/>
        <v>2.3524489791959159E-11</v>
      </c>
      <c r="F85" s="10">
        <f t="shared" si="16"/>
        <v>2.3524489792181954E-11</v>
      </c>
      <c r="G85" s="10">
        <f t="shared" si="22"/>
        <v>20.067301388367532</v>
      </c>
      <c r="I85" s="10">
        <v>2750</v>
      </c>
      <c r="J85" s="10">
        <f t="shared" si="17"/>
        <v>272.15924999999999</v>
      </c>
      <c r="K85" s="10">
        <f t="shared" si="18"/>
        <v>0.11686010672910568</v>
      </c>
      <c r="L85" s="10">
        <f t="shared" si="19"/>
        <v>0.11560210261039704</v>
      </c>
      <c r="M85" s="11">
        <f t="shared" si="23"/>
        <v>5.2782397070656562E-13</v>
      </c>
      <c r="N85" s="11">
        <f t="shared" si="20"/>
        <v>5.2782397070812719E-13</v>
      </c>
      <c r="O85" s="10">
        <f t="shared" si="21"/>
        <v>31.462181544868699</v>
      </c>
    </row>
    <row r="86" spans="1:15">
      <c r="A86" s="10">
        <v>2450</v>
      </c>
      <c r="B86" s="10">
        <f t="shared" si="12"/>
        <v>242.46914999999998</v>
      </c>
      <c r="C86" s="10">
        <f t="shared" si="13"/>
        <v>0.11585872583066117</v>
      </c>
      <c r="D86" s="10">
        <f t="shared" si="14"/>
        <v>8.3672043086171904E-2</v>
      </c>
      <c r="E86" s="10">
        <f t="shared" si="15"/>
        <v>2.20341868227556E-11</v>
      </c>
      <c r="F86" s="10">
        <f t="shared" si="16"/>
        <v>2.2034186822898996E-11</v>
      </c>
      <c r="G86" s="10">
        <f t="shared" si="22"/>
        <v>20.287889165867476</v>
      </c>
      <c r="I86" s="10">
        <v>2800</v>
      </c>
      <c r="J86" s="10">
        <f t="shared" si="17"/>
        <v>277.10759999999999</v>
      </c>
      <c r="K86" s="10">
        <f t="shared" si="18"/>
        <v>0.11666013302550948</v>
      </c>
      <c r="L86" s="10">
        <f t="shared" si="19"/>
        <v>0.11477233620543355</v>
      </c>
      <c r="M86" s="11">
        <f t="shared" si="23"/>
        <v>5.0005896239199224E-13</v>
      </c>
      <c r="N86" s="11">
        <f t="shared" si="20"/>
        <v>5.000589623942682E-13</v>
      </c>
      <c r="O86" s="10">
        <f t="shared" si="21"/>
        <v>31.804286632280796</v>
      </c>
    </row>
    <row r="87" spans="1:15">
      <c r="A87" s="10">
        <v>2500</v>
      </c>
      <c r="B87" s="10">
        <f t="shared" si="12"/>
        <v>247.41749999999999</v>
      </c>
      <c r="C87" s="10">
        <f t="shared" si="13"/>
        <v>0.11560500811011463</v>
      </c>
      <c r="D87" s="10">
        <f t="shared" si="14"/>
        <v>8.2881645202849352E-2</v>
      </c>
      <c r="E87" s="10">
        <f t="shared" si="15"/>
        <v>2.0665591606947603E-11</v>
      </c>
      <c r="F87" s="10">
        <f t="shared" si="16"/>
        <v>2.0665591606982234E-11</v>
      </c>
      <c r="G87" s="10">
        <f t="shared" si="22"/>
        <v>20.506369451975978</v>
      </c>
      <c r="I87" s="10">
        <v>2850</v>
      </c>
      <c r="J87" s="10">
        <f t="shared" si="17"/>
        <v>282.05595</v>
      </c>
      <c r="K87" s="10">
        <f t="shared" si="18"/>
        <v>0.11646509391881013</v>
      </c>
      <c r="L87" s="10">
        <f t="shared" si="19"/>
        <v>0.11396304530626611</v>
      </c>
      <c r="M87" s="11">
        <f t="shared" si="23"/>
        <v>4.7420759706341197E-13</v>
      </c>
      <c r="N87" s="11">
        <f t="shared" si="20"/>
        <v>4.7420759706636183E-13</v>
      </c>
      <c r="O87" s="10">
        <f t="shared" si="21"/>
        <v>32.143955008751931</v>
      </c>
    </row>
    <row r="88" spans="1:15">
      <c r="A88" s="10">
        <v>2550</v>
      </c>
      <c r="B88" s="10">
        <f t="shared" si="12"/>
        <v>252.36584999999999</v>
      </c>
      <c r="C88" s="10">
        <f t="shared" si="13"/>
        <v>0.11535863798149583</v>
      </c>
      <c r="D88" s="10">
        <f t="shared" si="14"/>
        <v>8.2114137014005717E-2</v>
      </c>
      <c r="E88" s="10">
        <f t="shared" si="15"/>
        <v>1.9406621490632301E-11</v>
      </c>
      <c r="F88" s="10">
        <f t="shared" si="16"/>
        <v>1.9406621490632304E-11</v>
      </c>
      <c r="G88" s="10">
        <f t="shared" si="22"/>
        <v>20.722803984556013</v>
      </c>
      <c r="I88" s="10">
        <v>2900</v>
      </c>
      <c r="J88" s="10">
        <f t="shared" si="17"/>
        <v>287.0043</v>
      </c>
      <c r="K88" s="10">
        <f t="shared" si="18"/>
        <v>0.11627478429899896</v>
      </c>
      <c r="L88" s="10">
        <f t="shared" si="19"/>
        <v>0.11317337883402058</v>
      </c>
      <c r="M88" s="11">
        <f t="shared" si="23"/>
        <v>4.5010781240839211E-13</v>
      </c>
      <c r="N88" s="11">
        <f t="shared" si="20"/>
        <v>4.5010781240910933E-13</v>
      </c>
      <c r="O88" s="10">
        <f t="shared" si="21"/>
        <v>32.48124637089289</v>
      </c>
    </row>
    <row r="89" spans="1:15">
      <c r="A89" s="10">
        <v>2600</v>
      </c>
      <c r="B89" s="10">
        <f t="shared" si="12"/>
        <v>257.31419999999997</v>
      </c>
      <c r="C89" s="10">
        <f t="shared" si="13"/>
        <v>0.11511926484559348</v>
      </c>
      <c r="D89" s="10">
        <f t="shared" si="14"/>
        <v>8.1368426310260103E-2</v>
      </c>
      <c r="E89" s="10">
        <f t="shared" si="15"/>
        <v>1.8246598064074417E-11</v>
      </c>
      <c r="F89" s="10">
        <f t="shared" si="16"/>
        <v>1.8246598064268802E-11</v>
      </c>
      <c r="G89" s="10">
        <f t="shared" si="22"/>
        <v>20.937251521283528</v>
      </c>
      <c r="I89" s="10">
        <v>2950</v>
      </c>
      <c r="J89" s="10">
        <f t="shared" si="17"/>
        <v>291.95265000000001</v>
      </c>
      <c r="K89" s="10">
        <f t="shared" si="18"/>
        <v>0.11608901092748633</v>
      </c>
      <c r="L89" s="10">
        <f t="shared" si="19"/>
        <v>0.11240253496882295</v>
      </c>
      <c r="M89" s="11">
        <f t="shared" si="23"/>
        <v>4.2761374032309298E-13</v>
      </c>
      <c r="N89" s="11">
        <f t="shared" si="20"/>
        <v>4.2761374032309308E-13</v>
      </c>
      <c r="O89" s="10">
        <f t="shared" si="21"/>
        <v>32.816217950865529</v>
      </c>
    </row>
    <row r="90" spans="1:15">
      <c r="A90" s="10">
        <v>2650</v>
      </c>
      <c r="B90" s="10">
        <f t="shared" si="12"/>
        <v>262.26254999999998</v>
      </c>
      <c r="C90" s="10">
        <f t="shared" si="13"/>
        <v>0.1148865611585396</v>
      </c>
      <c r="D90" s="10">
        <f t="shared" si="14"/>
        <v>8.064349270573086E-2</v>
      </c>
      <c r="E90" s="10">
        <f t="shared" si="15"/>
        <v>1.7176061049854751E-11</v>
      </c>
      <c r="F90" s="10">
        <f t="shared" si="16"/>
        <v>1.7176061049886106E-11</v>
      </c>
      <c r="G90" s="10">
        <f t="shared" si="22"/>
        <v>21.149768037911372</v>
      </c>
      <c r="I90" s="10">
        <v>3000</v>
      </c>
      <c r="J90" s="10">
        <f t="shared" si="17"/>
        <v>296.90100000000001</v>
      </c>
      <c r="K90" s="10">
        <f t="shared" si="18"/>
        <v>0.11590759156284883</v>
      </c>
      <c r="L90" s="10">
        <f t="shared" si="19"/>
        <v>0.11164975752219432</v>
      </c>
      <c r="M90" s="11">
        <f t="shared" si="23"/>
        <v>4.0659385003917217E-13</v>
      </c>
      <c r="N90" s="11">
        <f t="shared" si="20"/>
        <v>4.0659385004053083E-13</v>
      </c>
      <c r="O90" s="10">
        <f t="shared" si="21"/>
        <v>33.148924658097016</v>
      </c>
    </row>
    <row r="91" spans="1:15">
      <c r="A91" s="10">
        <v>2700</v>
      </c>
      <c r="B91" s="10">
        <f t="shared" si="12"/>
        <v>267.21089999999998</v>
      </c>
      <c r="C91" s="10">
        <f t="shared" si="13"/>
        <v>0.1146602205151986</v>
      </c>
      <c r="D91" s="10">
        <f t="shared" si="14"/>
        <v>7.9938381667285383E-2</v>
      </c>
      <c r="E91" s="10">
        <f t="shared" si="15"/>
        <v>1.6186609783207825E-11</v>
      </c>
      <c r="F91" s="10">
        <f t="shared" si="16"/>
        <v>1.6186609783390096E-11</v>
      </c>
      <c r="G91" s="10">
        <f t="shared" si="22"/>
        <v>21.360406909858828</v>
      </c>
      <c r="I91" s="10">
        <v>3050</v>
      </c>
      <c r="J91" s="10">
        <f t="shared" si="17"/>
        <v>301.84935000000002</v>
      </c>
      <c r="K91" s="10">
        <f t="shared" si="18"/>
        <v>0.11573035416428741</v>
      </c>
      <c r="L91" s="10">
        <f t="shared" si="19"/>
        <v>0.11091433263189798</v>
      </c>
      <c r="M91" s="11">
        <f t="shared" si="23"/>
        <v>3.8692933064274857E-13</v>
      </c>
      <c r="N91" s="11">
        <f t="shared" si="20"/>
        <v>3.8692933064407189E-13</v>
      </c>
      <c r="O91" s="10">
        <f t="shared" si="21"/>
        <v>33.479419210622197</v>
      </c>
    </row>
    <row r="92" spans="1:15">
      <c r="A92" s="10">
        <v>2750</v>
      </c>
      <c r="B92" s="10">
        <f t="shared" si="12"/>
        <v>272.15924999999999</v>
      </c>
      <c r="C92" s="10">
        <f t="shared" si="13"/>
        <v>0.11443995592396213</v>
      </c>
      <c r="D92" s="10">
        <f t="shared" si="14"/>
        <v>7.9252199140068952E-2</v>
      </c>
      <c r="E92" s="10">
        <f t="shared" si="15"/>
        <v>1.5270767775775227E-11</v>
      </c>
      <c r="F92" s="10">
        <f t="shared" si="16"/>
        <v>1.5270767775686897E-11</v>
      </c>
      <c r="G92" s="10">
        <f t="shared" si="22"/>
        <v>21.569219078811809</v>
      </c>
      <c r="I92" s="10">
        <v>3100</v>
      </c>
      <c r="J92" s="10">
        <f t="shared" si="17"/>
        <v>306.79770000000002</v>
      </c>
      <c r="K92" s="10">
        <f t="shared" si="18"/>
        <v>0.11555713616474311</v>
      </c>
      <c r="L92" s="10">
        <f t="shared" si="19"/>
        <v>0.11019558574582206</v>
      </c>
      <c r="M92" s="11">
        <f t="shared" si="23"/>
        <v>3.6851267882203315E-13</v>
      </c>
      <c r="N92" s="11">
        <f t="shared" si="20"/>
        <v>3.685126788220331E-13</v>
      </c>
      <c r="O92" s="10">
        <f t="shared" si="21"/>
        <v>33.807752256970993</v>
      </c>
    </row>
    <row r="93" spans="1:15">
      <c r="A93" s="10">
        <v>2800</v>
      </c>
      <c r="B93" s="10">
        <f t="shared" si="12"/>
        <v>277.10759999999999</v>
      </c>
      <c r="C93" s="10">
        <f t="shared" si="13"/>
        <v>0.11422549825074535</v>
      </c>
      <c r="D93" s="10">
        <f t="shared" si="14"/>
        <v>7.8584106700141307E-2</v>
      </c>
      <c r="E93" s="10">
        <f t="shared" si="15"/>
        <v>1.4421866656585503E-11</v>
      </c>
      <c r="F93" s="10">
        <f t="shared" si="16"/>
        <v>1.4421866656642606E-11</v>
      </c>
      <c r="G93" s="10">
        <f t="shared" si="22"/>
        <v>21.776253205820076</v>
      </c>
      <c r="I93" s="10">
        <v>3150</v>
      </c>
      <c r="J93" s="10">
        <f t="shared" si="17"/>
        <v>311.74605000000003</v>
      </c>
      <c r="K93" s="10">
        <f t="shared" si="18"/>
        <v>0.11538778380656543</v>
      </c>
      <c r="L93" s="10">
        <f t="shared" si="19"/>
        <v>0.10949287886541674</v>
      </c>
      <c r="M93" s="11">
        <f t="shared" si="23"/>
        <v>3.5124646300265356E-13</v>
      </c>
      <c r="N93" s="11">
        <f t="shared" si="20"/>
        <v>3.5124646300579532E-13</v>
      </c>
      <c r="O93" s="10">
        <f t="shared" si="21"/>
        <v>34.133972489422156</v>
      </c>
    </row>
    <row r="94" spans="1:15">
      <c r="A94" s="10">
        <v>2850</v>
      </c>
      <c r="B94" s="10">
        <f t="shared" si="12"/>
        <v>282.05595</v>
      </c>
      <c r="C94" s="10">
        <f t="shared" si="13"/>
        <v>0.1140165948129036</v>
      </c>
      <c r="D94" s="10">
        <f t="shared" si="14"/>
        <v>7.7933317174154554E-2</v>
      </c>
      <c r="E94" s="10">
        <f t="shared" si="15"/>
        <v>1.3633946432064076E-11</v>
      </c>
      <c r="F94" s="10">
        <f t="shared" si="16"/>
        <v>1.3633946432119481E-11</v>
      </c>
      <c r="G94" s="10">
        <f t="shared" si="22"/>
        <v>21.981555812207478</v>
      </c>
      <c r="I94" s="10">
        <v>3200</v>
      </c>
      <c r="J94" s="10">
        <f t="shared" si="17"/>
        <v>316.69439999999997</v>
      </c>
      <c r="K94" s="10">
        <f t="shared" si="18"/>
        <v>0.11522215153345446</v>
      </c>
      <c r="L94" s="10">
        <f t="shared" si="19"/>
        <v>0.1088056080226326</v>
      </c>
      <c r="M94" s="11">
        <f t="shared" si="23"/>
        <v>3.3504223947411236E-13</v>
      </c>
      <c r="N94" s="11">
        <f t="shared" si="20"/>
        <v>3.3504223947656315E-13</v>
      </c>
      <c r="O94" s="10">
        <f t="shared" si="21"/>
        <v>34.458126749362819</v>
      </c>
    </row>
    <row r="95" spans="1:15">
      <c r="A95" s="10">
        <v>2900</v>
      </c>
      <c r="B95" s="10">
        <f t="shared" si="12"/>
        <v>287.0043</v>
      </c>
      <c r="C95" s="10">
        <f t="shared" si="13"/>
        <v>0.11381300810627976</v>
      </c>
      <c r="D95" s="10">
        <f t="shared" si="14"/>
        <v>7.7299090673768736E-2</v>
      </c>
      <c r="E95" s="10">
        <f t="shared" si="15"/>
        <v>1.2901669534014597E-11</v>
      </c>
      <c r="F95" s="10">
        <f t="shared" si="16"/>
        <v>1.2901669534202858E-11</v>
      </c>
      <c r="G95" s="10">
        <f t="shared" si="22"/>
        <v>22.185171409461525</v>
      </c>
      <c r="I95" s="10">
        <v>3250</v>
      </c>
      <c r="J95" s="10">
        <f t="shared" si="17"/>
        <v>321.64274999999998</v>
      </c>
      <c r="K95" s="10">
        <f t="shared" si="18"/>
        <v>0.11506010143311403</v>
      </c>
      <c r="L95" s="10">
        <f t="shared" si="19"/>
        <v>0.10813320096727813</v>
      </c>
      <c r="M95" s="11">
        <f t="shared" si="23"/>
        <v>3.198195997909597E-13</v>
      </c>
      <c r="N95" s="11">
        <f t="shared" si="20"/>
        <v>3.1981959979275285E-13</v>
      </c>
      <c r="O95" s="10">
        <f t="shared" si="21"/>
        <v>34.780260125417996</v>
      </c>
    </row>
    <row r="96" spans="1:15">
      <c r="A96" s="10">
        <v>2950</v>
      </c>
      <c r="B96" s="10">
        <f t="shared" si="12"/>
        <v>291.95265000000001</v>
      </c>
      <c r="C96" s="10">
        <f t="shared" si="13"/>
        <v>0.11361451465072721</v>
      </c>
      <c r="D96" s="10">
        <f t="shared" si="14"/>
        <v>7.668073099915021E-2</v>
      </c>
      <c r="E96" s="10">
        <f t="shared" si="15"/>
        <v>1.2220246551801035E-11</v>
      </c>
      <c r="F96" s="10">
        <f t="shared" si="16"/>
        <v>1.2220246551774911E-11</v>
      </c>
      <c r="G96" s="10">
        <f t="shared" si="22"/>
        <v>22.387142619139052</v>
      </c>
      <c r="I96" s="10">
        <v>3300</v>
      </c>
      <c r="J96" s="10">
        <f t="shared" si="17"/>
        <v>326.59109999999998</v>
      </c>
      <c r="K96" s="10">
        <f t="shared" si="18"/>
        <v>0.11490150272568059</v>
      </c>
      <c r="L96" s="10">
        <f t="shared" si="19"/>
        <v>0.1074751150443178</v>
      </c>
      <c r="M96" s="11">
        <f t="shared" si="23"/>
        <v>3.0550533183921145E-13</v>
      </c>
      <c r="N96" s="11">
        <f t="shared" si="20"/>
        <v>3.0550533183979468E-13</v>
      </c>
      <c r="O96" s="10">
        <f t="shared" si="21"/>
        <v>35.100416044950293</v>
      </c>
    </row>
    <row r="97" spans="1:15">
      <c r="A97" s="10">
        <v>3000</v>
      </c>
      <c r="B97" s="10">
        <f t="shared" si="12"/>
        <v>296.90100000000001</v>
      </c>
      <c r="C97" s="10">
        <f t="shared" si="13"/>
        <v>0.11342090394128473</v>
      </c>
      <c r="D97" s="10">
        <f t="shared" si="14"/>
        <v>7.6077582371603558E-2</v>
      </c>
      <c r="E97" s="10">
        <f t="shared" si="15"/>
        <v>1.1585371895430407E-11</v>
      </c>
      <c r="F97" s="10">
        <f t="shared" si="16"/>
        <v>1.1585371895455791E-11</v>
      </c>
      <c r="G97" s="10">
        <f t="shared" si="22"/>
        <v>22.58751028371147</v>
      </c>
      <c r="I97" s="10">
        <v>3350</v>
      </c>
      <c r="J97" s="10">
        <f t="shared" si="17"/>
        <v>331.53944999999999</v>
      </c>
      <c r="K97" s="10">
        <f t="shared" si="18"/>
        <v>0.1147462312935382</v>
      </c>
      <c r="L97" s="10">
        <f t="shared" si="19"/>
        <v>0.10683083524289709</v>
      </c>
      <c r="M97" s="11">
        <f t="shared" si="23"/>
        <v>2.9203267952338563E-13</v>
      </c>
      <c r="N97" s="11">
        <f t="shared" si="20"/>
        <v>2.9203267952623285E-13</v>
      </c>
      <c r="O97" s="10">
        <f t="shared" si="21"/>
        <v>35.418636359470717</v>
      </c>
    </row>
    <row r="98" spans="1:15">
      <c r="A98" s="10">
        <v>3050</v>
      </c>
      <c r="B98" s="10">
        <f t="shared" si="12"/>
        <v>301.84935000000002</v>
      </c>
      <c r="C98" s="10">
        <f t="shared" si="13"/>
        <v>0.11323197749375516</v>
      </c>
      <c r="D98" s="10">
        <f t="shared" si="14"/>
        <v>7.5489026460296468E-2</v>
      </c>
      <c r="E98" s="10">
        <f t="shared" si="15"/>
        <v>1.0993167923221332E-11</v>
      </c>
      <c r="F98" s="10">
        <f t="shared" si="16"/>
        <v>1.0993167923246008E-11</v>
      </c>
      <c r="G98" s="10">
        <f t="shared" si="22"/>
        <v>22.786313569173291</v>
      </c>
      <c r="I98" s="10">
        <v>3400</v>
      </c>
      <c r="J98" s="10">
        <f t="shared" si="17"/>
        <v>336.48779999999999</v>
      </c>
      <c r="K98" s="10">
        <f t="shared" si="18"/>
        <v>0.11459416924861081</v>
      </c>
      <c r="L98" s="10">
        <f t="shared" si="19"/>
        <v>0.10619987240087474</v>
      </c>
      <c r="M98" s="11">
        <f t="shared" si="23"/>
        <v>2.79340688230035E-13</v>
      </c>
      <c r="N98" s="11">
        <f t="shared" si="20"/>
        <v>2.7934068823392765E-13</v>
      </c>
      <c r="O98" s="10">
        <f t="shared" si="21"/>
        <v>35.734961424451058</v>
      </c>
    </row>
    <row r="99" spans="1:15">
      <c r="A99" s="10">
        <v>3100</v>
      </c>
      <c r="B99" s="10">
        <f t="shared" si="12"/>
        <v>306.79770000000002</v>
      </c>
      <c r="C99" s="10">
        <f t="shared" si="13"/>
        <v>0.1130475479748007</v>
      </c>
      <c r="D99" s="10">
        <f t="shared" si="14"/>
        <v>7.4914479672276338E-2</v>
      </c>
      <c r="E99" s="10">
        <f t="shared" si="15"/>
        <v>1.0440136304084997E-11</v>
      </c>
      <c r="F99" s="10">
        <f t="shared" si="16"/>
        <v>1.0440136304133007E-11</v>
      </c>
      <c r="G99" s="10">
        <f t="shared" si="22"/>
        <v>22.983590060151137</v>
      </c>
      <c r="I99" s="10">
        <v>3450</v>
      </c>
      <c r="J99" s="10">
        <f t="shared" si="17"/>
        <v>341.43615</v>
      </c>
      <c r="K99" s="10">
        <f t="shared" si="18"/>
        <v>0.11444520453364246</v>
      </c>
      <c r="L99" s="10">
        <f t="shared" si="19"/>
        <v>0.10558176155038365</v>
      </c>
      <c r="M99" s="11">
        <f t="shared" si="23"/>
        <v>2.6737362504615144E-13</v>
      </c>
      <c r="N99" s="11">
        <f t="shared" si="20"/>
        <v>2.6737362504723802E-13</v>
      </c>
      <c r="O99" s="10">
        <f t="shared" si="21"/>
        <v>36.049430173981023</v>
      </c>
    </row>
    <row r="100" spans="1:15">
      <c r="A100" s="10">
        <v>3150</v>
      </c>
      <c r="B100" s="10">
        <f t="shared" si="12"/>
        <v>311.74605000000003</v>
      </c>
      <c r="C100" s="10">
        <f t="shared" si="13"/>
        <v>0.11286743840784347</v>
      </c>
      <c r="D100" s="10">
        <f t="shared" si="14"/>
        <v>7.4353390678640108E-2</v>
      </c>
      <c r="E100" s="10">
        <f t="shared" si="15"/>
        <v>9.9231155795730253E-12</v>
      </c>
      <c r="F100" s="10">
        <f t="shared" si="16"/>
        <v>9.9231155796664579E-12</v>
      </c>
      <c r="G100" s="10">
        <f t="shared" si="22"/>
        <v>23.179375848172874</v>
      </c>
      <c r="I100" s="10">
        <v>3500</v>
      </c>
      <c r="J100" s="10">
        <f t="shared" si="17"/>
        <v>346.3845</v>
      </c>
      <c r="K100" s="10">
        <f t="shared" si="18"/>
        <v>0.11429923055434725</v>
      </c>
      <c r="L100" s="10">
        <f t="shared" si="19"/>
        <v>0.10497606039148237</v>
      </c>
      <c r="M100" s="11">
        <f t="shared" si="23"/>
        <v>2.5608046425587086E-13</v>
      </c>
      <c r="N100" s="11">
        <f t="shared" si="20"/>
        <v>2.5608046425640178E-13</v>
      </c>
      <c r="O100" s="10">
        <f t="shared" si="21"/>
        <v>36.362080190673424</v>
      </c>
    </row>
    <row r="101" spans="1:15">
      <c r="A101" s="10">
        <v>3200</v>
      </c>
      <c r="B101" s="10">
        <f t="shared" si="12"/>
        <v>316.69439999999997</v>
      </c>
      <c r="C101" s="10">
        <f t="shared" si="13"/>
        <v>0.11269148144708066</v>
      </c>
      <c r="D101" s="10">
        <f t="shared" si="14"/>
        <v>7.3805238152899272E-2</v>
      </c>
      <c r="E101" s="10">
        <f t="shared" si="15"/>
        <v>9.4392440521890285E-12</v>
      </c>
      <c r="F101" s="10">
        <f t="shared" si="16"/>
        <v>9.4392440522572483E-12</v>
      </c>
      <c r="G101" s="10">
        <f t="shared" si="22"/>
        <v>23.373705613689541</v>
      </c>
      <c r="I101" s="10">
        <v>3550</v>
      </c>
      <c r="J101" s="10">
        <f t="shared" si="17"/>
        <v>351.33285000000001</v>
      </c>
      <c r="K101" s="10">
        <f t="shared" si="18"/>
        <v>0.11415614583963651</v>
      </c>
      <c r="L101" s="10">
        <f t="shared" si="19"/>
        <v>0.1043823478823092</v>
      </c>
      <c r="M101" s="11">
        <f t="shared" si="23"/>
        <v>2.454144299731152E-13</v>
      </c>
      <c r="N101" s="11">
        <f t="shared" si="20"/>
        <v>2.4541442997207719E-13</v>
      </c>
      <c r="O101" s="10">
        <f t="shared" si="21"/>
        <v>36.672947771183154</v>
      </c>
    </row>
    <row r="102" spans="1:15">
      <c r="A102" s="10">
        <v>3250</v>
      </c>
      <c r="B102" s="10">
        <f t="shared" si="12"/>
        <v>321.64274999999998</v>
      </c>
      <c r="C102" s="10">
        <f t="shared" si="13"/>
        <v>0.11251951871281074</v>
      </c>
      <c r="D102" s="10">
        <f t="shared" si="14"/>
        <v>7.3269528700345005E-2</v>
      </c>
      <c r="E102" s="10">
        <f t="shared" si="15"/>
        <v>8.9859272613419377E-12</v>
      </c>
      <c r="F102" s="10">
        <f t="shared" si="16"/>
        <v>8.9859272615191127E-12</v>
      </c>
      <c r="G102" s="10">
        <f t="shared" si="22"/>
        <v>23.566612702382891</v>
      </c>
      <c r="I102" s="10">
        <v>3600</v>
      </c>
      <c r="J102" s="10">
        <f t="shared" si="17"/>
        <v>356.28120000000001</v>
      </c>
      <c r="K102" s="10">
        <f t="shared" si="18"/>
        <v>0.1140158537274187</v>
      </c>
      <c r="L102" s="10">
        <f t="shared" si="19"/>
        <v>0.1038002229353473</v>
      </c>
      <c r="M102" s="11">
        <f t="shared" si="23"/>
        <v>2.3533258885943392E-13</v>
      </c>
      <c r="N102" s="11">
        <f t="shared" si="20"/>
        <v>2.3533258886146396E-13</v>
      </c>
      <c r="O102" s="10">
        <f t="shared" si="21"/>
        <v>36.982067987673062</v>
      </c>
    </row>
    <row r="103" spans="1:15">
      <c r="A103" s="10">
        <v>3300</v>
      </c>
      <c r="B103" s="10">
        <f t="shared" si="12"/>
        <v>326.59109999999998</v>
      </c>
      <c r="C103" s="10">
        <f t="shared" si="13"/>
        <v>0.11235140018203926</v>
      </c>
      <c r="D103" s="10">
        <f t="shared" si="14"/>
        <v>7.2745794959623897E-2</v>
      </c>
      <c r="E103" s="10">
        <f t="shared" si="15"/>
        <v>8.5608094198838752E-12</v>
      </c>
      <c r="F103" s="10">
        <f t="shared" si="16"/>
        <v>8.560809419970188E-12</v>
      </c>
      <c r="G103" s="10">
        <f t="shared" si="22"/>
        <v>23.758129196238023</v>
      </c>
      <c r="I103" s="10">
        <v>3650</v>
      </c>
      <c r="J103" s="10">
        <f t="shared" si="17"/>
        <v>361.22955000000002</v>
      </c>
      <c r="K103" s="10">
        <f t="shared" si="18"/>
        <v>0.11387826207372216</v>
      </c>
      <c r="L103" s="10">
        <f t="shared" si="19"/>
        <v>0.1032293032104654</v>
      </c>
      <c r="M103" s="11">
        <f t="shared" si="23"/>
        <v>2.2579548684937176E-13</v>
      </c>
      <c r="N103" s="11">
        <f t="shared" si="20"/>
        <v>2.2579548684837891E-13</v>
      </c>
      <c r="O103" s="10">
        <f t="shared" si="21"/>
        <v>37.289474745529972</v>
      </c>
    </row>
    <row r="104" spans="1:15">
      <c r="A104" s="10">
        <v>3350</v>
      </c>
      <c r="B104" s="10">
        <f t="shared" si="12"/>
        <v>331.53944999999999</v>
      </c>
      <c r="C104" s="10">
        <f t="shared" si="13"/>
        <v>0.112186983629008</v>
      </c>
      <c r="D104" s="10">
        <f t="shared" si="14"/>
        <v>7.2233593859838033E-2</v>
      </c>
      <c r="E104" s="10">
        <f t="shared" si="15"/>
        <v>8.1617482778085313E-12</v>
      </c>
      <c r="F104" s="10">
        <f t="shared" si="16"/>
        <v>8.1617482778926581E-12</v>
      </c>
      <c r="G104" s="10">
        <f t="shared" si="22"/>
        <v>23.948285979814077</v>
      </c>
      <c r="I104" s="10">
        <v>3700</v>
      </c>
      <c r="J104" s="10">
        <f t="shared" si="17"/>
        <v>366.17790000000002</v>
      </c>
      <c r="K104" s="10">
        <f t="shared" si="18"/>
        <v>0.11374328298311709</v>
      </c>
      <c r="L104" s="10">
        <f t="shared" si="19"/>
        <v>0.10266922399633648</v>
      </c>
      <c r="M104" s="11">
        <f t="shared" si="23"/>
        <v>2.1676682459838554E-13</v>
      </c>
      <c r="N104" s="11">
        <f t="shared" si="20"/>
        <v>2.1676682460032854E-13</v>
      </c>
      <c r="O104" s="10">
        <f t="shared" si="21"/>
        <v>37.595200837608104</v>
      </c>
    </row>
    <row r="105" spans="1:15">
      <c r="A105" s="10">
        <v>3400</v>
      </c>
      <c r="B105" s="10">
        <f t="shared" si="12"/>
        <v>336.48779999999999</v>
      </c>
      <c r="C105" s="10">
        <f t="shared" si="13"/>
        <v>0.11202613411088155</v>
      </c>
      <c r="D105" s="10">
        <f t="shared" si="14"/>
        <v>7.1732505018322623E-2</v>
      </c>
      <c r="E105" s="10">
        <f t="shared" si="15"/>
        <v>7.7867929584989382E-12</v>
      </c>
      <c r="F105" s="10">
        <f t="shared" si="16"/>
        <v>7.7867929586629962E-12</v>
      </c>
      <c r="G105" s="10">
        <f t="shared" si="22"/>
        <v>24.13711280210434</v>
      </c>
      <c r="I105" s="10">
        <v>3750</v>
      </c>
      <c r="J105" s="10">
        <f t="shared" si="17"/>
        <v>371.12624999999997</v>
      </c>
      <c r="K105" s="10">
        <f t="shared" si="18"/>
        <v>0.11361083255861296</v>
      </c>
      <c r="L105" s="10">
        <f t="shared" si="19"/>
        <v>0.10211963717266788</v>
      </c>
      <c r="M105" s="11">
        <f t="shared" si="23"/>
        <v>2.08213167076498E-13</v>
      </c>
      <c r="N105" s="11">
        <f t="shared" si="20"/>
        <v>2.0821316707839969E-13</v>
      </c>
      <c r="O105" s="10">
        <f t="shared" si="21"/>
        <v>37.899277995252831</v>
      </c>
    </row>
    <row r="106" spans="1:15">
      <c r="A106" s="10">
        <v>3450</v>
      </c>
      <c r="B106" s="10">
        <f t="shared" si="12"/>
        <v>341.43615</v>
      </c>
      <c r="C106" s="10">
        <f t="shared" si="13"/>
        <v>0.11186872349434282</v>
      </c>
      <c r="D106" s="10">
        <f t="shared" si="14"/>
        <v>7.1242129265865511E-2</v>
      </c>
      <c r="E106" s="10">
        <f t="shared" si="15"/>
        <v>7.4341643784738027E-12</v>
      </c>
      <c r="F106" s="10">
        <f t="shared" si="16"/>
        <v>7.4341643784938086E-12</v>
      </c>
      <c r="G106" s="10">
        <f t="shared" si="22"/>
        <v>24.324638334339447</v>
      </c>
      <c r="I106" s="10">
        <v>3800</v>
      </c>
      <c r="J106" s="10">
        <f t="shared" si="17"/>
        <v>376.07459999999998</v>
      </c>
      <c r="K106" s="10">
        <f t="shared" si="18"/>
        <v>0.11348083066938568</v>
      </c>
      <c r="L106" s="10">
        <f t="shared" si="19"/>
        <v>0.1015802102464136</v>
      </c>
      <c r="M106" s="11">
        <f t="shared" si="23"/>
        <v>2.0010368331246162E-13</v>
      </c>
      <c r="N106" s="11">
        <f t="shared" si="20"/>
        <v>2.0010368331153069E-13</v>
      </c>
      <c r="O106" s="10">
        <f t="shared" si="21"/>
        <v>38.201736936335891</v>
      </c>
    </row>
    <row r="107" spans="1:15">
      <c r="A107" s="10">
        <v>3500</v>
      </c>
      <c r="B107" s="10">
        <f t="shared" si="12"/>
        <v>346.3845</v>
      </c>
      <c r="C107" s="10">
        <f t="shared" si="13"/>
        <v>0.11171463001930382</v>
      </c>
      <c r="D107" s="10">
        <f t="shared" si="14"/>
        <v>7.0762087287550859E-2</v>
      </c>
      <c r="E107" s="10">
        <f t="shared" si="15"/>
        <v>7.1022379175217366E-12</v>
      </c>
      <c r="F107" s="10">
        <f t="shared" si="16"/>
        <v>7.1022379175607724E-12</v>
      </c>
      <c r="G107" s="10">
        <f t="shared" si="22"/>
        <v>24.510890224054659</v>
      </c>
      <c r="I107" s="10">
        <v>3850</v>
      </c>
      <c r="J107" s="10">
        <f t="shared" si="17"/>
        <v>381.02294999999998</v>
      </c>
      <c r="K107" s="10">
        <f t="shared" si="18"/>
        <v>0.1133532007348481</v>
      </c>
      <c r="L107" s="10">
        <f t="shared" si="19"/>
        <v>0.10105062545580125</v>
      </c>
      <c r="M107" s="11">
        <f t="shared" si="23"/>
        <v>1.9240991282118186E-13</v>
      </c>
      <c r="N107" s="11">
        <f t="shared" si="20"/>
        <v>1.924099128239168E-13</v>
      </c>
      <c r="O107" s="10">
        <f t="shared" si="21"/>
        <v>38.502607410514486</v>
      </c>
    </row>
    <row r="108" spans="1:15">
      <c r="A108" s="10">
        <v>3550</v>
      </c>
      <c r="B108" s="10">
        <f t="shared" si="12"/>
        <v>351.33285000000001</v>
      </c>
      <c r="C108" s="10">
        <f t="shared" si="13"/>
        <v>0.11156373789633903</v>
      </c>
      <c r="D108" s="10">
        <f t="shared" si="14"/>
        <v>7.0292018368657422E-2</v>
      </c>
      <c r="E108" s="10">
        <f t="shared" si="15"/>
        <v>6.7895280529724272E-12</v>
      </c>
      <c r="F108" s="10">
        <f t="shared" si="16"/>
        <v>6.7895280529152702E-12</v>
      </c>
      <c r="G108" s="10">
        <f t="shared" si="22"/>
        <v>24.695895145712765</v>
      </c>
      <c r="I108" s="10">
        <v>3900</v>
      </c>
      <c r="J108" s="10">
        <f t="shared" si="17"/>
        <v>385.97129999999999</v>
      </c>
      <c r="K108" s="10">
        <f t="shared" si="18"/>
        <v>0.11322786952371831</v>
      </c>
      <c r="L108" s="10">
        <f t="shared" si="19"/>
        <v>0.10053057893659052</v>
      </c>
      <c r="M108" s="11">
        <f t="shared" si="23"/>
        <v>1.8510555566640604E-13</v>
      </c>
      <c r="N108" s="11">
        <f t="shared" si="20"/>
        <v>1.8510555566863863E-13</v>
      </c>
      <c r="O108" s="10">
        <f t="shared" si="21"/>
        <v>38.80191824190846</v>
      </c>
    </row>
    <row r="109" spans="1:15">
      <c r="A109" s="10">
        <v>3600</v>
      </c>
      <c r="B109" s="10">
        <f t="shared" si="12"/>
        <v>356.28120000000001</v>
      </c>
      <c r="C109" s="10">
        <f t="shared" si="13"/>
        <v>0.11141593693480087</v>
      </c>
      <c r="D109" s="10">
        <f t="shared" si="14"/>
        <v>6.9831579236139807E-2</v>
      </c>
      <c r="E109" s="10">
        <f t="shared" si="15"/>
        <v>6.4946747114821754E-12</v>
      </c>
      <c r="F109" s="10">
        <f t="shared" si="16"/>
        <v>6.4946747114821746E-12</v>
      </c>
      <c r="G109" s="10">
        <f t="shared" si="22"/>
        <v>24.879678848146973</v>
      </c>
      <c r="I109" s="10">
        <v>3950</v>
      </c>
      <c r="J109" s="10">
        <f t="shared" si="17"/>
        <v>390.91964999999999</v>
      </c>
      <c r="K109" s="10">
        <f t="shared" si="18"/>
        <v>0.11310476696686675</v>
      </c>
      <c r="L109" s="10">
        <f t="shared" si="19"/>
        <v>0.10001977994550519</v>
      </c>
      <c r="M109" s="11">
        <f t="shared" si="23"/>
        <v>1.781662835076525E-13</v>
      </c>
      <c r="N109" s="11">
        <f t="shared" si="20"/>
        <v>1.781662835102775E-13</v>
      </c>
      <c r="O109" s="10">
        <f t="shared" si="21"/>
        <v>39.099697369373906</v>
      </c>
    </row>
    <row r="110" spans="1:15">
      <c r="A110" s="10">
        <v>3650</v>
      </c>
      <c r="B110" s="10">
        <f t="shared" si="12"/>
        <v>361.22955000000002</v>
      </c>
      <c r="C110" s="10">
        <f t="shared" si="13"/>
        <v>0.11127112219888964</v>
      </c>
      <c r="D110" s="10">
        <f t="shared" si="14"/>
        <v>6.9380442987195173E-2</v>
      </c>
      <c r="E110" s="10">
        <f t="shared" si="15"/>
        <v>6.2164311263267802E-12</v>
      </c>
      <c r="F110" s="10">
        <f t="shared" si="16"/>
        <v>6.2164311263994646E-12</v>
      </c>
      <c r="G110" s="10">
        <f t="shared" si="22"/>
        <v>25.062266199065171</v>
      </c>
      <c r="I110" s="10">
        <v>4000</v>
      </c>
      <c r="J110" s="10">
        <f t="shared" si="17"/>
        <v>395.86799999999999</v>
      </c>
      <c r="K110" s="10">
        <f t="shared" si="18"/>
        <v>0.11298382598283653</v>
      </c>
      <c r="L110" s="10">
        <f t="shared" si="19"/>
        <v>9.9517950136251171E-2</v>
      </c>
      <c r="M110" s="11">
        <f t="shared" si="23"/>
        <v>1.7156956929834103E-13</v>
      </c>
      <c r="N110" s="11">
        <f t="shared" si="20"/>
        <v>1.7156956929791224E-13</v>
      </c>
      <c r="O110" s="10">
        <f t="shared" si="21"/>
        <v>39.395971884537481</v>
      </c>
    </row>
    <row r="111" spans="1:15">
      <c r="A111" s="10">
        <v>3700</v>
      </c>
      <c r="B111" s="10">
        <f t="shared" si="12"/>
        <v>366.17790000000002</v>
      </c>
      <c r="C111" s="10">
        <f t="shared" si="13"/>
        <v>0.11112919368922615</v>
      </c>
      <c r="D111" s="10">
        <f t="shared" si="14"/>
        <v>6.893829809727775E-2</v>
      </c>
      <c r="E111" s="10">
        <f t="shared" si="15"/>
        <v>5.9536530155830252E-12</v>
      </c>
      <c r="F111" s="10">
        <f t="shared" si="16"/>
        <v>5.9536530156717977E-12</v>
      </c>
      <c r="G111" s="10">
        <f t="shared" si="22"/>
        <v>25.243681226835164</v>
      </c>
      <c r="I111" s="10">
        <v>4050</v>
      </c>
      <c r="J111" s="10">
        <f t="shared" si="17"/>
        <v>400.81635</v>
      </c>
      <c r="K111" s="10">
        <f t="shared" si="18"/>
        <v>0.11286498231503239</v>
      </c>
      <c r="L111" s="10">
        <f t="shared" si="19"/>
        <v>9.9024822883951841E-2</v>
      </c>
      <c r="M111" s="11">
        <f t="shared" si="23"/>
        <v>1.6529453359157672E-13</v>
      </c>
      <c r="N111" s="11">
        <f t="shared" si="20"/>
        <v>1.6529453359199708E-13</v>
      </c>
      <c r="O111" s="10">
        <f t="shared" si="21"/>
        <v>39.690768067742049</v>
      </c>
    </row>
    <row r="112" spans="1:15">
      <c r="A112" s="10">
        <v>3750</v>
      </c>
      <c r="B112" s="10">
        <f t="shared" si="12"/>
        <v>371.12624999999997</v>
      </c>
      <c r="C112" s="10">
        <f t="shared" si="13"/>
        <v>0.11099005604772019</v>
      </c>
      <c r="D112" s="10">
        <f t="shared" si="14"/>
        <v>6.8504847500685986E-2</v>
      </c>
      <c r="E112" s="10">
        <f t="shared" si="15"/>
        <v>5.7052889226631372E-12</v>
      </c>
      <c r="F112" s="10">
        <f t="shared" si="16"/>
        <v>5.7052889226804886E-12</v>
      </c>
      <c r="G112" s="10">
        <f t="shared" si="22"/>
        <v>25.42394715975146</v>
      </c>
      <c r="I112" s="10">
        <v>4100</v>
      </c>
      <c r="J112" s="10">
        <f t="shared" si="17"/>
        <v>405.7647</v>
      </c>
      <c r="K112" s="10">
        <f t="shared" si="18"/>
        <v>0.11274817437966489</v>
      </c>
      <c r="L112" s="10">
        <f t="shared" si="19"/>
        <v>9.8540142654211169E-2</v>
      </c>
      <c r="M112" s="11">
        <f t="shared" si="23"/>
        <v>1.5932180565167569E-13</v>
      </c>
      <c r="N112" s="11">
        <f t="shared" si="20"/>
        <v>1.5932180564961481E-13</v>
      </c>
      <c r="O112" s="10">
        <f t="shared" si="21"/>
        <v>39.984111422043199</v>
      </c>
    </row>
    <row r="113" spans="1:15">
      <c r="A113" s="10">
        <v>3800</v>
      </c>
      <c r="B113" s="10">
        <f t="shared" si="12"/>
        <v>376.07459999999998</v>
      </c>
      <c r="C113" s="10">
        <f t="shared" si="13"/>
        <v>0.11085361828374568</v>
      </c>
      <c r="D113" s="10">
        <f t="shared" si="14"/>
        <v>6.8079807737525505E-2</v>
      </c>
      <c r="E113" s="10">
        <f t="shared" si="15"/>
        <v>5.4703715805742784E-12</v>
      </c>
      <c r="F113" s="10">
        <f t="shared" si="16"/>
        <v>5.4703715805912437E-12</v>
      </c>
      <c r="G113" s="10">
        <f t="shared" si="22"/>
        <v>25.603086462966807</v>
      </c>
      <c r="I113" s="10">
        <v>4150</v>
      </c>
      <c r="J113" s="10">
        <f t="shared" si="17"/>
        <v>410.71305000000001</v>
      </c>
      <c r="K113" s="10">
        <f t="shared" si="18"/>
        <v>0.1126333431236177</v>
      </c>
      <c r="L113" s="10">
        <f t="shared" si="19"/>
        <v>9.8063664413351445E-2</v>
      </c>
      <c r="M113" s="11">
        <f t="shared" si="23"/>
        <v>1.536333977835211E-13</v>
      </c>
      <c r="N113" s="11">
        <f t="shared" si="20"/>
        <v>1.5363339778554245E-13</v>
      </c>
      <c r="O113" s="10">
        <f t="shared" si="21"/>
        <v>40.276026705384034</v>
      </c>
    </row>
    <row r="114" spans="1:15">
      <c r="A114" s="10">
        <v>3850</v>
      </c>
      <c r="B114" s="10">
        <f t="shared" si="12"/>
        <v>381.02294999999998</v>
      </c>
      <c r="C114" s="10">
        <f t="shared" si="13"/>
        <v>0.11071979351982694</v>
      </c>
      <c r="D114" s="10">
        <f t="shared" si="14"/>
        <v>6.7662908161454677E-2</v>
      </c>
      <c r="E114" s="10">
        <f t="shared" si="15"/>
        <v>5.2480101798512152E-12</v>
      </c>
      <c r="F114" s="10">
        <f t="shared" si="16"/>
        <v>5.24801017993417E-12</v>
      </c>
      <c r="G114" s="10">
        <f t="shared" si="22"/>
        <v>25.781120873256537</v>
      </c>
      <c r="I114" s="10">
        <v>4200</v>
      </c>
      <c r="J114" s="10">
        <f t="shared" si="17"/>
        <v>415.66140000000001</v>
      </c>
      <c r="K114" s="10">
        <f t="shared" si="18"/>
        <v>0.11252043189148002</v>
      </c>
      <c r="L114" s="10">
        <f t="shared" si="19"/>
        <v>9.7595153076680582E-2</v>
      </c>
      <c r="M114" s="11">
        <f t="shared" si="23"/>
        <v>1.4821259149066744E-13</v>
      </c>
      <c r="N114" s="11">
        <f t="shared" si="20"/>
        <v>1.4821259149185727E-13</v>
      </c>
      <c r="O114" s="10">
        <f t="shared" si="21"/>
        <v>40.566537961067361</v>
      </c>
    </row>
    <row r="115" spans="1:15">
      <c r="A115" s="10">
        <v>3900</v>
      </c>
      <c r="B115" s="10">
        <f t="shared" si="12"/>
        <v>385.97129999999999</v>
      </c>
      <c r="C115" s="10">
        <f t="shared" si="13"/>
        <v>0.11058849875521261</v>
      </c>
      <c r="D115" s="10">
        <f t="shared" si="14"/>
        <v>6.7253890203154559E-2</v>
      </c>
      <c r="E115" s="10">
        <f t="shared" si="15"/>
        <v>5.0373834352719753E-12</v>
      </c>
      <c r="F115" s="10">
        <f t="shared" si="16"/>
        <v>5.0373834353368985E-12</v>
      </c>
      <c r="G115" s="10">
        <f t="shared" si="22"/>
        <v>25.958071431768829</v>
      </c>
      <c r="I115" s="10">
        <v>4250</v>
      </c>
      <c r="J115" s="10">
        <f t="shared" si="17"/>
        <v>420.60975000000002</v>
      </c>
      <c r="K115" s="10">
        <f t="shared" si="18"/>
        <v>0.11240938630105173</v>
      </c>
      <c r="L115" s="10">
        <f t="shared" si="19"/>
        <v>9.7134382991915888E-2</v>
      </c>
      <c r="M115" s="11">
        <f t="shared" si="23"/>
        <v>1.430438342097133E-13</v>
      </c>
      <c r="N115" s="11">
        <f t="shared" si="20"/>
        <v>1.4304383421204825E-13</v>
      </c>
      <c r="O115" s="10">
        <f t="shared" si="21"/>
        <v>40.855668546633993</v>
      </c>
    </row>
    <row r="116" spans="1:15">
      <c r="A116" s="10">
        <v>3950</v>
      </c>
      <c r="B116" s="10">
        <f t="shared" si="12"/>
        <v>390.91964999999999</v>
      </c>
      <c r="C116" s="10">
        <f t="shared" si="13"/>
        <v>0.11045965464586815</v>
      </c>
      <c r="D116" s="10">
        <f t="shared" si="14"/>
        <v>6.6852506684947549E-2</v>
      </c>
      <c r="E116" s="10">
        <f t="shared" si="15"/>
        <v>4.8377333600095992E-12</v>
      </c>
      <c r="F116" s="10">
        <f t="shared" si="16"/>
        <v>4.8377333600413641E-12</v>
      </c>
      <c r="G116" s="10">
        <f t="shared" si="22"/>
        <v>26.133958514902357</v>
      </c>
      <c r="I116" s="10">
        <v>4300</v>
      </c>
      <c r="J116" s="10">
        <f t="shared" si="17"/>
        <v>425.55810000000002</v>
      </c>
      <c r="K116" s="10">
        <f t="shared" si="18"/>
        <v>0.11230015412668898</v>
      </c>
      <c r="L116" s="10">
        <f t="shared" si="19"/>
        <v>9.6681137455140995E-2</v>
      </c>
      <c r="M116" s="11">
        <f t="shared" si="23"/>
        <v>1.3811264554457873E-13</v>
      </c>
      <c r="N116" s="11">
        <f t="shared" si="20"/>
        <v>1.3811264554496069E-13</v>
      </c>
      <c r="O116" s="10">
        <f t="shared" si="21"/>
        <v>41.143441161248639</v>
      </c>
    </row>
    <row r="117" spans="1:15">
      <c r="A117" s="10">
        <v>4000</v>
      </c>
      <c r="B117" s="10">
        <f t="shared" si="12"/>
        <v>395.86799999999999</v>
      </c>
      <c r="C117" s="10">
        <f t="shared" si="13"/>
        <v>0.1103331852995553</v>
      </c>
      <c r="D117" s="10">
        <f t="shared" si="14"/>
        <v>6.6458521182415284E-2</v>
      </c>
      <c r="E117" s="10">
        <f t="shared" si="15"/>
        <v>4.6483596671162236E-12</v>
      </c>
      <c r="F117" s="10">
        <f t="shared" si="16"/>
        <v>4.6483596671784027E-12</v>
      </c>
      <c r="G117" s="10">
        <f t="shared" si="22"/>
        <v>26.308801863440372</v>
      </c>
      <c r="I117" s="10">
        <v>4350</v>
      </c>
      <c r="J117" s="10">
        <f t="shared" si="17"/>
        <v>430.50644999999997</v>
      </c>
      <c r="K117" s="10">
        <f t="shared" si="18"/>
        <v>0.11219268518991171</v>
      </c>
      <c r="L117" s="10">
        <f t="shared" si="19"/>
        <v>9.6235208256895077E-2</v>
      </c>
      <c r="M117" s="11">
        <f t="shared" si="23"/>
        <v>1.3340553201356185E-13</v>
      </c>
      <c r="N117" s="11">
        <f t="shared" si="20"/>
        <v>1.334055320158115E-13</v>
      </c>
      <c r="O117" s="10">
        <f t="shared" si="21"/>
        <v>41.429877871686585</v>
      </c>
    </row>
    <row r="118" spans="1:15">
      <c r="A118" s="10">
        <v>4050</v>
      </c>
      <c r="B118" s="10">
        <f t="shared" si="12"/>
        <v>400.81635</v>
      </c>
      <c r="C118" s="10">
        <f t="shared" si="13"/>
        <v>0.11020901808478963</v>
      </c>
      <c r="D118" s="10">
        <f t="shared" si="14"/>
        <v>6.6071707429251197E-2</v>
      </c>
      <c r="E118" s="10">
        <f t="shared" si="15"/>
        <v>4.4686147282733251E-12</v>
      </c>
      <c r="F118" s="10">
        <f t="shared" si="16"/>
        <v>4.4686147283342021E-12</v>
      </c>
      <c r="G118" s="10">
        <f t="shared" si="22"/>
        <v>26.482620610060348</v>
      </c>
      <c r="I118" s="10">
        <v>4400</v>
      </c>
      <c r="J118" s="10">
        <f t="shared" si="17"/>
        <v>435.45479999999998</v>
      </c>
      <c r="K118" s="10">
        <f t="shared" si="18"/>
        <v>0.11208693125674365</v>
      </c>
      <c r="L118" s="10">
        <f t="shared" si="19"/>
        <v>9.579639525619775E-2</v>
      </c>
      <c r="M118" s="11">
        <f t="shared" si="23"/>
        <v>1.2890990946116863E-13</v>
      </c>
      <c r="N118" s="11">
        <f t="shared" si="20"/>
        <v>1.2890990946227308E-13</v>
      </c>
      <c r="O118" s="10">
        <f t="shared" si="21"/>
        <v>41.715000137008538</v>
      </c>
    </row>
    <row r="119" spans="1:15">
      <c r="A119" s="10">
        <v>4100</v>
      </c>
      <c r="B119" s="10">
        <f t="shared" si="12"/>
        <v>405.7647</v>
      </c>
      <c r="C119" s="10">
        <f t="shared" si="13"/>
        <v>0.11008708345257856</v>
      </c>
      <c r="D119" s="10">
        <f t="shared" si="14"/>
        <v>6.5691848761927005E-2</v>
      </c>
      <c r="E119" s="10">
        <f t="shared" si="15"/>
        <v>4.297899028401287E-12</v>
      </c>
      <c r="F119" s="10">
        <f t="shared" si="16"/>
        <v>4.2978990284012862E-12</v>
      </c>
      <c r="G119" s="10">
        <f t="shared" si="22"/>
        <v>26.655433305328682</v>
      </c>
      <c r="I119" s="10">
        <v>4450</v>
      </c>
      <c r="J119" s="10">
        <f t="shared" si="17"/>
        <v>440.40314999999998</v>
      </c>
      <c r="K119" s="10">
        <f t="shared" si="18"/>
        <v>0.11198284594129881</v>
      </c>
      <c r="L119" s="10">
        <f t="shared" si="19"/>
        <v>9.5364505980493008E-2</v>
      </c>
      <c r="M119" s="11">
        <f t="shared" si="23"/>
        <v>1.246140323616108E-13</v>
      </c>
      <c r="N119" s="11">
        <f t="shared" si="20"/>
        <v>1.2461403236197237E-13</v>
      </c>
      <c r="O119" s="10">
        <f t="shared" si="21"/>
        <v>41.998828832002957</v>
      </c>
    </row>
    <row r="120" spans="1:15">
      <c r="A120" s="10">
        <v>4150</v>
      </c>
      <c r="B120" s="10">
        <f t="shared" si="12"/>
        <v>410.71305000000001</v>
      </c>
      <c r="C120" s="10">
        <f t="shared" si="13"/>
        <v>0.10996731476994041</v>
      </c>
      <c r="D120" s="10">
        <f t="shared" si="14"/>
        <v>6.5318737601060495E-2</v>
      </c>
      <c r="E120" s="10">
        <f t="shared" si="15"/>
        <v>4.1356570619128557E-12</v>
      </c>
      <c r="F120" s="10">
        <f t="shared" si="16"/>
        <v>4.1356570619858528E-12</v>
      </c>
      <c r="G120" s="10">
        <f t="shared" si="22"/>
        <v>26.827257942281239</v>
      </c>
      <c r="I120" s="10">
        <v>4500</v>
      </c>
      <c r="J120" s="10">
        <f t="shared" si="17"/>
        <v>445.35149999999999</v>
      </c>
      <c r="K120" s="10">
        <f t="shared" si="18"/>
        <v>0.11188038461516964</v>
      </c>
      <c r="L120" s="10">
        <f t="shared" si="19"/>
        <v>9.4939355249666554E-2</v>
      </c>
      <c r="M120" s="11">
        <f t="shared" si="23"/>
        <v>1.2050692933340604E-13</v>
      </c>
      <c r="N120" s="11">
        <f t="shared" si="20"/>
        <v>1.2050692933518182E-13</v>
      </c>
      <c r="O120" s="10">
        <f t="shared" si="21"/>
        <v>42.281384269471872</v>
      </c>
    </row>
    <row r="121" spans="1:15">
      <c r="A121" s="10">
        <v>4200</v>
      </c>
      <c r="B121" s="10">
        <f t="shared" si="12"/>
        <v>415.66140000000001</v>
      </c>
      <c r="C121" s="10">
        <f t="shared" si="13"/>
        <v>0.10984964816429479</v>
      </c>
      <c r="D121" s="10">
        <f t="shared" si="14"/>
        <v>6.4952174966650469E-2</v>
      </c>
      <c r="E121" s="10">
        <f t="shared" si="15"/>
        <v>3.9813736231223203E-12</v>
      </c>
      <c r="F121" s="10">
        <f t="shared" si="16"/>
        <v>3.9813736231795371E-12</v>
      </c>
      <c r="G121" s="10">
        <f t="shared" si="22"/>
        <v>26.998111979682889</v>
      </c>
      <c r="I121" s="10">
        <v>4550</v>
      </c>
      <c r="J121" s="10">
        <f t="shared" si="17"/>
        <v>450.29984999999999</v>
      </c>
      <c r="K121" s="10">
        <f t="shared" si="18"/>
        <v>0.11177950432220708</v>
      </c>
      <c r="L121" s="10">
        <f t="shared" si="19"/>
        <v>9.4520764822436029E-2</v>
      </c>
      <c r="M121" s="11">
        <f t="shared" si="23"/>
        <v>1.165783442624526E-13</v>
      </c>
      <c r="N121" s="11">
        <f t="shared" si="20"/>
        <v>1.1657834426315043E-13</v>
      </c>
      <c r="O121" s="10">
        <f t="shared" si="21"/>
        <v>42.562686221428223</v>
      </c>
    </row>
    <row r="122" spans="1:15">
      <c r="A122" s="10">
        <v>4250</v>
      </c>
      <c r="B122" s="10">
        <f t="shared" si="12"/>
        <v>420.60975000000002</v>
      </c>
      <c r="C122" s="10">
        <f t="shared" si="13"/>
        <v>0.1097340223778943</v>
      </c>
      <c r="D122" s="10">
        <f t="shared" si="14"/>
        <v>6.4591970024592854E-2</v>
      </c>
      <c r="E122" s="10">
        <f t="shared" si="15"/>
        <v>3.8345704486597636E-12</v>
      </c>
      <c r="F122" s="10">
        <f t="shared" si="16"/>
        <v>3.8345704487298566E-12</v>
      </c>
      <c r="G122" s="10">
        <f t="shared" si="22"/>
        <v>27.168012364051496</v>
      </c>
      <c r="I122" s="10">
        <v>4600</v>
      </c>
      <c r="J122" s="10">
        <f t="shared" si="17"/>
        <v>455.2482</v>
      </c>
      <c r="K122" s="10">
        <f t="shared" si="18"/>
        <v>0.11168016369831686</v>
      </c>
      <c r="L122" s="10">
        <f t="shared" si="19"/>
        <v>9.4108563063555459E-2</v>
      </c>
      <c r="M122" s="11">
        <f t="shared" si="23"/>
        <v>1.1281868248423383E-13</v>
      </c>
      <c r="N122" s="11">
        <f t="shared" si="20"/>
        <v>1.1281868248560536E-13</v>
      </c>
      <c r="O122" s="10">
        <f t="shared" si="21"/>
        <v>42.842753939270111</v>
      </c>
    </row>
    <row r="123" spans="1:15">
      <c r="A123" s="10">
        <v>4300</v>
      </c>
      <c r="B123" s="10">
        <f t="shared" si="12"/>
        <v>425.55810000000002</v>
      </c>
      <c r="C123" s="10">
        <f t="shared" si="13"/>
        <v>0.10962037863154055</v>
      </c>
      <c r="D123" s="10">
        <f t="shared" si="14"/>
        <v>6.4237939662120103E-2</v>
      </c>
      <c r="E123" s="10">
        <f t="shared" si="15"/>
        <v>3.694803175126436E-12</v>
      </c>
      <c r="F123" s="10">
        <f t="shared" si="16"/>
        <v>3.6948031752363711E-12</v>
      </c>
      <c r="G123" s="10">
        <f t="shared" si="22"/>
        <v>27.336975550526475</v>
      </c>
      <c r="I123" s="10">
        <v>4650</v>
      </c>
      <c r="J123" s="10">
        <f t="shared" si="17"/>
        <v>460.19655</v>
      </c>
      <c r="K123" s="10">
        <f t="shared" si="18"/>
        <v>0.11158232289592555</v>
      </c>
      <c r="L123" s="10">
        <f t="shared" si="19"/>
        <v>9.3702584630396504E-2</v>
      </c>
      <c r="M123" s="11">
        <f t="shared" si="23"/>
        <v>1.092189615459057E-13</v>
      </c>
      <c r="N123" s="11">
        <f t="shared" si="20"/>
        <v>1.0921896154759071E-13</v>
      </c>
      <c r="O123" s="10">
        <f t="shared" si="21"/>
        <v>43.121606172991498</v>
      </c>
    </row>
    <row r="124" spans="1:15">
      <c r="A124" s="10">
        <v>4350</v>
      </c>
      <c r="B124" s="10">
        <f t="shared" si="12"/>
        <v>430.50644999999997</v>
      </c>
      <c r="C124" s="10">
        <f t="shared" si="13"/>
        <v>0.10950866049689165</v>
      </c>
      <c r="D124" s="10">
        <f t="shared" si="14"/>
        <v>6.3889908090005151E-2</v>
      </c>
      <c r="E124" s="10">
        <f t="shared" si="15"/>
        <v>3.5616585787745931E-12</v>
      </c>
      <c r="F124" s="10">
        <f t="shared" si="16"/>
        <v>3.5616585788554343E-12</v>
      </c>
      <c r="G124" s="10">
        <f t="shared" si="22"/>
        <v>27.505017522654395</v>
      </c>
      <c r="I124" s="10">
        <v>4700</v>
      </c>
      <c r="J124" s="10">
        <f t="shared" si="17"/>
        <v>465.14490000000001</v>
      </c>
      <c r="K124" s="10">
        <f t="shared" si="18"/>
        <v>0.11148594351279771</v>
      </c>
      <c r="L124" s="10">
        <f t="shared" si="19"/>
        <v>9.3302670177583868E-2</v>
      </c>
      <c r="M124" s="11">
        <f t="shared" si="23"/>
        <v>1.0577076611331096E-13</v>
      </c>
      <c r="N124" s="11">
        <f t="shared" si="20"/>
        <v>1.0577076611596127E-13</v>
      </c>
      <c r="O124" s="10">
        <f t="shared" si="21"/>
        <v>43.39926118948523</v>
      </c>
    </row>
    <row r="125" spans="1:15">
      <c r="A125" s="10">
        <v>4400</v>
      </c>
      <c r="B125" s="10">
        <f t="shared" si="12"/>
        <v>435.45479999999998</v>
      </c>
      <c r="C125" s="10">
        <f t="shared" si="13"/>
        <v>0.10939881377672821</v>
      </c>
      <c r="D125" s="10">
        <f t="shared" si="14"/>
        <v>6.3547706469558304E-2</v>
      </c>
      <c r="E125" s="10">
        <f t="shared" si="15"/>
        <v>3.4347520685508771E-12</v>
      </c>
      <c r="F125" s="10">
        <f t="shared" si="16"/>
        <v>3.4347520685773049E-12</v>
      </c>
      <c r="G125" s="10">
        <f t="shared" si="22"/>
        <v>27.672153811160214</v>
      </c>
      <c r="I125" s="10">
        <v>4750</v>
      </c>
      <c r="J125" s="10">
        <f t="shared" si="17"/>
        <v>470.09325000000001</v>
      </c>
      <c r="K125" s="10">
        <f t="shared" si="18"/>
        <v>0.11139098852491031</v>
      </c>
      <c r="L125" s="10">
        <f t="shared" si="19"/>
        <v>9.2908666078466012E-2</v>
      </c>
      <c r="M125" s="11">
        <f t="shared" si="23"/>
        <v>1.0246620663349412E-13</v>
      </c>
      <c r="N125" s="11">
        <f t="shared" si="20"/>
        <v>1.0246620663479703E-13</v>
      </c>
      <c r="O125" s="10">
        <f t="shared" si="21"/>
        <v>43.675736789990843</v>
      </c>
    </row>
    <row r="126" spans="1:15">
      <c r="A126" s="10">
        <v>4450</v>
      </c>
      <c r="B126" s="10">
        <f t="shared" si="12"/>
        <v>440.40314999999998</v>
      </c>
      <c r="C126" s="10">
        <f t="shared" si="13"/>
        <v>0.10929078639259765</v>
      </c>
      <c r="D126" s="10">
        <f t="shared" si="14"/>
        <v>6.3211172562609524E-2</v>
      </c>
      <c r="E126" s="10">
        <f t="shared" si="15"/>
        <v>3.3137254063970647E-12</v>
      </c>
      <c r="F126" s="10">
        <f t="shared" si="16"/>
        <v>3.3137254064877961E-12</v>
      </c>
      <c r="G126" s="10">
        <f t="shared" si="22"/>
        <v>27.838399511766806</v>
      </c>
      <c r="I126" s="10">
        <v>4800</v>
      </c>
      <c r="J126" s="10">
        <f t="shared" si="17"/>
        <v>475.04160000000002</v>
      </c>
      <c r="K126" s="10">
        <f t="shared" si="18"/>
        <v>0.11129742222311297</v>
      </c>
      <c r="L126" s="10">
        <f t="shared" si="19"/>
        <v>9.2520424162294473E-2</v>
      </c>
      <c r="M126" s="11">
        <f t="shared" si="23"/>
        <v>9.9297881405731043E-14</v>
      </c>
      <c r="N126" s="11">
        <f t="shared" si="20"/>
        <v>9.9297881406371674E-14</v>
      </c>
      <c r="O126" s="10">
        <f t="shared" si="21"/>
        <v>43.951050326735029</v>
      </c>
    </row>
    <row r="127" spans="1:15">
      <c r="A127" s="10">
        <v>4500</v>
      </c>
      <c r="B127" s="10">
        <f t="shared" si="12"/>
        <v>445.35149999999999</v>
      </c>
      <c r="C127" s="10">
        <f t="shared" si="13"/>
        <v>0.10918452827930512</v>
      </c>
      <c r="D127" s="10">
        <f t="shared" si="14"/>
        <v>6.2880150402819718E-2</v>
      </c>
      <c r="E127" s="10">
        <f t="shared" si="15"/>
        <v>3.1982446322429451E-12</v>
      </c>
      <c r="F127" s="10">
        <f t="shared" si="16"/>
        <v>3.1982446323065305E-12</v>
      </c>
      <c r="G127" s="10">
        <f t="shared" si="22"/>
        <v>28.003769302121366</v>
      </c>
      <c r="I127" s="10">
        <v>4850</v>
      </c>
      <c r="J127" s="10">
        <f t="shared" si="17"/>
        <v>479.98995000000002</v>
      </c>
      <c r="K127" s="10">
        <f t="shared" si="18"/>
        <v>0.11120521015332385</v>
      </c>
      <c r="L127" s="10">
        <f t="shared" si="19"/>
        <v>9.2137801466074087E-2</v>
      </c>
      <c r="M127" s="11">
        <f t="shared" si="23"/>
        <v>9.6258841746753276E-14</v>
      </c>
      <c r="N127" s="11">
        <f t="shared" si="20"/>
        <v>9.6258841746438211E-14</v>
      </c>
      <c r="O127" s="10">
        <f t="shared" si="21"/>
        <v>44.225218718810829</v>
      </c>
    </row>
    <row r="128" spans="1:15">
      <c r="A128" s="10">
        <v>4550</v>
      </c>
      <c r="B128" s="10">
        <f t="shared" si="12"/>
        <v>450.29984999999999</v>
      </c>
      <c r="C128" s="10">
        <f t="shared" si="13"/>
        <v>0.10907999128576273</v>
      </c>
      <c r="D128" s="10">
        <f t="shared" si="14"/>
        <v>6.2554489986799813E-2</v>
      </c>
      <c r="E128" s="10">
        <f t="shared" si="15"/>
        <v>3.0879981729399842E-12</v>
      </c>
      <c r="F128" s="10">
        <f t="shared" si="16"/>
        <v>3.087998172939985E-12</v>
      </c>
      <c r="G128" s="10">
        <f t="shared" si="22"/>
        <v>28.168277457882457</v>
      </c>
      <c r="I128" s="10">
        <v>4900</v>
      </c>
      <c r="J128" s="10">
        <f t="shared" si="17"/>
        <v>484.93829999999997</v>
      </c>
      <c r="K128" s="10">
        <f t="shared" si="18"/>
        <v>0.11111431906002942</v>
      </c>
      <c r="L128" s="10">
        <f t="shared" si="19"/>
        <v>9.1760660000122063E-2</v>
      </c>
      <c r="M128" s="11">
        <f t="shared" si="23"/>
        <v>9.3342559970928888E-14</v>
      </c>
      <c r="N128" s="11">
        <f t="shared" si="20"/>
        <v>9.3342559973408297E-14</v>
      </c>
      <c r="O128" s="10">
        <f t="shared" si="21"/>
        <v>44.498258467337187</v>
      </c>
    </row>
    <row r="129" spans="1:15">
      <c r="A129" s="10">
        <v>4600</v>
      </c>
      <c r="B129" s="10">
        <f t="shared" si="12"/>
        <v>455.2482</v>
      </c>
      <c r="C129" s="10">
        <f t="shared" si="13"/>
        <v>0.10897712908174917</v>
      </c>
      <c r="D129" s="10">
        <f t="shared" si="14"/>
        <v>6.2234046983642294E-2</v>
      </c>
      <c r="E129" s="10">
        <f t="shared" si="15"/>
        <v>2.9826951173604707E-12</v>
      </c>
      <c r="F129" s="10">
        <f t="shared" si="16"/>
        <v>2.9826951173604711E-12</v>
      </c>
      <c r="G129" s="10">
        <f t="shared" si="22"/>
        <v>28.331937868018585</v>
      </c>
      <c r="I129" s="10">
        <v>10000</v>
      </c>
      <c r="J129" s="10">
        <f t="shared" si="17"/>
        <v>989.67</v>
      </c>
      <c r="K129" s="10">
        <f t="shared" si="18"/>
        <v>0.10562533281777894</v>
      </c>
      <c r="L129" s="10">
        <f t="shared" si="19"/>
        <v>6.8984783476261191E-2</v>
      </c>
      <c r="M129" s="11">
        <f t="shared" si="23"/>
        <v>1.0983978483408637E-14</v>
      </c>
      <c r="N129" s="11">
        <f t="shared" si="20"/>
        <v>1.0983978483705625E-14</v>
      </c>
      <c r="O129" s="10">
        <f t="shared" si="21"/>
        <v>68.27217066295141</v>
      </c>
    </row>
    <row r="130" spans="1:15">
      <c r="A130" s="10">
        <v>4650</v>
      </c>
      <c r="B130" s="10">
        <f t="shared" si="12"/>
        <v>460.19655</v>
      </c>
      <c r="C130" s="10">
        <f t="shared" si="13"/>
        <v>0.10887589707016727</v>
      </c>
      <c r="D130" s="10">
        <f t="shared" si="14"/>
        <v>6.1918682461580318E-2</v>
      </c>
      <c r="E130" s="10">
        <f t="shared" si="15"/>
        <v>2.8820636412488617E-12</v>
      </c>
      <c r="F130" s="10">
        <f t="shared" si="16"/>
        <v>2.8820636412368353E-12</v>
      </c>
      <c r="G130" s="10">
        <f t="shared" si="22"/>
        <v>28.494764049364772</v>
      </c>
      <c r="I130" s="10">
        <v>20000</v>
      </c>
      <c r="J130" s="10">
        <f t="shared" si="17"/>
        <v>1979.34</v>
      </c>
      <c r="K130" s="10">
        <f t="shared" si="18"/>
        <v>0.10159983897715126</v>
      </c>
      <c r="L130" s="10">
        <f t="shared" si="19"/>
        <v>5.2281489531747979E-2</v>
      </c>
      <c r="M130" s="11">
        <f t="shared" si="23"/>
        <v>1.3731023566446858E-15</v>
      </c>
      <c r="N130" s="11">
        <f t="shared" si="20"/>
        <v>1.3731023567100013E-15</v>
      </c>
      <c r="O130" s="10">
        <f t="shared" si="21"/>
        <v>103.48284348977005</v>
      </c>
    </row>
    <row r="131" spans="1:15">
      <c r="A131" s="10">
        <v>4700</v>
      </c>
      <c r="B131" s="10">
        <f t="shared" si="12"/>
        <v>465.14490000000001</v>
      </c>
      <c r="C131" s="10">
        <f t="shared" si="13"/>
        <v>0.10877625230442019</v>
      </c>
      <c r="D131" s="10">
        <f t="shared" si="14"/>
        <v>6.1608262630592506E-2</v>
      </c>
      <c r="E131" s="10">
        <f t="shared" si="15"/>
        <v>2.7858495674854131E-12</v>
      </c>
      <c r="F131" s="10">
        <f t="shared" si="16"/>
        <v>2.7858495675208385E-12</v>
      </c>
      <c r="G131" s="10">
        <f t="shared" si="22"/>
        <v>28.656769160480689</v>
      </c>
      <c r="I131" s="10">
        <v>30000</v>
      </c>
      <c r="J131" s="10">
        <f t="shared" si="17"/>
        <v>2969.0099999999998</v>
      </c>
      <c r="K131" s="10">
        <f t="shared" si="18"/>
        <v>9.9713472212934501E-2</v>
      </c>
      <c r="L131" s="10">
        <f t="shared" si="19"/>
        <v>4.4454241547446073E-2</v>
      </c>
      <c r="M131" s="11">
        <f t="shared" si="23"/>
        <v>4.0685336874868805E-16</v>
      </c>
      <c r="N131" s="11">
        <f t="shared" si="20"/>
        <v>4.0685336874868815E-16</v>
      </c>
      <c r="O131" s="10">
        <f t="shared" si="21"/>
        <v>131.98508769678284</v>
      </c>
    </row>
    <row r="132" spans="1:15">
      <c r="A132" s="10">
        <v>4750</v>
      </c>
      <c r="B132" s="10">
        <f t="shared" si="12"/>
        <v>470.09325000000001</v>
      </c>
      <c r="C132" s="10">
        <f t="shared" si="13"/>
        <v>0.10867815341055687</v>
      </c>
      <c r="D132" s="10">
        <f t="shared" si="14"/>
        <v>6.1302658599865646E-2</v>
      </c>
      <c r="E132" s="10">
        <f t="shared" si="15"/>
        <v>2.6938150487123236E-12</v>
      </c>
      <c r="F132" s="10">
        <f t="shared" si="16"/>
        <v>2.693815048758712E-12</v>
      </c>
      <c r="G132" s="10">
        <f t="shared" si="22"/>
        <v>28.81796601485129</v>
      </c>
      <c r="I132" s="10">
        <v>40000</v>
      </c>
      <c r="J132" s="10">
        <f t="shared" si="17"/>
        <v>3958.68</v>
      </c>
      <c r="K132" s="10">
        <f t="shared" si="18"/>
        <v>9.8548947703338732E-2</v>
      </c>
      <c r="L132" s="10">
        <f t="shared" si="19"/>
        <v>3.9622189640409693E-2</v>
      </c>
      <c r="M132" s="11">
        <f t="shared" si="23"/>
        <v>1.716427706350996E-16</v>
      </c>
      <c r="N132" s="11">
        <f t="shared" si="20"/>
        <v>1.7164277066741935E-16</v>
      </c>
      <c r="O132" s="10">
        <f t="shared" si="21"/>
        <v>156.85156968569703</v>
      </c>
    </row>
    <row r="133" spans="1:15">
      <c r="A133" s="10">
        <v>4800</v>
      </c>
      <c r="B133" s="10">
        <f t="shared" si="12"/>
        <v>475.04160000000002</v>
      </c>
      <c r="C133" s="10">
        <f t="shared" si="13"/>
        <v>0.10858156051386428</v>
      </c>
      <c r="D133" s="10">
        <f t="shared" si="14"/>
        <v>6.1001746149109921E-2</v>
      </c>
      <c r="E133" s="10">
        <f t="shared" si="15"/>
        <v>2.6057373609632417E-12</v>
      </c>
      <c r="F133" s="10">
        <f t="shared" si="16"/>
        <v>2.6057373610315947E-12</v>
      </c>
      <c r="G133" s="10">
        <f t="shared" si="22"/>
        <v>28.978367093467018</v>
      </c>
      <c r="I133" s="10">
        <v>50000</v>
      </c>
      <c r="J133" s="10">
        <f t="shared" si="17"/>
        <v>4948.3500000000004</v>
      </c>
      <c r="K133" s="10">
        <f t="shared" si="18"/>
        <v>9.7733572340547858E-2</v>
      </c>
      <c r="L133" s="10">
        <f t="shared" si="19"/>
        <v>3.6238889379866648E-2</v>
      </c>
      <c r="M133" s="11">
        <f t="shared" si="23"/>
        <v>8.7881515654805219E-17</v>
      </c>
      <c r="N133" s="11">
        <f t="shared" si="20"/>
        <v>8.7881515669882521E-17</v>
      </c>
      <c r="O133" s="10">
        <f t="shared" si="21"/>
        <v>179.32270826286313</v>
      </c>
    </row>
    <row r="134" spans="1:15">
      <c r="A134" s="10">
        <v>4850</v>
      </c>
      <c r="B134" s="10">
        <f t="shared" si="12"/>
        <v>479.98995000000002</v>
      </c>
      <c r="C134" s="10">
        <f t="shared" si="13"/>
        <v>0.10848643516960954</v>
      </c>
      <c r="D134" s="10">
        <f t="shared" si="14"/>
        <v>6.0705405512802332E-2</v>
      </c>
      <c r="E134" s="10">
        <f t="shared" si="15"/>
        <v>2.5214077976954649E-12</v>
      </c>
      <c r="F134" s="10">
        <f t="shared" si="16"/>
        <v>2.5214077977066577E-12</v>
      </c>
      <c r="G134" s="10">
        <f t="shared" si="22"/>
        <v>29.137984556819717</v>
      </c>
      <c r="I134" s="10">
        <v>60000</v>
      </c>
      <c r="J134" s="10">
        <f t="shared" si="17"/>
        <v>5938.0199999999995</v>
      </c>
      <c r="K134" s="10">
        <f t="shared" si="18"/>
        <v>9.7119320345445653E-2</v>
      </c>
      <c r="L134" s="10">
        <f t="shared" si="19"/>
        <v>3.3690125914712266E-2</v>
      </c>
      <c r="M134" s="11">
        <f t="shared" si="23"/>
        <v>5.0857506876238747E-17</v>
      </c>
      <c r="N134" s="11">
        <f t="shared" si="20"/>
        <v>5.0857506870607525E-17</v>
      </c>
      <c r="O134" s="10">
        <f t="shared" si="21"/>
        <v>200.05264148407971</v>
      </c>
    </row>
    <row r="135" spans="1:15">
      <c r="A135" s="10">
        <v>4900</v>
      </c>
      <c r="B135" s="10">
        <f t="shared" si="12"/>
        <v>484.93829999999997</v>
      </c>
      <c r="C135" s="10">
        <f t="shared" si="13"/>
        <v>0.10839274029765682</v>
      </c>
      <c r="D135" s="10">
        <f t="shared" si="14"/>
        <v>6.0413521176501013E-2</v>
      </c>
      <c r="E135" s="10">
        <f t="shared" si="15"/>
        <v>2.4406306551294389E-12</v>
      </c>
      <c r="F135" s="10">
        <f t="shared" si="16"/>
        <v>2.4406306551294389E-12</v>
      </c>
      <c r="G135" s="10">
        <f t="shared" si="22"/>
        <v>29.2968302563464</v>
      </c>
      <c r="I135" s="10">
        <v>70000</v>
      </c>
      <c r="J135" s="10">
        <f t="shared" si="17"/>
        <v>6927.69</v>
      </c>
      <c r="K135" s="10">
        <f t="shared" si="18"/>
        <v>9.6633806193377289E-2</v>
      </c>
      <c r="L135" s="10">
        <f t="shared" si="19"/>
        <v>3.1675544370860134E-2</v>
      </c>
      <c r="M135" s="11">
        <f t="shared" si="23"/>
        <v>3.2026947130541513E-17</v>
      </c>
      <c r="N135" s="11">
        <f t="shared" si="20"/>
        <v>3.2026947143742626E-17</v>
      </c>
      <c r="O135" s="10">
        <f t="shared" si="21"/>
        <v>219.43835198256403</v>
      </c>
    </row>
    <row r="136" spans="1:15">
      <c r="A136" s="10">
        <v>10000</v>
      </c>
      <c r="B136" s="10">
        <f t="shared" si="12"/>
        <v>989.67</v>
      </c>
      <c r="C136" s="10">
        <f t="shared" si="13"/>
        <v>0.10286900291344968</v>
      </c>
      <c r="D136" s="10">
        <f t="shared" si="14"/>
        <v>4.3205616552802757E-2</v>
      </c>
      <c r="E136" s="10">
        <f t="shared" si="15"/>
        <v>2.5347722396659626E-13</v>
      </c>
      <c r="F136" s="10">
        <f t="shared" si="16"/>
        <v>2.5347722397311541E-13</v>
      </c>
      <c r="G136" s="10">
        <f t="shared" si="22"/>
        <v>42.759302533812303</v>
      </c>
      <c r="I136" s="10">
        <v>80000</v>
      </c>
      <c r="J136" s="10">
        <f t="shared" si="17"/>
        <v>7917.36</v>
      </c>
      <c r="K136" s="10">
        <f t="shared" si="18"/>
        <v>9.6236765013576614E-2</v>
      </c>
      <c r="L136" s="10">
        <f t="shared" si="19"/>
        <v>3.00280705957536E-2</v>
      </c>
      <c r="M136" s="11">
        <f t="shared" si="23"/>
        <v>2.1455582035056259E-17</v>
      </c>
      <c r="N136" s="11">
        <f t="shared" si="20"/>
        <v>2.1455582063487237E-17</v>
      </c>
      <c r="O136" s="10">
        <f t="shared" si="21"/>
        <v>237.74304501199572</v>
      </c>
    </row>
    <row r="137" spans="1:15">
      <c r="A137" s="10">
        <v>20000</v>
      </c>
      <c r="B137" s="10">
        <f t="shared" si="12"/>
        <v>1979.34</v>
      </c>
      <c r="C137" s="10">
        <f t="shared" si="13"/>
        <v>9.9013039593584831E-2</v>
      </c>
      <c r="D137" s="10">
        <f t="shared" si="14"/>
        <v>3.1193269761946533E-2</v>
      </c>
      <c r="E137" s="10">
        <f t="shared" si="15"/>
        <v>2.8066669583075416E-14</v>
      </c>
      <c r="F137" s="10">
        <f t="shared" si="16"/>
        <v>2.8066669590074013E-14</v>
      </c>
      <c r="G137" s="10">
        <f t="shared" si="22"/>
        <v>61.742086570611249</v>
      </c>
      <c r="I137" s="10">
        <v>90000</v>
      </c>
      <c r="J137" s="10">
        <f t="shared" si="17"/>
        <v>8907.0300000000007</v>
      </c>
      <c r="K137" s="10">
        <f t="shared" si="18"/>
        <v>9.590372606131653E-2</v>
      </c>
      <c r="L137" s="10">
        <f t="shared" si="19"/>
        <v>2.8646166229529185E-2</v>
      </c>
      <c r="M137" s="11">
        <f t="shared" si="23"/>
        <v>1.506895637089939E-17</v>
      </c>
      <c r="N137" s="11">
        <f t="shared" si="20"/>
        <v>1.5068956382673228E-17</v>
      </c>
      <c r="O137" s="10">
        <f t="shared" si="21"/>
        <v>255.15226199140335</v>
      </c>
    </row>
    <row r="138" spans="1:15">
      <c r="A138" s="10">
        <v>30000</v>
      </c>
      <c r="B138" s="10">
        <f t="shared" si="12"/>
        <v>2969.0099999999998</v>
      </c>
      <c r="C138" s="10">
        <f t="shared" si="13"/>
        <v>9.7275690822989272E-2</v>
      </c>
      <c r="D138" s="10">
        <f t="shared" si="14"/>
        <v>2.5780968295916751E-2</v>
      </c>
      <c r="E138" s="10">
        <f t="shared" si="15"/>
        <v>7.7465220131167578E-15</v>
      </c>
      <c r="F138" s="10">
        <f t="shared" si="16"/>
        <v>7.74652201562085E-15</v>
      </c>
      <c r="G138" s="10">
        <f t="shared" si="22"/>
        <v>76.543952680259792</v>
      </c>
      <c r="I138" s="10">
        <v>100000</v>
      </c>
      <c r="J138" s="10">
        <f t="shared" si="17"/>
        <v>9896.7000000000007</v>
      </c>
      <c r="K138" s="10">
        <f t="shared" si="18"/>
        <v>9.5618820781306471E-2</v>
      </c>
      <c r="L138" s="10">
        <f t="shared" si="19"/>
        <v>2.7463986644425207E-2</v>
      </c>
      <c r="M138" s="11">
        <f t="shared" si="23"/>
        <v>1.0985277758113506E-17</v>
      </c>
      <c r="N138" s="11">
        <f t="shared" si="20"/>
        <v>1.0985277768060825E-17</v>
      </c>
      <c r="O138" s="10">
        <f t="shared" si="21"/>
        <v>271.80283662388297</v>
      </c>
    </row>
    <row r="139" spans="1:15">
      <c r="A139" s="10">
        <v>40000</v>
      </c>
      <c r="B139" s="10">
        <f t="shared" si="12"/>
        <v>3958.68</v>
      </c>
      <c r="C139" s="10">
        <f t="shared" si="13"/>
        <v>9.6229088897343926E-2</v>
      </c>
      <c r="D139" s="10">
        <f t="shared" si="14"/>
        <v>2.2520526159949941E-2</v>
      </c>
      <c r="E139" s="10">
        <f t="shared" si="15"/>
        <v>3.107625317730166E-15</v>
      </c>
      <c r="F139" s="10">
        <f t="shared" si="16"/>
        <v>3.1076253186501537E-15</v>
      </c>
      <c r="G139" s="10">
        <f t="shared" si="22"/>
        <v>89.151556498870633</v>
      </c>
      <c r="I139" s="10">
        <v>200000</v>
      </c>
      <c r="J139" s="10">
        <f t="shared" si="17"/>
        <v>19793.400000000001</v>
      </c>
      <c r="K139" s="10">
        <f t="shared" si="18"/>
        <v>9.4016131210223883E-2</v>
      </c>
      <c r="L139" s="10">
        <f t="shared" si="19"/>
        <v>2.081382244906177E-2</v>
      </c>
      <c r="M139" s="11">
        <f t="shared" si="23"/>
        <v>1.3731639018708891E-18</v>
      </c>
      <c r="N139" s="11">
        <f t="shared" si="20"/>
        <v>1.3731639059726367E-18</v>
      </c>
      <c r="O139" s="10">
        <f t="shared" si="21"/>
        <v>411.97631326325927</v>
      </c>
    </row>
    <row r="140" spans="1:15">
      <c r="A140" s="10">
        <v>50000</v>
      </c>
      <c r="B140" s="10">
        <f t="shared" si="12"/>
        <v>4948.3500000000004</v>
      </c>
      <c r="C140" s="10">
        <f t="shared" si="13"/>
        <v>9.5509327650545428E-2</v>
      </c>
      <c r="D140" s="10">
        <f t="shared" si="14"/>
        <v>2.0278279285188265E-2</v>
      </c>
      <c r="E140" s="10">
        <f t="shared" si="15"/>
        <v>1.5301733162716244E-15</v>
      </c>
      <c r="F140" s="10">
        <f t="shared" si="16"/>
        <v>1.530173317738955E-15</v>
      </c>
      <c r="G140" s="10">
        <f t="shared" si="22"/>
        <v>100.34402330086137</v>
      </c>
      <c r="I140" s="10">
        <v>300000</v>
      </c>
      <c r="J140" s="10">
        <f t="shared" si="17"/>
        <v>29690.1</v>
      </c>
      <c r="K140" s="10">
        <f t="shared" si="18"/>
        <v>9.3265131782555216E-2</v>
      </c>
      <c r="L140" s="10">
        <f t="shared" si="19"/>
        <v>1.7697642251266472E-2</v>
      </c>
      <c r="M140" s="11">
        <f t="shared" si="23"/>
        <v>4.0686370573837572E-19</v>
      </c>
      <c r="N140" s="11">
        <f t="shared" si="20"/>
        <v>4.0686370616717434E-19</v>
      </c>
      <c r="O140" s="10">
        <f t="shared" si="21"/>
        <v>525.44476820432669</v>
      </c>
    </row>
    <row r="141" spans="1:15">
      <c r="A141" s="10">
        <v>60000</v>
      </c>
      <c r="B141" s="10">
        <f t="shared" si="12"/>
        <v>5938.0199999999995</v>
      </c>
      <c r="C141" s="10">
        <f t="shared" si="13"/>
        <v>9.4974768909164162E-2</v>
      </c>
      <c r="D141" s="10">
        <f t="shared" si="14"/>
        <v>1.8612987255963137E-2</v>
      </c>
      <c r="E141" s="10">
        <f t="shared" si="15"/>
        <v>8.577109093383169E-16</v>
      </c>
      <c r="F141" s="10">
        <f t="shared" si="16"/>
        <v>8.5771091025999162E-16</v>
      </c>
      <c r="G141" s="10">
        <f t="shared" si="22"/>
        <v>110.52429058565421</v>
      </c>
      <c r="I141" s="10">
        <v>400000</v>
      </c>
      <c r="J141" s="10">
        <f t="shared" si="17"/>
        <v>39586.800000000003</v>
      </c>
      <c r="K141" s="10">
        <f t="shared" si="18"/>
        <v>9.2801517465092506E-2</v>
      </c>
      <c r="L141" s="10">
        <f t="shared" si="19"/>
        <v>1.5773931390425353E-2</v>
      </c>
      <c r="M141" s="11">
        <f t="shared" si="23"/>
        <v>1.7164568580284584E-19</v>
      </c>
      <c r="N141" s="11">
        <f t="shared" si="20"/>
        <v>1.7164568526161662E-19</v>
      </c>
      <c r="O141" s="10">
        <f t="shared" si="21"/>
        <v>624.43946716649043</v>
      </c>
    </row>
    <row r="142" spans="1:15">
      <c r="A142" s="10">
        <v>70000</v>
      </c>
      <c r="B142" s="10">
        <f t="shared" ref="B142:B154" si="24">0.098967*A142</f>
        <v>6927.69</v>
      </c>
      <c r="C142" s="10">
        <f t="shared" ref="C142:C154" si="25">$B$6+(($B$7-$B$6)/(1+($B$3*A142)^$B$4)^$B$5)</f>
        <v>9.4557202602732648E-2</v>
      </c>
      <c r="D142" s="10">
        <f t="shared" ref="D142:D154" si="26">(C142-$B$6)/($B$7-$B$6)</f>
        <v>1.7312157640911693E-2</v>
      </c>
      <c r="E142" s="24">
        <f t="shared" ref="E142:E154" si="27">$B$8*D142^$B$9*(1-(1-D142^(1/$B$5))^$B$5)^2</f>
        <v>5.2575738554190343E-16</v>
      </c>
      <c r="F142" s="10">
        <f t="shared" ref="F142:F154" si="28">$B$8*((1-(($B$3*A142)^($B$4-1))*(1+($B$3*A142)^$B$4)^(-1+1/$B$4))^2)/(1+($B$3*A142)^$B$4)^(0.5-(1/(2*$B$4)))</f>
        <v>5.2575738495135949E-16</v>
      </c>
      <c r="G142" s="10">
        <f t="shared" si="22"/>
        <v>119.93326136736752</v>
      </c>
      <c r="I142" s="10">
        <v>500000</v>
      </c>
      <c r="J142" s="10">
        <f t="shared" ref="J142:J147" si="29">0.098967*I142</f>
        <v>49483.5</v>
      </c>
      <c r="K142" s="10">
        <f t="shared" ref="K142:K147" si="30">$J$6+(($J$7-$J$6)/(1+($J$3*I142)^$J$4)^$J$5)</f>
        <v>9.2476906414941246E-2</v>
      </c>
      <c r="L142" s="10">
        <f t="shared" ref="L142:L147" si="31">(K142-$J$6)/($J$7-$J$6)</f>
        <v>1.442699757237033E-2</v>
      </c>
      <c r="M142" s="11">
        <f t="shared" si="23"/>
        <v>8.7882607883546547E-20</v>
      </c>
      <c r="N142" s="11">
        <f t="shared" ref="N142:N147" si="32">$J$8*((1-(($J$3*I142)^($J$4-1))*(1+($J$3*I142)^$J$4)^(-1+1/$J$4))^2)/(1+($J$3*I142)^$J$4)^(0.5-(1/(2*$J$4)))</f>
        <v>8.7882607694183518E-20</v>
      </c>
      <c r="O142" s="10">
        <f t="shared" ref="O142:O147" si="33">L142*J142</f>
        <v>713.89833437238724</v>
      </c>
    </row>
    <row r="143" spans="1:15">
      <c r="A143" s="10">
        <v>80000</v>
      </c>
      <c r="B143" s="10">
        <f t="shared" si="24"/>
        <v>7917.36</v>
      </c>
      <c r="C143" s="10">
        <f t="shared" si="25"/>
        <v>9.4219153762431881E-2</v>
      </c>
      <c r="D143" s="10">
        <f t="shared" si="26"/>
        <v>1.625904598888438E-2</v>
      </c>
      <c r="E143" s="10">
        <f t="shared" si="27"/>
        <v>3.4408148547841711E-16</v>
      </c>
      <c r="F143" s="10">
        <f t="shared" si="28"/>
        <v>3.4408148585465831E-16</v>
      </c>
      <c r="G143" s="10">
        <f t="shared" ref="G143:G154" si="34">D143*B143</f>
        <v>128.72872035055363</v>
      </c>
      <c r="I143" s="10">
        <v>600000</v>
      </c>
      <c r="J143" s="10">
        <f t="shared" si="29"/>
        <v>59380.2</v>
      </c>
      <c r="K143" s="10">
        <f t="shared" si="30"/>
        <v>9.223236587354286E-2</v>
      </c>
      <c r="L143" s="10">
        <f t="shared" si="31"/>
        <v>1.3412306529223501E-2</v>
      </c>
      <c r="M143" s="11">
        <f t="shared" ref="M143:M147" si="35">$J$8*L143^$J$9*(1-(1-L143^(1/$J$5))^$J$5)^2</f>
        <v>5.0857996504310621E-20</v>
      </c>
      <c r="N143" s="11">
        <f t="shared" si="32"/>
        <v>5.085799707011375E-20</v>
      </c>
      <c r="O143" s="10">
        <f t="shared" si="33"/>
        <v>796.42544416659723</v>
      </c>
    </row>
    <row r="144" spans="1:15">
      <c r="A144" s="10">
        <v>90000</v>
      </c>
      <c r="B144" s="10">
        <f t="shared" si="24"/>
        <v>8907.0300000000007</v>
      </c>
      <c r="C144" s="10">
        <f t="shared" si="25"/>
        <v>9.3938083876238851E-2</v>
      </c>
      <c r="D144" s="10">
        <f t="shared" si="26"/>
        <v>1.5383438866787714E-2</v>
      </c>
      <c r="E144" s="10">
        <f t="shared" si="27"/>
        <v>2.3672945880651133E-16</v>
      </c>
      <c r="F144" s="10">
        <f t="shared" si="28"/>
        <v>2.3672945888345826E-16</v>
      </c>
      <c r="G144" s="10">
        <f t="shared" si="34"/>
        <v>137.02075148964417</v>
      </c>
      <c r="I144" s="10">
        <v>700000</v>
      </c>
      <c r="J144" s="10">
        <f t="shared" si="29"/>
        <v>69276.899999999994</v>
      </c>
      <c r="K144" s="10">
        <f t="shared" si="30"/>
        <v>9.2039077700111951E-2</v>
      </c>
      <c r="L144" s="10">
        <f t="shared" si="31"/>
        <v>1.2610280913327616E-2</v>
      </c>
      <c r="M144" s="11">
        <f t="shared" si="35"/>
        <v>3.2027195559000253E-20</v>
      </c>
      <c r="N144" s="11">
        <f t="shared" si="32"/>
        <v>3.2027196885391744E-20</v>
      </c>
      <c r="O144" s="10">
        <f t="shared" si="33"/>
        <v>873.60116980450584</v>
      </c>
    </row>
    <row r="145" spans="1:15">
      <c r="A145" s="10">
        <v>100000</v>
      </c>
      <c r="B145" s="10">
        <f t="shared" si="24"/>
        <v>9896.7000000000007</v>
      </c>
      <c r="C145" s="10">
        <f t="shared" si="25"/>
        <v>9.3699508986534563E-2</v>
      </c>
      <c r="D145" s="10">
        <f t="shared" si="26"/>
        <v>1.4640214911322643E-2</v>
      </c>
      <c r="E145" s="10">
        <f t="shared" si="27"/>
        <v>1.6942303987471976E-16</v>
      </c>
      <c r="F145" s="10">
        <f t="shared" si="28"/>
        <v>1.694230405819611E-16</v>
      </c>
      <c r="G145" s="10">
        <f t="shared" si="34"/>
        <v>144.88981491288681</v>
      </c>
      <c r="I145" s="10">
        <v>800000</v>
      </c>
      <c r="J145" s="10">
        <f t="shared" si="29"/>
        <v>79173.600000000006</v>
      </c>
      <c r="K145" s="10">
        <f t="shared" si="30"/>
        <v>9.1881011751863986E-2</v>
      </c>
      <c r="L145" s="10">
        <f t="shared" si="31"/>
        <v>1.1954405609394151E-2</v>
      </c>
      <c r="M145" s="11">
        <f t="shared" si="35"/>
        <v>2.1455720157742306E-20</v>
      </c>
      <c r="N145" s="11">
        <f t="shared" si="32"/>
        <v>2.1455720693359661E-20</v>
      </c>
      <c r="O145" s="10">
        <f t="shared" si="33"/>
        <v>946.47332795592888</v>
      </c>
    </row>
    <row r="146" spans="1:15">
      <c r="A146" s="10">
        <v>200000</v>
      </c>
      <c r="B146" s="10">
        <f t="shared" si="24"/>
        <v>19793.400000000001</v>
      </c>
      <c r="C146" s="10">
        <f t="shared" si="25"/>
        <v>9.2392880383722287E-2</v>
      </c>
      <c r="D146" s="10">
        <f t="shared" si="26"/>
        <v>1.0569720821564771E-2</v>
      </c>
      <c r="E146" s="10">
        <f t="shared" si="27"/>
        <v>1.8758710665775246E-17</v>
      </c>
      <c r="F146" s="10">
        <f t="shared" si="28"/>
        <v>1.8758710843260309E-17</v>
      </c>
      <c r="G146" s="10">
        <f t="shared" si="34"/>
        <v>209.21071210956015</v>
      </c>
      <c r="I146" s="10">
        <v>900000</v>
      </c>
      <c r="J146" s="10">
        <f t="shared" si="29"/>
        <v>89070.3</v>
      </c>
      <c r="K146" s="10">
        <f t="shared" si="30"/>
        <v>9.1748425848443199E-2</v>
      </c>
      <c r="L146" s="10">
        <f t="shared" si="31"/>
        <v>1.1404256632544411E-2</v>
      </c>
      <c r="M146" s="11">
        <f t="shared" si="35"/>
        <v>1.506903862127881E-20</v>
      </c>
      <c r="N146" s="11">
        <f t="shared" si="32"/>
        <v>1.5069038843088534E-20</v>
      </c>
      <c r="O146" s="10">
        <f t="shared" si="33"/>
        <v>1015.7805595377205</v>
      </c>
    </row>
    <row r="147" spans="1:15">
      <c r="A147" s="10">
        <v>300000</v>
      </c>
      <c r="B147" s="10">
        <f t="shared" si="24"/>
        <v>29690.1</v>
      </c>
      <c r="C147" s="10">
        <f t="shared" si="25"/>
        <v>9.1804178778069234E-2</v>
      </c>
      <c r="D147" s="10">
        <f t="shared" si="26"/>
        <v>8.7357594332375041E-3</v>
      </c>
      <c r="E147" s="10">
        <f t="shared" si="27"/>
        <v>5.1774203675977758E-18</v>
      </c>
      <c r="F147" s="10">
        <f t="shared" si="28"/>
        <v>5.1774204071111222E-18</v>
      </c>
      <c r="G147" s="10">
        <f t="shared" si="34"/>
        <v>259.36557114876479</v>
      </c>
      <c r="I147" s="10">
        <v>1000000</v>
      </c>
      <c r="J147" s="10">
        <f t="shared" si="29"/>
        <v>98967</v>
      </c>
      <c r="K147" s="10">
        <f t="shared" si="30"/>
        <v>9.1635002495310022E-2</v>
      </c>
      <c r="L147" s="10">
        <f t="shared" si="31"/>
        <v>1.0933620312489735E-2</v>
      </c>
      <c r="M147" s="11">
        <f t="shared" si="35"/>
        <v>1.098532950494706E-20</v>
      </c>
      <c r="N147" s="11">
        <f t="shared" si="32"/>
        <v>1.0985329879746242E-20</v>
      </c>
      <c r="O147" s="10">
        <f t="shared" si="33"/>
        <v>1082.0676014661717</v>
      </c>
    </row>
    <row r="148" spans="1:15">
      <c r="A148" s="10">
        <v>400000</v>
      </c>
      <c r="B148" s="10">
        <f t="shared" si="24"/>
        <v>39586.800000000003</v>
      </c>
      <c r="C148" s="10">
        <f t="shared" si="25"/>
        <v>9.1449539852100151E-2</v>
      </c>
      <c r="D148" s="10">
        <f t="shared" si="26"/>
        <v>7.6309652713400476E-3</v>
      </c>
      <c r="E148" s="10">
        <f t="shared" si="27"/>
        <v>2.0769833750824699E-18</v>
      </c>
      <c r="F148" s="10">
        <f t="shared" si="28"/>
        <v>2.0769834416183575E-18</v>
      </c>
      <c r="G148" s="10">
        <f t="shared" si="34"/>
        <v>302.0854960034842</v>
      </c>
      <c r="M148" s="11"/>
    </row>
    <row r="149" spans="1:15">
      <c r="A149" s="10">
        <v>500000</v>
      </c>
      <c r="B149" s="10">
        <f t="shared" si="24"/>
        <v>49483.5</v>
      </c>
      <c r="C149" s="10">
        <f t="shared" si="25"/>
        <v>9.1205651088738307E-2</v>
      </c>
      <c r="D149" s="10">
        <f t="shared" si="26"/>
        <v>6.8711871923311891E-3</v>
      </c>
      <c r="E149" s="10">
        <f t="shared" si="27"/>
        <v>1.0226894402626504E-18</v>
      </c>
      <c r="F149" s="10">
        <f t="shared" si="28"/>
        <v>1.0226894898776451E-18</v>
      </c>
      <c r="G149" s="10">
        <f t="shared" si="34"/>
        <v>340.01039143172039</v>
      </c>
      <c r="M149" s="11"/>
    </row>
    <row r="150" spans="1:15">
      <c r="A150" s="10">
        <v>600000</v>
      </c>
      <c r="B150" s="10">
        <f t="shared" si="24"/>
        <v>59380.2</v>
      </c>
      <c r="C150" s="10">
        <f t="shared" si="25"/>
        <v>9.1024517954117576E-2</v>
      </c>
      <c r="D150" s="10">
        <f t="shared" si="26"/>
        <v>6.3069095143849854E-3</v>
      </c>
      <c r="E150" s="10">
        <f t="shared" si="27"/>
        <v>5.7324904751031592E-19</v>
      </c>
      <c r="F150" s="10">
        <f t="shared" si="28"/>
        <v>5.7324905054021231E-19</v>
      </c>
      <c r="G150" s="10">
        <f t="shared" si="34"/>
        <v>374.50554834608329</v>
      </c>
      <c r="M150" s="11"/>
    </row>
    <row r="151" spans="1:15">
      <c r="A151" s="10">
        <v>700000</v>
      </c>
      <c r="B151" s="10">
        <f t="shared" si="24"/>
        <v>69276.899999999994</v>
      </c>
      <c r="C151" s="10">
        <f t="shared" si="25"/>
        <v>9.0883027424580098E-2</v>
      </c>
      <c r="D151" s="10">
        <f t="shared" si="26"/>
        <v>5.8661290485361459E-3</v>
      </c>
      <c r="E151" s="10">
        <f t="shared" si="27"/>
        <v>3.5138830380813924E-19</v>
      </c>
      <c r="F151" s="10">
        <f t="shared" si="28"/>
        <v>3.5138830846736158E-19</v>
      </c>
      <c r="G151" s="10">
        <f t="shared" si="34"/>
        <v>406.3872354825337</v>
      </c>
      <c r="M151" s="11"/>
    </row>
    <row r="152" spans="1:15">
      <c r="A152" s="10">
        <v>800000</v>
      </c>
      <c r="B152" s="10">
        <f t="shared" si="24"/>
        <v>79173.600000000006</v>
      </c>
      <c r="C152" s="10">
        <f t="shared" si="25"/>
        <v>9.0768481140185125E-2</v>
      </c>
      <c r="D152" s="10">
        <f t="shared" si="26"/>
        <v>5.5092870410751709E-3</v>
      </c>
      <c r="E152" s="10">
        <f t="shared" si="27"/>
        <v>2.2996560272202618E-19</v>
      </c>
      <c r="F152" s="10">
        <f t="shared" si="28"/>
        <v>2.2996561199837744E-19</v>
      </c>
      <c r="G152" s="10">
        <f t="shared" si="34"/>
        <v>436.19008847526919</v>
      </c>
      <c r="M152" s="11"/>
    </row>
    <row r="153" spans="1:15">
      <c r="A153" s="10">
        <v>900000</v>
      </c>
      <c r="B153" s="10">
        <f t="shared" si="24"/>
        <v>89070.3</v>
      </c>
      <c r="C153" s="10">
        <f t="shared" si="25"/>
        <v>9.0673241968293572E-2</v>
      </c>
      <c r="D153" s="10">
        <f t="shared" si="26"/>
        <v>5.2125918015376209E-3</v>
      </c>
      <c r="E153" s="10">
        <f t="shared" si="27"/>
        <v>1.5821717753933833E-19</v>
      </c>
      <c r="F153" s="10">
        <f t="shared" si="28"/>
        <v>1.5821719119883326E-19</v>
      </c>
      <c r="G153" s="10">
        <f t="shared" si="34"/>
        <v>464.28711554049636</v>
      </c>
      <c r="M153" s="11"/>
    </row>
    <row r="154" spans="1:15">
      <c r="A154" s="10">
        <v>1000000</v>
      </c>
      <c r="B154" s="10">
        <f t="shared" si="24"/>
        <v>98967</v>
      </c>
      <c r="C154" s="10">
        <f t="shared" si="25"/>
        <v>9.0592402056970514E-2</v>
      </c>
      <c r="D154" s="10">
        <f t="shared" si="26"/>
        <v>4.9607540715592476E-3</v>
      </c>
      <c r="E154" s="10">
        <f t="shared" si="27"/>
        <v>1.1323315382721662E-19</v>
      </c>
      <c r="F154" s="10">
        <f t="shared" si="28"/>
        <v>1.1323317158152103E-19</v>
      </c>
      <c r="G154" s="10">
        <f t="shared" si="34"/>
        <v>490.95094820000406</v>
      </c>
      <c r="M154" s="11"/>
    </row>
    <row r="155" spans="1:15">
      <c r="M155" s="11"/>
    </row>
    <row r="156" spans="1:15">
      <c r="M156" s="11"/>
    </row>
    <row r="157" spans="1:15">
      <c r="M157" s="11"/>
    </row>
    <row r="158" spans="1:15">
      <c r="M158" s="11"/>
    </row>
    <row r="159" spans="1:15">
      <c r="M159" s="11"/>
    </row>
    <row r="160" spans="1:15">
      <c r="M160" s="11"/>
    </row>
    <row r="161" spans="13:13">
      <c r="M161" s="11"/>
    </row>
    <row r="162" spans="13:13">
      <c r="M162" s="11"/>
    </row>
    <row r="163" spans="13:13">
      <c r="M163" s="11"/>
    </row>
    <row r="164" spans="13:13">
      <c r="M164" s="11"/>
    </row>
    <row r="165" spans="13:13">
      <c r="M165" s="11"/>
    </row>
    <row r="166" spans="13:13">
      <c r="M166" s="11"/>
    </row>
    <row r="167" spans="13:13">
      <c r="M167" s="11"/>
    </row>
    <row r="168" spans="13:13">
      <c r="M168" s="11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168"/>
  <sheetViews>
    <sheetView workbookViewId="0">
      <selection activeCell="I2" sqref="I2:J9"/>
    </sheetView>
  </sheetViews>
  <sheetFormatPr defaultColWidth="9.109375" defaultRowHeight="13.2"/>
  <cols>
    <col min="1" max="16384" width="9.109375" style="10"/>
  </cols>
  <sheetData>
    <row r="1" spans="1:28">
      <c r="A1" s="9" t="s">
        <v>48</v>
      </c>
      <c r="I1" s="9" t="s">
        <v>48</v>
      </c>
      <c r="M1" s="11"/>
      <c r="O1" s="12"/>
      <c r="P1" s="12"/>
    </row>
    <row r="2" spans="1:28">
      <c r="A2" s="12" t="s">
        <v>49</v>
      </c>
      <c r="I2" s="12" t="s">
        <v>50</v>
      </c>
      <c r="M2" s="11"/>
      <c r="O2" s="12"/>
      <c r="X2" s="11"/>
      <c r="Y2" s="11"/>
      <c r="Z2" s="11"/>
    </row>
    <row r="3" spans="1:28">
      <c r="A3" s="13" t="s">
        <v>51</v>
      </c>
      <c r="B3" s="14">
        <v>0.04</v>
      </c>
      <c r="C3" s="10">
        <f>B3*10.19</f>
        <v>0.40759999999999996</v>
      </c>
      <c r="D3" s="10">
        <f>1/C3</f>
        <v>2.4533856722276743</v>
      </c>
      <c r="F3" s="15"/>
      <c r="G3" s="15"/>
      <c r="I3" s="13" t="s">
        <v>52</v>
      </c>
      <c r="J3" s="16">
        <v>0.04</v>
      </c>
      <c r="K3" s="10">
        <f>J3*10.19</f>
        <v>0.40759999999999996</v>
      </c>
      <c r="L3" s="10">
        <f>1/K3</f>
        <v>2.4533856722276743</v>
      </c>
      <c r="M3" s="11"/>
      <c r="O3" s="12"/>
      <c r="P3" s="17"/>
    </row>
    <row r="4" spans="1:28">
      <c r="A4" s="10" t="s">
        <v>53</v>
      </c>
      <c r="B4" s="17">
        <v>1.64</v>
      </c>
      <c r="F4" s="18"/>
      <c r="G4" s="18"/>
      <c r="I4" s="10" t="s">
        <v>53</v>
      </c>
      <c r="J4" s="14">
        <v>1.5</v>
      </c>
      <c r="M4" s="11"/>
      <c r="P4" s="17"/>
    </row>
    <row r="5" spans="1:28">
      <c r="A5" s="10" t="s">
        <v>54</v>
      </c>
      <c r="B5" s="19">
        <f>1-1/B4</f>
        <v>0.3902439024390244</v>
      </c>
      <c r="F5" s="18"/>
      <c r="G5" s="18"/>
      <c r="I5" s="10" t="s">
        <v>54</v>
      </c>
      <c r="J5" s="19">
        <f>1-1/J4</f>
        <v>0.33333333333333337</v>
      </c>
      <c r="M5" s="11"/>
      <c r="P5" s="19"/>
    </row>
    <row r="6" spans="1:28" ht="15.6">
      <c r="A6" s="13" t="s">
        <v>55</v>
      </c>
      <c r="B6" s="17">
        <v>0.1</v>
      </c>
      <c r="F6" s="18"/>
      <c r="G6" s="18"/>
      <c r="I6" s="13" t="s">
        <v>55</v>
      </c>
      <c r="J6" s="17">
        <v>0.1</v>
      </c>
      <c r="M6" s="11"/>
      <c r="O6" s="13"/>
      <c r="P6" s="17"/>
    </row>
    <row r="7" spans="1:28" ht="15.6">
      <c r="A7" s="13" t="s">
        <v>56</v>
      </c>
      <c r="B7" s="20">
        <v>0.44</v>
      </c>
      <c r="F7" s="21"/>
      <c r="G7" s="21"/>
      <c r="I7" s="13" t="s">
        <v>56</v>
      </c>
      <c r="J7" s="22">
        <v>0.38</v>
      </c>
      <c r="M7" s="11"/>
      <c r="O7" s="13"/>
      <c r="P7" s="20"/>
    </row>
    <row r="8" spans="1:28" ht="15.6">
      <c r="A8" s="12" t="s">
        <v>57</v>
      </c>
      <c r="B8" s="14">
        <v>3.57E-4</v>
      </c>
      <c r="F8" s="15"/>
      <c r="G8" s="15"/>
      <c r="I8" s="12" t="s">
        <v>57</v>
      </c>
      <c r="J8" s="14">
        <v>2.1000000000000001E-4</v>
      </c>
      <c r="M8" s="11"/>
      <c r="O8" s="12"/>
      <c r="P8" s="14"/>
    </row>
    <row r="9" spans="1:28">
      <c r="A9" s="12" t="s">
        <v>58</v>
      </c>
      <c r="B9" s="17">
        <v>0.5</v>
      </c>
      <c r="F9" s="18"/>
      <c r="G9" s="18"/>
      <c r="I9" s="12" t="s">
        <v>58</v>
      </c>
      <c r="J9" s="17">
        <v>0.5</v>
      </c>
      <c r="M9" s="11"/>
      <c r="O9" s="12"/>
      <c r="P9" s="17"/>
    </row>
    <row r="10" spans="1:28">
      <c r="A10" s="12"/>
      <c r="B10" s="12"/>
      <c r="I10" s="12"/>
      <c r="J10" s="12"/>
      <c r="M10" s="11"/>
      <c r="O10" s="12"/>
      <c r="P10" s="12"/>
    </row>
    <row r="11" spans="1:28">
      <c r="A11" s="10" t="s">
        <v>59</v>
      </c>
      <c r="I11" s="10" t="s">
        <v>59</v>
      </c>
      <c r="M11" s="11"/>
    </row>
    <row r="12" spans="1:28">
      <c r="M12" s="11"/>
    </row>
    <row r="13" spans="1:28">
      <c r="A13" s="10" t="s">
        <v>60</v>
      </c>
      <c r="B13" s="10" t="s">
        <v>61</v>
      </c>
      <c r="C13" s="13" t="s">
        <v>62</v>
      </c>
      <c r="D13" s="10" t="s">
        <v>63</v>
      </c>
      <c r="E13" s="12" t="s">
        <v>64</v>
      </c>
      <c r="G13" s="12" t="s">
        <v>65</v>
      </c>
      <c r="H13" s="12"/>
      <c r="I13" s="10" t="s">
        <v>60</v>
      </c>
      <c r="J13" s="10" t="s">
        <v>61</v>
      </c>
      <c r="K13" s="13" t="s">
        <v>62</v>
      </c>
      <c r="L13" s="10" t="s">
        <v>63</v>
      </c>
      <c r="M13" s="23" t="s">
        <v>64</v>
      </c>
      <c r="O13" s="12" t="s">
        <v>65</v>
      </c>
      <c r="Q13" s="13"/>
      <c r="R13" s="10" t="s">
        <v>112</v>
      </c>
      <c r="S13" s="10" t="s">
        <v>113</v>
      </c>
      <c r="T13" s="10" t="s">
        <v>114</v>
      </c>
      <c r="U13" s="10" t="s">
        <v>115</v>
      </c>
      <c r="V13" s="10" t="s">
        <v>116</v>
      </c>
      <c r="W13" s="10" t="s">
        <v>117</v>
      </c>
      <c r="X13" s="10" t="s">
        <v>118</v>
      </c>
      <c r="Y13" s="10" t="s">
        <v>119</v>
      </c>
      <c r="Z13" s="10" t="s">
        <v>120</v>
      </c>
      <c r="AA13" s="10" t="s">
        <v>121</v>
      </c>
      <c r="AB13" s="10" t="s">
        <v>122</v>
      </c>
    </row>
    <row r="14" spans="1:28">
      <c r="A14" s="10">
        <v>1</v>
      </c>
      <c r="B14" s="10">
        <f t="shared" ref="B14:B77" si="0">0.098967*A14</f>
        <v>9.8966999999999999E-2</v>
      </c>
      <c r="C14" s="10">
        <f t="shared" ref="C14:C77" si="1">$B$6+(($B$7-$B$6)/(1+($B$3*A14)^$B$4)^$B$5)</f>
        <v>0.43932600295213142</v>
      </c>
      <c r="D14" s="10">
        <f t="shared" ref="D14:D77" si="2">(C14-$B$6)/($B$7-$B$6)</f>
        <v>0.9980176557415632</v>
      </c>
      <c r="E14" s="10">
        <f t="shared" ref="E14:E77" si="3">$B$8*D14^$B$9*(1-(1-D14^(1/$B$5))^$B$5)^2</f>
        <v>2.7169127441455283E-4</v>
      </c>
      <c r="F14" s="10">
        <f t="shared" ref="F14:F77" si="4">$B$8*((1-(($B$3*A14)^($B$4-1))*(1+($B$3*A14)^$B$4)^(-1+1/$B$4))^2)/(1+($B$3*A14)^$B$4)^(0.5-(1/(2*$B$4)))</f>
        <v>2.7169127441455148E-4</v>
      </c>
      <c r="G14" s="10">
        <f>D14*B14</f>
        <v>9.8770813335775282E-2</v>
      </c>
      <c r="I14" s="10">
        <v>1</v>
      </c>
      <c r="J14" s="10">
        <f t="shared" ref="J14:J77" si="5">0.098967*I14</f>
        <v>9.8966999999999999E-2</v>
      </c>
      <c r="K14" s="11">
        <f t="shared" ref="K14:K77" si="6">$J$6+(($J$7-$J$6)/(1+($J$3*I14)^$J$4)^$J$5)</f>
        <v>0.3792572909413352</v>
      </c>
      <c r="L14" s="10">
        <f t="shared" ref="L14:L77" si="7">(K14-$J$6)/($J$7-$J$6)</f>
        <v>0.99734746764762572</v>
      </c>
      <c r="M14" s="11">
        <f>$J$8*L14^$J$9*(1-(1-L14^(1/$J$5))^$J$5)^2</f>
        <v>1.3439970409858456E-4</v>
      </c>
      <c r="N14" s="11">
        <f t="shared" ref="N14:N77" si="8">$J$8*((1-(($J$3*I14)^($J$4-1))*(1+($J$3*I14)^$J$4)^(-1+1/$J$4))^2)/(1+($J$3*I14)^$J$4)^(0.5-(1/(2*$J$4)))</f>
        <v>1.3439970409858477E-4</v>
      </c>
      <c r="O14" s="10">
        <f t="shared" ref="O14:O77" si="9">L14*J14</f>
        <v>9.8704486830682572E-2</v>
      </c>
      <c r="S14" s="10" t="s">
        <v>123</v>
      </c>
      <c r="T14" s="10" t="s">
        <v>123</v>
      </c>
      <c r="U14" s="10" t="s">
        <v>124</v>
      </c>
      <c r="V14" s="10" t="s">
        <v>125</v>
      </c>
      <c r="W14" s="10" t="s">
        <v>126</v>
      </c>
      <c r="X14" s="10" t="s">
        <v>125</v>
      </c>
      <c r="Y14" s="10" t="s">
        <v>127</v>
      </c>
      <c r="Z14" s="10" t="s">
        <v>124</v>
      </c>
      <c r="AA14" s="10" t="s">
        <v>124</v>
      </c>
      <c r="AB14" s="10" t="s">
        <v>128</v>
      </c>
    </row>
    <row r="15" spans="1:28">
      <c r="A15" s="10">
        <v>2</v>
      </c>
      <c r="B15" s="10">
        <f t="shared" si="0"/>
        <v>0.197934</v>
      </c>
      <c r="C15" s="10">
        <f t="shared" si="1"/>
        <v>0.43791493239356893</v>
      </c>
      <c r="D15" s="10">
        <f t="shared" si="2"/>
        <v>0.9938674482163794</v>
      </c>
      <c r="E15" s="10">
        <f t="shared" si="3"/>
        <v>2.2927197456115131E-4</v>
      </c>
      <c r="F15" s="10">
        <f t="shared" si="4"/>
        <v>2.2927197456114955E-4</v>
      </c>
      <c r="G15" s="10">
        <f t="shared" ref="G15:G78" si="10">D15*B15</f>
        <v>0.19672015949526084</v>
      </c>
      <c r="I15" s="10">
        <v>2</v>
      </c>
      <c r="J15" s="10">
        <f t="shared" si="5"/>
        <v>0.197934</v>
      </c>
      <c r="K15" s="11">
        <f t="shared" si="6"/>
        <v>0.37791941522517603</v>
      </c>
      <c r="L15" s="10">
        <f t="shared" si="7"/>
        <v>0.99256934008991438</v>
      </c>
      <c r="M15" s="11">
        <f t="shared" ref="M15:M78" si="11">$J$8*L15^$J$9*(1-(1-L15^(1/$J$5))^$J$5)^2</f>
        <v>1.0823564936341839E-4</v>
      </c>
      <c r="N15" s="11">
        <f t="shared" si="8"/>
        <v>1.0823564936341868E-4</v>
      </c>
      <c r="O15" s="10">
        <f t="shared" si="9"/>
        <v>0.19646321976135711</v>
      </c>
    </row>
    <row r="16" spans="1:28">
      <c r="A16" s="10">
        <v>4</v>
      </c>
      <c r="B16" s="10">
        <f t="shared" si="0"/>
        <v>0.395868</v>
      </c>
      <c r="C16" s="10">
        <f t="shared" si="1"/>
        <v>0.43364748561179944</v>
      </c>
      <c r="D16" s="10">
        <f t="shared" si="2"/>
        <v>0.98131613415235142</v>
      </c>
      <c r="E16" s="10">
        <f t="shared" si="3"/>
        <v>1.7146072642967202E-4</v>
      </c>
      <c r="F16" s="10">
        <f t="shared" si="4"/>
        <v>1.7146072642967191E-4</v>
      </c>
      <c r="G16" s="10">
        <f t="shared" si="10"/>
        <v>0.38847165539462303</v>
      </c>
      <c r="I16" s="10">
        <v>4</v>
      </c>
      <c r="J16" s="10">
        <f t="shared" si="5"/>
        <v>0.395868</v>
      </c>
      <c r="K16" s="10">
        <f t="shared" si="6"/>
        <v>0.37426948351464484</v>
      </c>
      <c r="L16" s="10">
        <f t="shared" si="7"/>
        <v>0.9795338696951601</v>
      </c>
      <c r="M16" s="11">
        <f t="shared" si="11"/>
        <v>7.6878076142669337E-5</v>
      </c>
      <c r="N16" s="11">
        <f t="shared" si="8"/>
        <v>7.6878076142668822E-5</v>
      </c>
      <c r="O16" s="10">
        <f t="shared" si="9"/>
        <v>0.38776611392848365</v>
      </c>
      <c r="R16" s="10">
        <v>1</v>
      </c>
      <c r="S16" s="10">
        <v>0</v>
      </c>
      <c r="T16" s="10">
        <v>-369.80399999999997</v>
      </c>
      <c r="U16" s="10">
        <v>0.1565</v>
      </c>
      <c r="V16" s="11">
        <v>9.2859999999999998E-10</v>
      </c>
      <c r="W16" s="11">
        <v>8.5740000000000002E-5</v>
      </c>
      <c r="X16" s="11">
        <v>1.5109999999999999E-12</v>
      </c>
      <c r="Y16" s="11">
        <v>0</v>
      </c>
      <c r="Z16" s="10">
        <v>-1</v>
      </c>
      <c r="AA16" s="11">
        <v>3.6899999999999999E-9</v>
      </c>
      <c r="AB16" s="10">
        <v>20</v>
      </c>
    </row>
    <row r="17" spans="1:28">
      <c r="A17" s="10">
        <v>5</v>
      </c>
      <c r="B17" s="10">
        <f t="shared" si="0"/>
        <v>0.49483500000000002</v>
      </c>
      <c r="C17" s="10">
        <f t="shared" si="1"/>
        <v>0.43097158206733122</v>
      </c>
      <c r="D17" s="10">
        <f t="shared" si="2"/>
        <v>0.97344582960979786</v>
      </c>
      <c r="E17" s="10">
        <f t="shared" si="3"/>
        <v>1.499574032159537E-4</v>
      </c>
      <c r="F17" s="10">
        <f t="shared" si="4"/>
        <v>1.4995740321595391E-4</v>
      </c>
      <c r="G17" s="10">
        <f t="shared" si="10"/>
        <v>0.48169506709496435</v>
      </c>
      <c r="I17" s="10">
        <v>5</v>
      </c>
      <c r="J17" s="10">
        <f t="shared" si="5"/>
        <v>0.49483500000000002</v>
      </c>
      <c r="K17" s="11">
        <f t="shared" si="6"/>
        <v>0.37211755768482746</v>
      </c>
      <c r="L17" s="10">
        <f t="shared" si="7"/>
        <v>0.97184842030295515</v>
      </c>
      <c r="M17" s="11">
        <f t="shared" si="11"/>
        <v>6.6174941477678973E-5</v>
      </c>
      <c r="N17" s="11">
        <f t="shared" si="8"/>
        <v>6.6174941477678865E-5</v>
      </c>
      <c r="O17" s="10">
        <f t="shared" si="9"/>
        <v>0.48090461306061283</v>
      </c>
      <c r="R17" s="10">
        <v>2</v>
      </c>
      <c r="S17" s="10">
        <v>-0.13420000000000001</v>
      </c>
      <c r="T17" s="10">
        <v>-369.92700000000002</v>
      </c>
      <c r="U17" s="10">
        <v>0.1565</v>
      </c>
      <c r="V17" s="11">
        <v>9.2729999999999999E-10</v>
      </c>
      <c r="W17" s="11">
        <v>8.5699999999999996E-5</v>
      </c>
      <c r="X17" s="11">
        <v>-3.5360000000000002E-9</v>
      </c>
      <c r="Y17" s="11">
        <v>0</v>
      </c>
      <c r="Z17" s="10">
        <v>-1</v>
      </c>
      <c r="AA17" s="11">
        <v>-8.6500000000000002E-6</v>
      </c>
      <c r="AB17" s="10">
        <v>20</v>
      </c>
    </row>
    <row r="18" spans="1:28">
      <c r="A18" s="10">
        <v>6</v>
      </c>
      <c r="B18" s="10">
        <f t="shared" si="0"/>
        <v>0.59380199999999994</v>
      </c>
      <c r="C18" s="10">
        <f t="shared" si="1"/>
        <v>0.42801933487902843</v>
      </c>
      <c r="D18" s="10">
        <f t="shared" si="2"/>
        <v>0.96476274964420139</v>
      </c>
      <c r="E18" s="10">
        <f t="shared" si="3"/>
        <v>1.3174766065071356E-4</v>
      </c>
      <c r="F18" s="10">
        <f t="shared" si="4"/>
        <v>1.3174766065071348E-4</v>
      </c>
      <c r="G18" s="10">
        <f t="shared" si="10"/>
        <v>0.572878050264226</v>
      </c>
      <c r="I18" s="10">
        <v>6</v>
      </c>
      <c r="J18" s="10">
        <f t="shared" si="5"/>
        <v>0.59380199999999994</v>
      </c>
      <c r="K18" s="10">
        <f t="shared" si="6"/>
        <v>0.36981478226073916</v>
      </c>
      <c r="L18" s="10">
        <f t="shared" si="7"/>
        <v>0.96362422235978273</v>
      </c>
      <c r="M18" s="11">
        <f t="shared" si="11"/>
        <v>5.745309695741434E-5</v>
      </c>
      <c r="N18" s="11">
        <f t="shared" si="8"/>
        <v>5.7453096957414178E-5</v>
      </c>
      <c r="O18" s="10">
        <f t="shared" si="9"/>
        <v>0.57220199048568365</v>
      </c>
      <c r="R18" s="10">
        <v>3</v>
      </c>
      <c r="S18" s="10">
        <v>-0.26579999999999998</v>
      </c>
      <c r="T18" s="10">
        <v>-370.55399999999997</v>
      </c>
      <c r="U18" s="10">
        <v>0.15640000000000001</v>
      </c>
      <c r="V18" s="11">
        <v>9.2079999999999996E-10</v>
      </c>
      <c r="W18" s="11">
        <v>8.5439999999999995E-5</v>
      </c>
      <c r="X18" s="11">
        <v>-7.0569999999999999E-9</v>
      </c>
      <c r="Y18" s="11">
        <v>0</v>
      </c>
      <c r="Z18" s="10">
        <v>-1</v>
      </c>
      <c r="AA18" s="11">
        <v>-1.73E-5</v>
      </c>
      <c r="AB18" s="10">
        <v>20</v>
      </c>
    </row>
    <row r="19" spans="1:28">
      <c r="A19" s="10">
        <v>8</v>
      </c>
      <c r="B19" s="10">
        <f t="shared" si="0"/>
        <v>0.791736</v>
      </c>
      <c r="C19" s="10">
        <f t="shared" si="1"/>
        <v>0.42148095551333009</v>
      </c>
      <c r="D19" s="10">
        <f t="shared" si="2"/>
        <v>0.94553222209802978</v>
      </c>
      <c r="E19" s="10">
        <f t="shared" si="3"/>
        <v>1.0272866568855147E-4</v>
      </c>
      <c r="F19" s="10">
        <f t="shared" si="4"/>
        <v>1.0272866568855168E-4</v>
      </c>
      <c r="G19" s="10">
        <f t="shared" si="10"/>
        <v>0.74861189939500572</v>
      </c>
      <c r="I19" s="10">
        <v>8</v>
      </c>
      <c r="J19" s="10">
        <f t="shared" si="5"/>
        <v>0.791736</v>
      </c>
      <c r="K19" s="10">
        <f t="shared" si="6"/>
        <v>0.364894146749554</v>
      </c>
      <c r="L19" s="10">
        <f t="shared" si="7"/>
        <v>0.94605052410555002</v>
      </c>
      <c r="M19" s="11">
        <f t="shared" si="11"/>
        <v>4.413370405888043E-5</v>
      </c>
      <c r="N19" s="11">
        <f t="shared" si="8"/>
        <v>4.4133704058880308E-5</v>
      </c>
      <c r="O19" s="10">
        <f t="shared" si="9"/>
        <v>0.74902225775323172</v>
      </c>
      <c r="R19" s="10">
        <v>4</v>
      </c>
      <c r="S19" s="10">
        <v>-0.39479999999999998</v>
      </c>
      <c r="T19" s="10">
        <v>-371.66899999999998</v>
      </c>
      <c r="U19" s="10">
        <v>0.15629999999999999</v>
      </c>
      <c r="V19" s="11">
        <v>9.0920000000000002E-10</v>
      </c>
      <c r="W19" s="11">
        <v>8.5000000000000006E-5</v>
      </c>
      <c r="X19" s="11">
        <v>-1.054E-8</v>
      </c>
      <c r="Y19" s="11">
        <v>0</v>
      </c>
      <c r="Z19" s="10">
        <v>-1</v>
      </c>
      <c r="AA19" s="11">
        <v>-2.58E-5</v>
      </c>
      <c r="AB19" s="10">
        <v>20</v>
      </c>
    </row>
    <row r="20" spans="1:28">
      <c r="A20" s="10">
        <v>10</v>
      </c>
      <c r="B20" s="10">
        <f t="shared" si="0"/>
        <v>0.98967000000000005</v>
      </c>
      <c r="C20" s="10">
        <f t="shared" si="1"/>
        <v>0.41435990052459859</v>
      </c>
      <c r="D20" s="10">
        <f t="shared" si="2"/>
        <v>0.92458794271940781</v>
      </c>
      <c r="E20" s="10">
        <f t="shared" si="3"/>
        <v>8.0960360265585008E-5</v>
      </c>
      <c r="F20" s="10">
        <f t="shared" si="4"/>
        <v>8.0960360265584845E-5</v>
      </c>
      <c r="G20" s="10">
        <f t="shared" si="10"/>
        <v>0.91503694927111634</v>
      </c>
      <c r="I20" s="10">
        <v>10</v>
      </c>
      <c r="J20" s="10">
        <f t="shared" si="5"/>
        <v>0.98967000000000005</v>
      </c>
      <c r="K20" s="10">
        <f t="shared" si="6"/>
        <v>0.3597225925772245</v>
      </c>
      <c r="L20" s="10">
        <f t="shared" si="7"/>
        <v>0.92758068777580172</v>
      </c>
      <c r="M20" s="11">
        <f t="shared" si="11"/>
        <v>3.4556010269072802E-5</v>
      </c>
      <c r="N20" s="11">
        <f t="shared" si="8"/>
        <v>3.4556010269072748E-5</v>
      </c>
      <c r="O20" s="10">
        <f t="shared" si="9"/>
        <v>0.91799877927107776</v>
      </c>
      <c r="R20" s="10">
        <v>5</v>
      </c>
      <c r="S20" s="10">
        <v>-0.5212</v>
      </c>
      <c r="T20" s="10">
        <v>-373.26900000000001</v>
      </c>
      <c r="U20" s="10">
        <v>0.15620000000000001</v>
      </c>
      <c r="V20" s="11">
        <v>8.9249999999999997E-10</v>
      </c>
      <c r="W20" s="11">
        <v>8.4350000000000004E-5</v>
      </c>
      <c r="X20" s="11">
        <v>-1.4009999999999999E-8</v>
      </c>
      <c r="Y20" s="11">
        <v>0</v>
      </c>
      <c r="Z20" s="10">
        <v>-1</v>
      </c>
      <c r="AA20" s="11">
        <v>-3.43E-5</v>
      </c>
      <c r="AB20" s="10">
        <v>20</v>
      </c>
    </row>
    <row r="21" spans="1:28">
      <c r="A21" s="10">
        <v>11</v>
      </c>
      <c r="B21" s="10">
        <f t="shared" si="0"/>
        <v>1.0886370000000001</v>
      </c>
      <c r="C21" s="10">
        <f t="shared" si="1"/>
        <v>0.41066093296903661</v>
      </c>
      <c r="D21" s="10">
        <f t="shared" si="2"/>
        <v>0.91370862637951955</v>
      </c>
      <c r="E21" s="10">
        <f t="shared" si="3"/>
        <v>7.2121091399049566E-5</v>
      </c>
      <c r="F21" s="10">
        <f t="shared" si="4"/>
        <v>7.2121091399049526E-5</v>
      </c>
      <c r="G21" s="10">
        <f t="shared" si="10"/>
        <v>0.99469701789592113</v>
      </c>
      <c r="I21" s="10">
        <v>11</v>
      </c>
      <c r="J21" s="10">
        <f t="shared" si="5"/>
        <v>1.0886370000000001</v>
      </c>
      <c r="K21" s="10">
        <f t="shared" si="6"/>
        <v>0.35709041192451751</v>
      </c>
      <c r="L21" s="10">
        <f t="shared" si="7"/>
        <v>0.91818004258756258</v>
      </c>
      <c r="M21" s="11">
        <f t="shared" si="11"/>
        <v>3.0755429200791714E-5</v>
      </c>
      <c r="N21" s="11">
        <f t="shared" si="8"/>
        <v>3.0755429200791681E-5</v>
      </c>
      <c r="O21" s="10">
        <f t="shared" si="9"/>
        <v>0.99956476702239649</v>
      </c>
      <c r="R21" s="10">
        <v>6</v>
      </c>
      <c r="S21" s="10">
        <v>-0.64500000000000002</v>
      </c>
      <c r="T21" s="10">
        <v>-375.358</v>
      </c>
      <c r="U21" s="10">
        <v>0.156</v>
      </c>
      <c r="V21" s="11">
        <v>8.707E-10</v>
      </c>
      <c r="W21" s="11">
        <v>8.352E-5</v>
      </c>
      <c r="X21" s="11">
        <v>-1.7479999999999998E-8</v>
      </c>
      <c r="Y21" s="11">
        <v>0</v>
      </c>
      <c r="Z21" s="10">
        <v>-1</v>
      </c>
      <c r="AA21" s="11">
        <v>-4.2700000000000001E-5</v>
      </c>
      <c r="AB21" s="10">
        <v>20</v>
      </c>
    </row>
    <row r="22" spans="1:28">
      <c r="A22" s="10">
        <v>13</v>
      </c>
      <c r="B22" s="10">
        <f t="shared" si="0"/>
        <v>1.2865709999999999</v>
      </c>
      <c r="C22" s="10">
        <f t="shared" si="1"/>
        <v>0.40311152898513924</v>
      </c>
      <c r="D22" s="10">
        <f t="shared" si="2"/>
        <v>0.89150449701511558</v>
      </c>
      <c r="E22" s="10">
        <f t="shared" si="3"/>
        <v>5.759753467719006E-5</v>
      </c>
      <c r="F22" s="10">
        <f t="shared" si="4"/>
        <v>5.7597534677189958E-5</v>
      </c>
      <c r="G22" s="10">
        <f t="shared" si="10"/>
        <v>1.1469838322292343</v>
      </c>
      <c r="I22" s="10">
        <v>13</v>
      </c>
      <c r="J22" s="10">
        <f t="shared" si="5"/>
        <v>1.2865709999999999</v>
      </c>
      <c r="K22" s="10">
        <f t="shared" si="6"/>
        <v>0.35180219898245002</v>
      </c>
      <c r="L22" s="10">
        <f t="shared" si="7"/>
        <v>0.89929356779446434</v>
      </c>
      <c r="M22" s="11">
        <f t="shared" si="11"/>
        <v>2.4606274638940568E-5</v>
      </c>
      <c r="N22" s="11">
        <f t="shared" si="8"/>
        <v>2.4606274638940588E-5</v>
      </c>
      <c r="O22" s="10">
        <f t="shared" si="9"/>
        <v>1.1570050248108916</v>
      </c>
      <c r="R22" s="10">
        <v>7</v>
      </c>
      <c r="S22" s="10">
        <v>-0.76629999999999998</v>
      </c>
      <c r="T22" s="10">
        <v>-377.95800000000003</v>
      </c>
      <c r="U22" s="10">
        <v>0.15570000000000001</v>
      </c>
      <c r="V22" s="11">
        <v>8.4359999999999996E-10</v>
      </c>
      <c r="W22" s="11">
        <v>8.2470000000000002E-5</v>
      </c>
      <c r="X22" s="11">
        <v>-2.096E-8</v>
      </c>
      <c r="Y22" s="11">
        <v>0</v>
      </c>
      <c r="Z22" s="10">
        <v>-1</v>
      </c>
      <c r="AA22" s="11">
        <v>-5.1199999999999998E-5</v>
      </c>
      <c r="AB22" s="10">
        <v>20</v>
      </c>
    </row>
    <row r="23" spans="1:28">
      <c r="A23" s="10">
        <v>15</v>
      </c>
      <c r="B23" s="10">
        <f t="shared" si="0"/>
        <v>1.484505</v>
      </c>
      <c r="C23" s="10">
        <f t="shared" si="1"/>
        <v>0.39548980378117238</v>
      </c>
      <c r="D23" s="10">
        <f t="shared" si="2"/>
        <v>0.86908765817991895</v>
      </c>
      <c r="E23" s="10">
        <f t="shared" si="3"/>
        <v>4.6371006218061284E-5</v>
      </c>
      <c r="F23" s="10">
        <f t="shared" si="4"/>
        <v>4.6371006218061256E-5</v>
      </c>
      <c r="G23" s="10">
        <f t="shared" si="10"/>
        <v>1.2901649740063805</v>
      </c>
      <c r="I23" s="10">
        <v>15</v>
      </c>
      <c r="J23" s="10">
        <f t="shared" si="5"/>
        <v>1.484505</v>
      </c>
      <c r="K23" s="10">
        <f t="shared" si="6"/>
        <v>0.34654871213562444</v>
      </c>
      <c r="L23" s="10">
        <f t="shared" si="7"/>
        <v>0.88053111477008716</v>
      </c>
      <c r="M23" s="11">
        <f t="shared" si="11"/>
        <v>1.9920105551587099E-5</v>
      </c>
      <c r="N23" s="11">
        <f t="shared" si="8"/>
        <v>1.9920105551587086E-5</v>
      </c>
      <c r="O23" s="10">
        <f t="shared" si="9"/>
        <v>1.3071528425317682</v>
      </c>
      <c r="R23" s="10">
        <v>8</v>
      </c>
      <c r="S23" s="10">
        <v>-0.88490000000000002</v>
      </c>
      <c r="T23" s="10">
        <v>-381.09899999999999</v>
      </c>
      <c r="U23" s="10">
        <v>0.1555</v>
      </c>
      <c r="V23" s="11">
        <v>8.1089999999999996E-10</v>
      </c>
      <c r="W23" s="11">
        <v>8.1210000000000003E-5</v>
      </c>
      <c r="X23" s="11">
        <v>-2.4480000000000001E-8</v>
      </c>
      <c r="Y23" s="11">
        <v>0</v>
      </c>
      <c r="Z23" s="10">
        <v>-1</v>
      </c>
      <c r="AA23" s="11">
        <v>-5.9799999999999997E-5</v>
      </c>
      <c r="AB23" s="10">
        <v>20</v>
      </c>
    </row>
    <row r="24" spans="1:28">
      <c r="A24" s="10">
        <v>17</v>
      </c>
      <c r="B24" s="10">
        <f t="shared" si="0"/>
        <v>1.682439</v>
      </c>
      <c r="C24" s="10">
        <f t="shared" si="1"/>
        <v>0.38791459588065125</v>
      </c>
      <c r="D24" s="10">
        <f t="shared" si="2"/>
        <v>0.84680763494309208</v>
      </c>
      <c r="E24" s="10">
        <f t="shared" si="3"/>
        <v>3.7621920808190098E-5</v>
      </c>
      <c r="F24" s="10">
        <f t="shared" si="4"/>
        <v>3.7621920808190064E-5</v>
      </c>
      <c r="G24" s="10">
        <f t="shared" si="10"/>
        <v>1.4247021905260209</v>
      </c>
      <c r="I24" s="10">
        <v>17</v>
      </c>
      <c r="J24" s="10">
        <f t="shared" si="5"/>
        <v>1.682439</v>
      </c>
      <c r="K24" s="10">
        <f t="shared" si="6"/>
        <v>0.34138723030952767</v>
      </c>
      <c r="L24" s="10">
        <f t="shared" si="7"/>
        <v>0.86209725110545588</v>
      </c>
      <c r="M24" s="11">
        <f t="shared" si="11"/>
        <v>1.6296066062001069E-5</v>
      </c>
      <c r="N24" s="11">
        <f t="shared" si="8"/>
        <v>1.6296066062001058E-5</v>
      </c>
      <c r="O24" s="10">
        <f t="shared" si="9"/>
        <v>1.4504260370526121</v>
      </c>
      <c r="R24" s="10">
        <v>9</v>
      </c>
      <c r="S24" s="10">
        <v>-1.0009999999999999</v>
      </c>
      <c r="T24" s="10">
        <v>-384.83499999999998</v>
      </c>
      <c r="U24" s="10">
        <v>0.15509999999999999</v>
      </c>
      <c r="V24" s="11">
        <v>7.7200000000000002E-10</v>
      </c>
      <c r="W24" s="11">
        <v>7.9709999999999994E-5</v>
      </c>
      <c r="X24" s="11">
        <v>-2.805E-8</v>
      </c>
      <c r="Y24" s="11">
        <v>0</v>
      </c>
      <c r="Z24" s="10">
        <v>-1</v>
      </c>
      <c r="AA24" s="11">
        <v>-6.86E-5</v>
      </c>
      <c r="AB24" s="10">
        <v>20</v>
      </c>
    </row>
    <row r="25" spans="1:28">
      <c r="A25" s="10">
        <v>19</v>
      </c>
      <c r="B25" s="10">
        <f t="shared" si="0"/>
        <v>1.8803730000000001</v>
      </c>
      <c r="C25" s="10">
        <f t="shared" si="1"/>
        <v>0.38047086080631898</v>
      </c>
      <c r="D25" s="10">
        <f t="shared" si="2"/>
        <v>0.82491429648917358</v>
      </c>
      <c r="E25" s="10">
        <f t="shared" si="3"/>
        <v>3.0751673137427198E-5</v>
      </c>
      <c r="F25" s="10">
        <f t="shared" si="4"/>
        <v>3.0751673137427238E-5</v>
      </c>
      <c r="G25" s="10">
        <f t="shared" si="10"/>
        <v>1.5511465704322369</v>
      </c>
      <c r="I25" s="10">
        <v>19</v>
      </c>
      <c r="J25" s="10">
        <f t="shared" si="5"/>
        <v>1.8803730000000001</v>
      </c>
      <c r="K25" s="10">
        <f t="shared" si="6"/>
        <v>0.33635578134419003</v>
      </c>
      <c r="L25" s="10">
        <f t="shared" si="7"/>
        <v>0.84412779051496434</v>
      </c>
      <c r="M25" s="11">
        <f t="shared" si="11"/>
        <v>1.3458027754243125E-5</v>
      </c>
      <c r="N25" s="11">
        <f t="shared" si="8"/>
        <v>1.3458027754243105E-5</v>
      </c>
      <c r="O25" s="10">
        <f t="shared" si="9"/>
        <v>1.5872751058339951</v>
      </c>
      <c r="R25" s="10">
        <v>10</v>
      </c>
      <c r="S25" s="10">
        <v>-1.1145</v>
      </c>
      <c r="T25" s="10">
        <v>-389.17099999999999</v>
      </c>
      <c r="U25" s="10">
        <v>0.15479999999999999</v>
      </c>
      <c r="V25" s="11">
        <v>7.5140000000000001E-10</v>
      </c>
      <c r="W25" s="11">
        <v>7.8640000000000006E-5</v>
      </c>
      <c r="X25" s="11">
        <v>-3.114E-8</v>
      </c>
      <c r="Y25" s="11">
        <v>0</v>
      </c>
      <c r="Z25" s="10">
        <v>-1</v>
      </c>
      <c r="AA25" s="11">
        <v>-7.6100000000000007E-5</v>
      </c>
      <c r="AB25" s="10">
        <v>20</v>
      </c>
    </row>
    <row r="26" spans="1:28">
      <c r="A26" s="10">
        <v>21</v>
      </c>
      <c r="B26" s="10">
        <f t="shared" si="0"/>
        <v>2.0783070000000001</v>
      </c>
      <c r="C26" s="10">
        <f t="shared" si="1"/>
        <v>0.37321728436836488</v>
      </c>
      <c r="D26" s="10">
        <f t="shared" si="2"/>
        <v>0.80358024814224982</v>
      </c>
      <c r="E26" s="10">
        <f t="shared" si="3"/>
        <v>2.5317353473125483E-5</v>
      </c>
      <c r="F26" s="10">
        <f t="shared" si="4"/>
        <v>2.5317353473125402E-5</v>
      </c>
      <c r="G26" s="10">
        <f t="shared" si="10"/>
        <v>1.670086454775775</v>
      </c>
      <c r="I26" s="10">
        <v>21</v>
      </c>
      <c r="J26" s="10">
        <f t="shared" si="5"/>
        <v>2.0783070000000001</v>
      </c>
      <c r="K26" s="10">
        <f t="shared" si="6"/>
        <v>0.33147851443017506</v>
      </c>
      <c r="L26" s="10">
        <f t="shared" si="7"/>
        <v>0.82670898010776794</v>
      </c>
      <c r="M26" s="11">
        <f t="shared" si="11"/>
        <v>1.121072378949935E-5</v>
      </c>
      <c r="N26" s="11">
        <f t="shared" si="8"/>
        <v>1.1210723789499361E-5</v>
      </c>
      <c r="O26" s="10">
        <f t="shared" si="9"/>
        <v>1.7181550603208349</v>
      </c>
      <c r="R26" s="10">
        <v>11</v>
      </c>
      <c r="S26" s="10">
        <v>-1.2254</v>
      </c>
      <c r="T26" s="10">
        <v>-393.90699999999998</v>
      </c>
      <c r="U26" s="10">
        <v>0.1545</v>
      </c>
      <c r="V26" s="11">
        <v>7.3269999999999996E-10</v>
      </c>
      <c r="W26" s="11">
        <v>7.7559999999999996E-5</v>
      </c>
      <c r="X26" s="11">
        <v>-3.3689999999999999E-8</v>
      </c>
      <c r="Y26" s="11">
        <v>0</v>
      </c>
      <c r="Z26" s="10">
        <v>-1</v>
      </c>
      <c r="AA26" s="11">
        <v>-8.2299999999999995E-5</v>
      </c>
      <c r="AB26" s="10">
        <v>20</v>
      </c>
    </row>
    <row r="27" spans="1:28">
      <c r="A27" s="10">
        <v>23</v>
      </c>
      <c r="B27" s="10">
        <f t="shared" si="0"/>
        <v>2.2762410000000002</v>
      </c>
      <c r="C27" s="10">
        <f t="shared" si="1"/>
        <v>0.36619252216994902</v>
      </c>
      <c r="D27" s="10">
        <f t="shared" si="2"/>
        <v>0.78291918285279138</v>
      </c>
      <c r="E27" s="10">
        <f t="shared" si="3"/>
        <v>2.098824981233262E-5</v>
      </c>
      <c r="F27" s="10">
        <f t="shared" si="4"/>
        <v>2.0988249812332597E-5</v>
      </c>
      <c r="G27" s="10">
        <f t="shared" si="10"/>
        <v>1.7821127436960209</v>
      </c>
      <c r="I27" s="10">
        <v>23</v>
      </c>
      <c r="J27" s="10">
        <f t="shared" si="5"/>
        <v>2.2762410000000002</v>
      </c>
      <c r="K27" s="10">
        <f t="shared" si="6"/>
        <v>0.32676961119169901</v>
      </c>
      <c r="L27" s="10">
        <f t="shared" si="7"/>
        <v>0.80989146854178207</v>
      </c>
      <c r="M27" s="11">
        <f t="shared" si="11"/>
        <v>9.413278127556372E-6</v>
      </c>
      <c r="N27" s="11">
        <f t="shared" si="8"/>
        <v>9.4132781275563805E-6</v>
      </c>
      <c r="O27" s="10">
        <f t="shared" si="9"/>
        <v>1.8435081662450148</v>
      </c>
      <c r="R27" s="10">
        <v>12</v>
      </c>
      <c r="S27" s="10">
        <v>-1.3335999999999999</v>
      </c>
      <c r="T27" s="10">
        <v>-399.03899999999999</v>
      </c>
      <c r="U27" s="10">
        <v>0.15409999999999999</v>
      </c>
      <c r="V27" s="11">
        <v>7.1240000000000004E-10</v>
      </c>
      <c r="W27" s="11">
        <v>7.64E-5</v>
      </c>
      <c r="X27" s="11">
        <v>-3.6190000000000002E-8</v>
      </c>
      <c r="Y27" s="11">
        <v>0</v>
      </c>
      <c r="Z27" s="10">
        <v>-1</v>
      </c>
      <c r="AA27" s="11">
        <v>-8.8499999999999996E-5</v>
      </c>
      <c r="AB27" s="10">
        <v>20</v>
      </c>
    </row>
    <row r="28" spans="1:28">
      <c r="A28" s="10">
        <v>25</v>
      </c>
      <c r="B28" s="10">
        <f t="shared" si="0"/>
        <v>2.4741749999999998</v>
      </c>
      <c r="C28" s="10">
        <f t="shared" si="1"/>
        <v>0.35942020416137888</v>
      </c>
      <c r="D28" s="10">
        <f t="shared" si="2"/>
        <v>0.76300060047464391</v>
      </c>
      <c r="E28" s="10">
        <f t="shared" si="3"/>
        <v>1.7515605184882182E-5</v>
      </c>
      <c r="F28" s="10">
        <f t="shared" si="4"/>
        <v>1.7515605184882179E-5</v>
      </c>
      <c r="G28" s="10">
        <f t="shared" si="10"/>
        <v>1.887797010679352</v>
      </c>
      <c r="I28" s="10">
        <v>25</v>
      </c>
      <c r="J28" s="10">
        <f t="shared" si="5"/>
        <v>2.4741749999999998</v>
      </c>
      <c r="K28" s="10">
        <f t="shared" si="6"/>
        <v>0.32223614727554795</v>
      </c>
      <c r="L28" s="10">
        <f t="shared" si="7"/>
        <v>0.79370052598409968</v>
      </c>
      <c r="M28" s="11">
        <f t="shared" si="11"/>
        <v>7.9623977836054603E-6</v>
      </c>
      <c r="N28" s="11">
        <f t="shared" si="8"/>
        <v>7.9623977836054603E-6</v>
      </c>
      <c r="O28" s="10">
        <f t="shared" si="9"/>
        <v>1.9637539988767096</v>
      </c>
      <c r="R28" s="10">
        <v>13</v>
      </c>
      <c r="S28" s="10">
        <v>-1.4393</v>
      </c>
      <c r="T28" s="10">
        <v>-404.57600000000002</v>
      </c>
      <c r="U28" s="10">
        <v>0.15379999999999999</v>
      </c>
      <c r="V28" s="11">
        <v>6.9040000000000001E-10</v>
      </c>
      <c r="W28" s="11">
        <v>7.5140000000000002E-5</v>
      </c>
      <c r="X28" s="11">
        <v>-3.8640000000000001E-8</v>
      </c>
      <c r="Y28" s="11">
        <v>0</v>
      </c>
      <c r="Z28" s="10">
        <v>-1</v>
      </c>
      <c r="AA28" s="11">
        <v>-9.4400000000000004E-5</v>
      </c>
      <c r="AB28" s="10">
        <v>20</v>
      </c>
    </row>
    <row r="29" spans="1:28">
      <c r="A29" s="10">
        <v>27</v>
      </c>
      <c r="B29" s="10">
        <f t="shared" si="0"/>
        <v>2.6721089999999998</v>
      </c>
      <c r="C29" s="10">
        <f t="shared" si="1"/>
        <v>0.35291286977348213</v>
      </c>
      <c r="D29" s="10">
        <f t="shared" si="2"/>
        <v>0.74386138168671223</v>
      </c>
      <c r="E29" s="10">
        <f t="shared" si="3"/>
        <v>1.4711074930071119E-5</v>
      </c>
      <c r="F29" s="10">
        <f t="shared" si="4"/>
        <v>1.4711074930071073E-5</v>
      </c>
      <c r="G29" s="10">
        <f t="shared" si="10"/>
        <v>1.9876786927574988</v>
      </c>
      <c r="I29" s="10">
        <v>27</v>
      </c>
      <c r="J29" s="10">
        <f t="shared" si="5"/>
        <v>2.6721089999999998</v>
      </c>
      <c r="K29" s="10">
        <f t="shared" si="6"/>
        <v>0.31788018668471729</v>
      </c>
      <c r="L29" s="10">
        <f t="shared" si="7"/>
        <v>0.77814352387399022</v>
      </c>
      <c r="M29" s="11">
        <f t="shared" si="11"/>
        <v>6.7813030276105759E-6</v>
      </c>
      <c r="N29" s="11">
        <f t="shared" si="8"/>
        <v>6.7813030276105827E-6</v>
      </c>
      <c r="O29" s="10">
        <f t="shared" si="9"/>
        <v>2.0792843134354042</v>
      </c>
      <c r="R29" s="10">
        <v>14</v>
      </c>
      <c r="S29" s="10">
        <v>-1.5425</v>
      </c>
      <c r="T29" s="10">
        <v>-410.529</v>
      </c>
      <c r="U29" s="10">
        <v>0.15340000000000001</v>
      </c>
      <c r="V29" s="11">
        <v>6.6680000000000001E-10</v>
      </c>
      <c r="W29" s="11">
        <v>7.3789999999999997E-5</v>
      </c>
      <c r="X29" s="11">
        <v>-4.1040000000000002E-8</v>
      </c>
      <c r="Y29" s="11">
        <v>0</v>
      </c>
      <c r="Z29" s="10">
        <v>-1</v>
      </c>
      <c r="AA29" s="11">
        <v>-1E-4</v>
      </c>
      <c r="AB29" s="10">
        <v>20</v>
      </c>
    </row>
    <row r="30" spans="1:28">
      <c r="A30" s="10">
        <v>30</v>
      </c>
      <c r="B30" s="10">
        <f t="shared" si="0"/>
        <v>2.9690099999999999</v>
      </c>
      <c r="C30" s="10">
        <f t="shared" si="1"/>
        <v>0.34365691999297465</v>
      </c>
      <c r="D30" s="10">
        <f t="shared" si="2"/>
        <v>0.7166379999793373</v>
      </c>
      <c r="E30" s="10">
        <f t="shared" si="3"/>
        <v>1.1452492933996862E-5</v>
      </c>
      <c r="F30" s="10">
        <f t="shared" si="4"/>
        <v>1.145249293399686E-5</v>
      </c>
      <c r="G30" s="10">
        <f t="shared" si="10"/>
        <v>2.1277053883186521</v>
      </c>
      <c r="I30" s="10">
        <v>30</v>
      </c>
      <c r="J30" s="10">
        <f t="shared" si="5"/>
        <v>2.9690099999999999</v>
      </c>
      <c r="K30" s="10">
        <f t="shared" si="6"/>
        <v>0.3116752921057046</v>
      </c>
      <c r="L30" s="10">
        <f t="shared" si="7"/>
        <v>0.75598318609180204</v>
      </c>
      <c r="M30" s="11">
        <f t="shared" si="11"/>
        <v>5.3930523994700507E-6</v>
      </c>
      <c r="N30" s="11">
        <f t="shared" si="8"/>
        <v>5.3930523994700507E-6</v>
      </c>
      <c r="O30" s="10">
        <f t="shared" si="9"/>
        <v>2.2445216393384211</v>
      </c>
      <c r="R30" s="10">
        <v>15</v>
      </c>
      <c r="S30" s="10">
        <v>-1.643</v>
      </c>
      <c r="T30" s="10">
        <v>-416.91899999999998</v>
      </c>
      <c r="U30" s="10">
        <v>0.15290000000000001</v>
      </c>
      <c r="V30" s="11">
        <v>6.4150000000000001E-10</v>
      </c>
      <c r="W30" s="11">
        <v>7.2340000000000002E-5</v>
      </c>
      <c r="X30" s="11">
        <v>-4.3380000000000002E-8</v>
      </c>
      <c r="Y30" s="11">
        <v>0</v>
      </c>
      <c r="Z30" s="10">
        <v>-1</v>
      </c>
      <c r="AA30" s="11">
        <v>-1.06E-4</v>
      </c>
      <c r="AB30" s="10">
        <v>20</v>
      </c>
    </row>
    <row r="31" spans="1:28">
      <c r="A31" s="10">
        <v>40</v>
      </c>
      <c r="B31" s="10">
        <f t="shared" si="0"/>
        <v>3.9586800000000002</v>
      </c>
      <c r="C31" s="10">
        <f t="shared" si="1"/>
        <v>0.31696927640476913</v>
      </c>
      <c r="D31" s="10">
        <f t="shared" si="2"/>
        <v>0.63814493060226218</v>
      </c>
      <c r="E31" s="10">
        <f t="shared" si="3"/>
        <v>5.4234491527802766E-6</v>
      </c>
      <c r="F31" s="10">
        <f t="shared" si="4"/>
        <v>5.4234491527802859E-6</v>
      </c>
      <c r="G31" s="10">
        <f t="shared" si="10"/>
        <v>2.5262115738765636</v>
      </c>
      <c r="I31" s="10">
        <v>40</v>
      </c>
      <c r="J31" s="10">
        <f t="shared" si="5"/>
        <v>3.9586800000000002</v>
      </c>
      <c r="K31" s="10">
        <f t="shared" si="6"/>
        <v>0.29362922830858307</v>
      </c>
      <c r="L31" s="10">
        <f t="shared" si="7"/>
        <v>0.69153295824493943</v>
      </c>
      <c r="M31" s="11">
        <f t="shared" si="11"/>
        <v>2.7405385004991131E-6</v>
      </c>
      <c r="N31" s="11">
        <f t="shared" si="8"/>
        <v>2.7405385004991131E-6</v>
      </c>
      <c r="O31" s="10">
        <f t="shared" si="9"/>
        <v>2.737557691145077</v>
      </c>
      <c r="R31" s="10">
        <v>16</v>
      </c>
      <c r="S31" s="10">
        <v>-1.7408999999999999</v>
      </c>
      <c r="T31" s="10">
        <v>-423.77</v>
      </c>
      <c r="U31" s="10">
        <v>0.1525</v>
      </c>
      <c r="V31" s="11">
        <v>6.1439999999999997E-10</v>
      </c>
      <c r="W31" s="11">
        <v>7.0779999999999997E-5</v>
      </c>
      <c r="X31" s="11">
        <v>-4.5680000000000003E-8</v>
      </c>
      <c r="Y31" s="11">
        <v>0</v>
      </c>
      <c r="Z31" s="10">
        <v>-1</v>
      </c>
      <c r="AA31" s="11">
        <v>-1.12E-4</v>
      </c>
      <c r="AB31" s="10">
        <v>20</v>
      </c>
    </row>
    <row r="32" spans="1:28">
      <c r="A32" s="10">
        <v>50</v>
      </c>
      <c r="B32" s="10">
        <f t="shared" si="0"/>
        <v>4.9483499999999996</v>
      </c>
      <c r="C32" s="10">
        <f t="shared" si="1"/>
        <v>0.29572961750685822</v>
      </c>
      <c r="D32" s="10">
        <f t="shared" si="2"/>
        <v>0.57567534560840661</v>
      </c>
      <c r="E32" s="10">
        <f t="shared" si="3"/>
        <v>2.8685209770977183E-6</v>
      </c>
      <c r="F32" s="10">
        <f t="shared" si="4"/>
        <v>2.8685209770977183E-6</v>
      </c>
      <c r="G32" s="10">
        <f t="shared" si="10"/>
        <v>2.8486430964413585</v>
      </c>
      <c r="I32" s="10">
        <v>50</v>
      </c>
      <c r="J32" s="10">
        <f t="shared" si="5"/>
        <v>4.9483499999999996</v>
      </c>
      <c r="K32" s="10">
        <f t="shared" si="6"/>
        <v>0.27898552220226513</v>
      </c>
      <c r="L32" s="10">
        <f t="shared" si="7"/>
        <v>0.63923400786523255</v>
      </c>
      <c r="M32" s="11">
        <f t="shared" si="11"/>
        <v>1.5469291256952563E-6</v>
      </c>
      <c r="N32" s="11">
        <f t="shared" si="8"/>
        <v>1.5469291256952527E-6</v>
      </c>
      <c r="O32" s="10">
        <f t="shared" si="9"/>
        <v>3.1631536028199232</v>
      </c>
      <c r="R32" s="10">
        <v>17</v>
      </c>
      <c r="S32" s="10">
        <v>-1.8363</v>
      </c>
      <c r="T32" s="10">
        <v>-431.12</v>
      </c>
      <c r="U32" s="10">
        <v>0.152</v>
      </c>
      <c r="V32" s="11">
        <v>5.8530000000000004E-10</v>
      </c>
      <c r="W32" s="11">
        <v>6.9109999999999994E-5</v>
      </c>
      <c r="X32" s="11">
        <v>-4.7939999999999998E-8</v>
      </c>
      <c r="Y32" s="11">
        <v>0</v>
      </c>
      <c r="Z32" s="10">
        <v>-1</v>
      </c>
      <c r="AA32" s="11">
        <v>-1.17E-4</v>
      </c>
      <c r="AB32" s="10">
        <v>20</v>
      </c>
    </row>
    <row r="33" spans="1:28">
      <c r="A33" s="10">
        <v>60</v>
      </c>
      <c r="B33" s="10">
        <f t="shared" si="0"/>
        <v>5.9380199999999999</v>
      </c>
      <c r="C33" s="10">
        <f t="shared" si="1"/>
        <v>0.27863613445364521</v>
      </c>
      <c r="D33" s="10">
        <f t="shared" si="2"/>
        <v>0.52540039545189776</v>
      </c>
      <c r="E33" s="10">
        <f t="shared" si="3"/>
        <v>1.652815487881438E-6</v>
      </c>
      <c r="F33" s="10">
        <f t="shared" si="4"/>
        <v>1.6528154878814333E-6</v>
      </c>
      <c r="G33" s="10">
        <f t="shared" si="10"/>
        <v>3.119838056201278</v>
      </c>
      <c r="I33" s="10">
        <v>60</v>
      </c>
      <c r="J33" s="10">
        <f t="shared" si="5"/>
        <v>5.9380199999999999</v>
      </c>
      <c r="K33" s="10">
        <f t="shared" si="6"/>
        <v>0.2669437206698026</v>
      </c>
      <c r="L33" s="10">
        <f t="shared" si="7"/>
        <v>0.59622757382072344</v>
      </c>
      <c r="M33" s="11">
        <f t="shared" si="11"/>
        <v>9.4470350993994638E-7</v>
      </c>
      <c r="N33" s="11">
        <f t="shared" si="8"/>
        <v>9.4470350993995199E-7</v>
      </c>
      <c r="O33" s="10">
        <f t="shared" si="9"/>
        <v>3.5404112578989322</v>
      </c>
      <c r="R33" s="10">
        <v>18</v>
      </c>
      <c r="S33" s="10">
        <v>-1.929</v>
      </c>
      <c r="T33" s="10">
        <v>-439.01799999999997</v>
      </c>
      <c r="U33" s="10">
        <v>0.1515</v>
      </c>
      <c r="V33" s="11">
        <v>5.5400000000000005E-10</v>
      </c>
      <c r="W33" s="11">
        <v>6.7319999999999999E-5</v>
      </c>
      <c r="X33" s="11">
        <v>-5.0169999999999999E-8</v>
      </c>
      <c r="Y33" s="11">
        <v>0</v>
      </c>
      <c r="Z33" s="10">
        <v>-1</v>
      </c>
      <c r="AA33" s="11">
        <v>-1.2300000000000001E-4</v>
      </c>
      <c r="AB33" s="10">
        <v>20</v>
      </c>
    </row>
    <row r="34" spans="1:28">
      <c r="A34" s="10">
        <v>70</v>
      </c>
      <c r="B34" s="10">
        <f t="shared" si="0"/>
        <v>6.9276900000000001</v>
      </c>
      <c r="C34" s="10">
        <f t="shared" si="1"/>
        <v>0.26464962691052085</v>
      </c>
      <c r="D34" s="10">
        <f t="shared" si="2"/>
        <v>0.4842636085603555</v>
      </c>
      <c r="E34" s="10">
        <f t="shared" si="3"/>
        <v>1.0184637615186563E-6</v>
      </c>
      <c r="F34" s="10">
        <f t="shared" si="4"/>
        <v>1.0184637615186597E-6</v>
      </c>
      <c r="G34" s="10">
        <f t="shared" si="10"/>
        <v>3.3548281583874893</v>
      </c>
      <c r="I34" s="10">
        <v>70</v>
      </c>
      <c r="J34" s="10">
        <f t="shared" si="5"/>
        <v>6.9276900000000001</v>
      </c>
      <c r="K34" s="10">
        <f t="shared" si="6"/>
        <v>0.25688219868954087</v>
      </c>
      <c r="L34" s="10">
        <f t="shared" si="7"/>
        <v>0.56029356674836017</v>
      </c>
      <c r="M34" s="11">
        <f t="shared" si="11"/>
        <v>6.1303544891441637E-7</v>
      </c>
      <c r="N34" s="11">
        <f t="shared" si="8"/>
        <v>6.1303544891442071E-7</v>
      </c>
      <c r="O34" s="10">
        <f t="shared" si="9"/>
        <v>3.8815401394269475</v>
      </c>
      <c r="R34" s="10">
        <v>19</v>
      </c>
      <c r="S34" s="10">
        <v>-2.0192000000000001</v>
      </c>
      <c r="T34" s="10">
        <v>-447.53800000000001</v>
      </c>
      <c r="U34" s="10">
        <v>0.15090000000000001</v>
      </c>
      <c r="V34" s="11">
        <v>5.2020000000000002E-10</v>
      </c>
      <c r="W34" s="11">
        <v>6.5389999999999996E-5</v>
      </c>
      <c r="X34" s="11">
        <v>-5.2369999999999998E-8</v>
      </c>
      <c r="Y34" s="11">
        <v>0</v>
      </c>
      <c r="Z34" s="10">
        <v>-1</v>
      </c>
      <c r="AA34" s="11">
        <v>-1.2799999999999999E-4</v>
      </c>
      <c r="AB34" s="10">
        <v>20</v>
      </c>
    </row>
    <row r="35" spans="1:28">
      <c r="A35" s="10">
        <v>80</v>
      </c>
      <c r="B35" s="10">
        <f t="shared" si="0"/>
        <v>7.9173600000000004</v>
      </c>
      <c r="C35" s="10">
        <f t="shared" si="1"/>
        <v>0.25301213444961307</v>
      </c>
      <c r="D35" s="10">
        <f t="shared" si="2"/>
        <v>0.45003568955768553</v>
      </c>
      <c r="E35" s="10">
        <f t="shared" si="3"/>
        <v>6.6209248267993095E-7</v>
      </c>
      <c r="F35" s="10">
        <f t="shared" si="4"/>
        <v>6.6209248267993645E-7</v>
      </c>
      <c r="G35" s="10">
        <f t="shared" si="10"/>
        <v>3.5630945670764373</v>
      </c>
      <c r="I35" s="10">
        <v>80</v>
      </c>
      <c r="J35" s="10">
        <f t="shared" si="5"/>
        <v>7.9173600000000004</v>
      </c>
      <c r="K35" s="10">
        <f t="shared" si="6"/>
        <v>0.24834569192117439</v>
      </c>
      <c r="L35" s="10">
        <f t="shared" si="7"/>
        <v>0.5298060425756228</v>
      </c>
      <c r="M35" s="11">
        <f t="shared" si="11"/>
        <v>4.173679948457298E-7</v>
      </c>
      <c r="N35" s="11">
        <f t="shared" si="8"/>
        <v>4.1736799484573149E-7</v>
      </c>
      <c r="O35" s="10">
        <f t="shared" si="9"/>
        <v>4.1946651692465329</v>
      </c>
      <c r="R35" s="10">
        <v>20</v>
      </c>
      <c r="S35" s="10">
        <v>-2.1067999999999998</v>
      </c>
      <c r="T35" s="10">
        <v>-456.78300000000002</v>
      </c>
      <c r="U35" s="10">
        <v>0.15029999999999999</v>
      </c>
      <c r="V35" s="11">
        <v>4.8359999999999996E-10</v>
      </c>
      <c r="W35" s="11">
        <v>6.3289999999999999E-5</v>
      </c>
      <c r="X35" s="11">
        <v>-5.4569999999999998E-8</v>
      </c>
      <c r="Y35" s="11">
        <v>0</v>
      </c>
      <c r="Z35" s="10">
        <v>-1</v>
      </c>
      <c r="AA35" s="11">
        <v>-1.3300000000000001E-4</v>
      </c>
      <c r="AB35" s="10">
        <v>20</v>
      </c>
    </row>
    <row r="36" spans="1:28">
      <c r="A36" s="10">
        <v>90</v>
      </c>
      <c r="B36" s="10">
        <f t="shared" si="0"/>
        <v>8.9070300000000007</v>
      </c>
      <c r="C36" s="10">
        <f t="shared" si="1"/>
        <v>0.24317938723343654</v>
      </c>
      <c r="D36" s="10">
        <f t="shared" si="2"/>
        <v>0.42111584480422515</v>
      </c>
      <c r="E36" s="10">
        <f t="shared" si="3"/>
        <v>4.4953198797857445E-7</v>
      </c>
      <c r="F36" s="10">
        <f t="shared" si="4"/>
        <v>4.4953198797857662E-7</v>
      </c>
      <c r="G36" s="10">
        <f t="shared" si="10"/>
        <v>3.7508914631465777</v>
      </c>
      <c r="I36" s="10">
        <v>90</v>
      </c>
      <c r="J36" s="10">
        <f t="shared" si="5"/>
        <v>8.9070300000000007</v>
      </c>
      <c r="K36" s="10">
        <f t="shared" si="6"/>
        <v>0.24100283186203411</v>
      </c>
      <c r="L36" s="10">
        <f t="shared" si="7"/>
        <v>0.50358154236440744</v>
      </c>
      <c r="M36" s="11">
        <f t="shared" si="11"/>
        <v>2.9538468896463738E-7</v>
      </c>
      <c r="N36" s="11">
        <f t="shared" si="8"/>
        <v>2.9538468896463887E-7</v>
      </c>
      <c r="O36" s="10">
        <f t="shared" si="9"/>
        <v>4.4854159052860485</v>
      </c>
      <c r="R36" s="10">
        <v>21</v>
      </c>
      <c r="S36" s="10">
        <v>-2.1917</v>
      </c>
      <c r="T36" s="10">
        <v>-466.90600000000001</v>
      </c>
      <c r="U36" s="10">
        <v>0.14960000000000001</v>
      </c>
      <c r="V36" s="11">
        <v>4.4350000000000002E-10</v>
      </c>
      <c r="W36" s="11">
        <v>6.0989999999999997E-5</v>
      </c>
      <c r="X36" s="11">
        <v>-5.6780000000000003E-8</v>
      </c>
      <c r="Y36" s="11">
        <v>0</v>
      </c>
      <c r="Z36" s="10">
        <v>-1</v>
      </c>
      <c r="AA36" s="11">
        <v>-1.3899999999999999E-4</v>
      </c>
      <c r="AB36" s="10">
        <v>20</v>
      </c>
    </row>
    <row r="37" spans="1:28">
      <c r="A37" s="10">
        <v>100</v>
      </c>
      <c r="B37" s="10">
        <f t="shared" si="0"/>
        <v>9.8966999999999992</v>
      </c>
      <c r="C37" s="10">
        <f t="shared" si="1"/>
        <v>0.23475768570249611</v>
      </c>
      <c r="D37" s="10">
        <f t="shared" si="2"/>
        <v>0.39634613441910621</v>
      </c>
      <c r="E37" s="10">
        <f t="shared" si="3"/>
        <v>3.1634727950590162E-7</v>
      </c>
      <c r="F37" s="10">
        <f t="shared" si="4"/>
        <v>3.1634727950590353E-7</v>
      </c>
      <c r="G37" s="10">
        <f t="shared" si="10"/>
        <v>3.9225187885055681</v>
      </c>
      <c r="I37" s="10">
        <v>100</v>
      </c>
      <c r="J37" s="10">
        <f t="shared" si="5"/>
        <v>9.8966999999999992</v>
      </c>
      <c r="K37" s="10">
        <f t="shared" si="6"/>
        <v>0.23460995989535813</v>
      </c>
      <c r="L37" s="10">
        <f t="shared" si="7"/>
        <v>0.48074985676913612</v>
      </c>
      <c r="M37" s="11">
        <f t="shared" si="11"/>
        <v>2.158275089914039E-7</v>
      </c>
      <c r="N37" s="11">
        <f t="shared" si="8"/>
        <v>2.1582750899140392E-7</v>
      </c>
      <c r="O37" s="10">
        <f t="shared" si="9"/>
        <v>4.7578371074871093</v>
      </c>
      <c r="R37" s="10">
        <v>22</v>
      </c>
      <c r="S37" s="10">
        <v>-2.2740999999999998</v>
      </c>
      <c r="T37" s="10">
        <v>-478.15</v>
      </c>
      <c r="U37" s="10">
        <v>0.14879999999999999</v>
      </c>
      <c r="V37" s="11">
        <v>3.9900000000000002E-10</v>
      </c>
      <c r="W37" s="11">
        <v>5.8440000000000003E-5</v>
      </c>
      <c r="X37" s="11">
        <v>-5.903E-8</v>
      </c>
      <c r="Y37" s="11">
        <v>0</v>
      </c>
      <c r="Z37" s="10">
        <v>-1</v>
      </c>
      <c r="AA37" s="11">
        <v>-1.44E-4</v>
      </c>
      <c r="AB37" s="10">
        <v>20</v>
      </c>
    </row>
    <row r="38" spans="1:28">
      <c r="A38" s="10">
        <v>110</v>
      </c>
      <c r="B38" s="10">
        <f t="shared" si="0"/>
        <v>10.886369999999999</v>
      </c>
      <c r="C38" s="10">
        <f t="shared" si="1"/>
        <v>0.22745795671868718</v>
      </c>
      <c r="D38" s="10">
        <f t="shared" si="2"/>
        <v>0.37487634329025643</v>
      </c>
      <c r="E38" s="10">
        <f t="shared" si="3"/>
        <v>2.2939791445242545E-7</v>
      </c>
      <c r="F38" s="10">
        <f t="shared" si="4"/>
        <v>2.2939791445242701E-7</v>
      </c>
      <c r="G38" s="10">
        <f t="shared" si="10"/>
        <v>4.081042577304749</v>
      </c>
      <c r="I38" s="10">
        <v>150</v>
      </c>
      <c r="J38" s="10">
        <f t="shared" si="5"/>
        <v>14.845050000000001</v>
      </c>
      <c r="K38" s="10">
        <f t="shared" si="6"/>
        <v>0.21182864074468277</v>
      </c>
      <c r="L38" s="10">
        <f t="shared" si="7"/>
        <v>0.3993880026595813</v>
      </c>
      <c r="M38" s="11">
        <f t="shared" si="11"/>
        <v>6.2512045602885284E-8</v>
      </c>
      <c r="N38" s="11">
        <f t="shared" si="8"/>
        <v>6.2512045602886555E-8</v>
      </c>
      <c r="O38" s="10">
        <f t="shared" si="9"/>
        <v>5.9289348688816172</v>
      </c>
      <c r="R38" s="10">
        <v>23</v>
      </c>
      <c r="S38" s="10">
        <v>-2.3540000000000001</v>
      </c>
      <c r="T38" s="10">
        <v>-490.72500000000002</v>
      </c>
      <c r="U38" s="10">
        <v>0.14810000000000001</v>
      </c>
      <c r="V38" s="11">
        <v>3.6009999999999998E-10</v>
      </c>
      <c r="W38" s="11">
        <v>5.6020000000000002E-5</v>
      </c>
      <c r="X38" s="11">
        <v>-6.0990000000000005E-8</v>
      </c>
      <c r="Y38" s="11">
        <v>0</v>
      </c>
      <c r="Z38" s="10">
        <v>-1</v>
      </c>
      <c r="AA38" s="11">
        <v>-1.4899999999999999E-4</v>
      </c>
      <c r="AB38" s="10">
        <v>20</v>
      </c>
    </row>
    <row r="39" spans="1:28">
      <c r="A39" s="10">
        <v>130</v>
      </c>
      <c r="B39" s="10">
        <f t="shared" si="0"/>
        <v>12.86571</v>
      </c>
      <c r="C39" s="10">
        <f t="shared" si="1"/>
        <v>0.21541270764330936</v>
      </c>
      <c r="D39" s="10">
        <f t="shared" si="2"/>
        <v>0.33944914012738048</v>
      </c>
      <c r="E39" s="10">
        <f t="shared" si="3"/>
        <v>1.2971211986590082E-7</v>
      </c>
      <c r="F39" s="10">
        <f t="shared" si="4"/>
        <v>1.2971211986590079E-7</v>
      </c>
      <c r="G39" s="10">
        <f t="shared" si="10"/>
        <v>4.3672541966282399</v>
      </c>
      <c r="I39" s="10">
        <v>200</v>
      </c>
      <c r="J39" s="10">
        <f t="shared" si="5"/>
        <v>19.793399999999998</v>
      </c>
      <c r="K39" s="10">
        <f t="shared" si="6"/>
        <v>0.19757815807796691</v>
      </c>
      <c r="L39" s="10">
        <f t="shared" si="7"/>
        <v>0.34849342170702463</v>
      </c>
      <c r="M39" s="11">
        <f t="shared" si="11"/>
        <v>2.5392313231979511E-8</v>
      </c>
      <c r="N39" s="11">
        <f t="shared" si="8"/>
        <v>2.5392313231979514E-8</v>
      </c>
      <c r="O39" s="10">
        <f t="shared" si="9"/>
        <v>6.8978696932158208</v>
      </c>
      <c r="R39" s="10">
        <v>24</v>
      </c>
      <c r="S39" s="10">
        <v>-2.4312</v>
      </c>
      <c r="T39" s="10">
        <v>-504.28899999999999</v>
      </c>
      <c r="U39" s="10">
        <v>0.1474</v>
      </c>
      <c r="V39" s="11">
        <v>3.3980000000000001E-10</v>
      </c>
      <c r="W39" s="11">
        <v>5.4280000000000002E-5</v>
      </c>
      <c r="X39" s="11">
        <v>-6.2600000000000005E-8</v>
      </c>
      <c r="Y39" s="11">
        <v>0</v>
      </c>
      <c r="Z39" s="10">
        <v>-1</v>
      </c>
      <c r="AA39" s="11">
        <v>-1.5300000000000001E-4</v>
      </c>
      <c r="AB39" s="10">
        <v>20</v>
      </c>
    </row>
    <row r="40" spans="1:28">
      <c r="A40" s="10">
        <v>150</v>
      </c>
      <c r="B40" s="10">
        <f t="shared" si="0"/>
        <v>14.845050000000001</v>
      </c>
      <c r="C40" s="10">
        <f t="shared" si="1"/>
        <v>0.20585668679730376</v>
      </c>
      <c r="D40" s="10">
        <f t="shared" si="2"/>
        <v>0.31134319646265812</v>
      </c>
      <c r="E40" s="10">
        <f t="shared" si="3"/>
        <v>7.9139361119584023E-8</v>
      </c>
      <c r="F40" s="10">
        <f t="shared" si="4"/>
        <v>7.9139361119584023E-8</v>
      </c>
      <c r="G40" s="10">
        <f t="shared" si="10"/>
        <v>4.6219053186479835</v>
      </c>
      <c r="I40" s="10">
        <v>250</v>
      </c>
      <c r="J40" s="10">
        <f t="shared" si="5"/>
        <v>24.74175</v>
      </c>
      <c r="K40" s="10">
        <f t="shared" si="6"/>
        <v>0.18762964600834414</v>
      </c>
      <c r="L40" s="10">
        <f t="shared" si="7"/>
        <v>0.3129630214583719</v>
      </c>
      <c r="M40" s="11">
        <f t="shared" si="11"/>
        <v>1.2521726713707465E-8</v>
      </c>
      <c r="N40" s="11">
        <f t="shared" si="8"/>
        <v>1.2521726713707465E-8</v>
      </c>
      <c r="O40" s="10">
        <f t="shared" si="9"/>
        <v>7.7432528361676729</v>
      </c>
      <c r="R40" s="10">
        <v>25</v>
      </c>
      <c r="S40" s="10">
        <v>-2.5057999999999998</v>
      </c>
      <c r="T40" s="10">
        <v>-518.596</v>
      </c>
      <c r="U40" s="10">
        <v>0.14680000000000001</v>
      </c>
      <c r="V40" s="11">
        <v>3.182E-10</v>
      </c>
      <c r="W40" s="11">
        <v>5.2439999999999999E-5</v>
      </c>
      <c r="X40" s="11">
        <v>-6.416E-8</v>
      </c>
      <c r="Y40" s="11">
        <v>0</v>
      </c>
      <c r="Z40" s="10">
        <v>-1</v>
      </c>
      <c r="AA40" s="11">
        <v>-1.5699999999999999E-4</v>
      </c>
      <c r="AB40" s="10">
        <v>20</v>
      </c>
    </row>
    <row r="41" spans="1:28">
      <c r="A41" s="10">
        <v>170</v>
      </c>
      <c r="B41" s="10">
        <f t="shared" si="0"/>
        <v>16.824390000000001</v>
      </c>
      <c r="C41" s="10">
        <f t="shared" si="1"/>
        <v>0.19806595634644886</v>
      </c>
      <c r="D41" s="10">
        <f t="shared" si="2"/>
        <v>0.28842928337190843</v>
      </c>
      <c r="E41" s="10">
        <f t="shared" si="3"/>
        <v>5.1190189841060949E-8</v>
      </c>
      <c r="F41" s="10">
        <f t="shared" si="4"/>
        <v>5.1190189841060949E-8</v>
      </c>
      <c r="G41" s="10">
        <f t="shared" si="10"/>
        <v>4.8526467508695026</v>
      </c>
      <c r="I41" s="10">
        <v>300</v>
      </c>
      <c r="J41" s="10">
        <f t="shared" si="5"/>
        <v>29.690100000000001</v>
      </c>
      <c r="K41" s="10">
        <f t="shared" si="6"/>
        <v>0.18019109354958335</v>
      </c>
      <c r="L41" s="10">
        <f t="shared" si="7"/>
        <v>0.28639676267708336</v>
      </c>
      <c r="M41" s="11">
        <f t="shared" si="11"/>
        <v>7.0005769090809626E-9</v>
      </c>
      <c r="N41" s="11">
        <f t="shared" si="8"/>
        <v>7.0005769090813563E-9</v>
      </c>
      <c r="O41" s="10">
        <f t="shared" si="9"/>
        <v>8.5031485235588722</v>
      </c>
      <c r="R41" s="10">
        <v>26</v>
      </c>
      <c r="S41" s="10">
        <v>-2.5777999999999999</v>
      </c>
      <c r="T41" s="10">
        <v>-533.77</v>
      </c>
      <c r="U41" s="10">
        <v>0.14599999999999999</v>
      </c>
      <c r="V41" s="11">
        <v>2.9539999999999998E-10</v>
      </c>
      <c r="W41" s="11">
        <v>5.0500000000000001E-5</v>
      </c>
      <c r="X41" s="11">
        <v>-6.5670000000000005E-8</v>
      </c>
      <c r="Y41" s="11">
        <v>0</v>
      </c>
      <c r="Z41" s="10">
        <v>-1</v>
      </c>
      <c r="AA41" s="11">
        <v>-1.6100000000000001E-4</v>
      </c>
      <c r="AB41" s="10">
        <v>20</v>
      </c>
    </row>
    <row r="42" spans="1:28">
      <c r="A42" s="10">
        <v>200</v>
      </c>
      <c r="B42" s="10">
        <f t="shared" si="0"/>
        <v>19.793399999999998</v>
      </c>
      <c r="C42" s="10">
        <f t="shared" si="1"/>
        <v>0.18871428187684391</v>
      </c>
      <c r="D42" s="10">
        <f t="shared" si="2"/>
        <v>0.26092435846130563</v>
      </c>
      <c r="E42" s="10">
        <f t="shared" si="3"/>
        <v>2.8960679092979012E-8</v>
      </c>
      <c r="F42" s="10">
        <f t="shared" si="4"/>
        <v>2.8960679092980548E-8</v>
      </c>
      <c r="G42" s="10">
        <f t="shared" si="10"/>
        <v>5.1645801967680063</v>
      </c>
      <c r="I42" s="10">
        <v>350</v>
      </c>
      <c r="J42" s="10">
        <f t="shared" si="5"/>
        <v>34.638449999999999</v>
      </c>
      <c r="K42" s="10">
        <f t="shared" si="6"/>
        <v>0.17436292903002579</v>
      </c>
      <c r="L42" s="10">
        <f t="shared" si="7"/>
        <v>0.26558188939294919</v>
      </c>
      <c r="M42" s="11">
        <f t="shared" si="11"/>
        <v>4.2729744782146143E-9</v>
      </c>
      <c r="N42" s="11">
        <f t="shared" si="8"/>
        <v>4.2729744782146135E-9</v>
      </c>
      <c r="O42" s="10">
        <f t="shared" si="9"/>
        <v>9.1993449966431999</v>
      </c>
      <c r="R42" s="10">
        <v>27</v>
      </c>
      <c r="S42" s="10">
        <v>-2.6473</v>
      </c>
      <c r="T42" s="10">
        <v>-549.98900000000003</v>
      </c>
      <c r="U42" s="10">
        <v>0.14530000000000001</v>
      </c>
      <c r="V42" s="11">
        <v>2.7110000000000003E-10</v>
      </c>
      <c r="W42" s="11">
        <v>4.8420000000000001E-5</v>
      </c>
      <c r="X42" s="11">
        <v>-6.7150000000000002E-8</v>
      </c>
      <c r="Y42" s="11">
        <v>0</v>
      </c>
      <c r="Z42" s="10">
        <v>-1</v>
      </c>
      <c r="AA42" s="11">
        <v>-1.64E-4</v>
      </c>
      <c r="AB42" s="10">
        <v>20</v>
      </c>
    </row>
    <row r="43" spans="1:28">
      <c r="A43" s="10">
        <v>230</v>
      </c>
      <c r="B43" s="10">
        <f t="shared" si="0"/>
        <v>22.762409999999999</v>
      </c>
      <c r="C43" s="10">
        <f t="shared" si="1"/>
        <v>0.18133184866799545</v>
      </c>
      <c r="D43" s="10">
        <f t="shared" si="2"/>
        <v>0.23921131961175135</v>
      </c>
      <c r="E43" s="10">
        <f t="shared" si="3"/>
        <v>1.7694275444583465E-8</v>
      </c>
      <c r="F43" s="10">
        <f t="shared" si="4"/>
        <v>1.7694275444584245E-8</v>
      </c>
      <c r="G43" s="10">
        <f t="shared" si="10"/>
        <v>5.4450261336437249</v>
      </c>
      <c r="I43" s="10">
        <v>400</v>
      </c>
      <c r="J43" s="10">
        <f t="shared" si="5"/>
        <v>39.586799999999997</v>
      </c>
      <c r="K43" s="10">
        <f t="shared" si="6"/>
        <v>0.16963916884952057</v>
      </c>
      <c r="L43" s="10">
        <f t="shared" si="7"/>
        <v>0.2487113173197163</v>
      </c>
      <c r="M43" s="11">
        <f t="shared" si="11"/>
        <v>2.782781033449636E-9</v>
      </c>
      <c r="N43" s="11">
        <f t="shared" si="8"/>
        <v>2.782781033449636E-9</v>
      </c>
      <c r="O43" s="10">
        <f t="shared" si="9"/>
        <v>9.8456851764721449</v>
      </c>
      <c r="R43" s="10">
        <v>28</v>
      </c>
      <c r="S43" s="10">
        <v>-2.7141000000000002</v>
      </c>
      <c r="T43" s="10">
        <v>-567.52599999999995</v>
      </c>
      <c r="U43" s="10">
        <v>0.1444</v>
      </c>
      <c r="V43" s="11">
        <v>2.4469999999999999E-10</v>
      </c>
      <c r="W43" s="11">
        <v>4.617E-5</v>
      </c>
      <c r="X43" s="11">
        <v>-6.8610000000000004E-8</v>
      </c>
      <c r="Y43" s="11">
        <v>0</v>
      </c>
      <c r="Z43" s="10">
        <v>-1</v>
      </c>
      <c r="AA43" s="11">
        <v>-1.6799999999999999E-4</v>
      </c>
      <c r="AB43" s="10">
        <v>20</v>
      </c>
    </row>
    <row r="44" spans="1:28">
      <c r="A44" s="10">
        <v>260</v>
      </c>
      <c r="B44" s="10">
        <f t="shared" si="0"/>
        <v>25.73142</v>
      </c>
      <c r="C44" s="10">
        <f t="shared" si="1"/>
        <v>0.17533129363646283</v>
      </c>
      <c r="D44" s="10">
        <f t="shared" si="2"/>
        <v>0.22156262834253773</v>
      </c>
      <c r="E44" s="10">
        <f t="shared" si="3"/>
        <v>1.1464967690720744E-8</v>
      </c>
      <c r="F44" s="10">
        <f t="shared" si="4"/>
        <v>1.1464967690721361E-8</v>
      </c>
      <c r="G44" s="10">
        <f t="shared" si="10"/>
        <v>5.701121046185742</v>
      </c>
      <c r="I44" s="10">
        <v>500</v>
      </c>
      <c r="J44" s="10">
        <f t="shared" si="5"/>
        <v>49.483499999999999</v>
      </c>
      <c r="K44" s="10">
        <f t="shared" si="6"/>
        <v>0.16237829421673911</v>
      </c>
      <c r="L44" s="10">
        <f t="shared" si="7"/>
        <v>0.22277962220263961</v>
      </c>
      <c r="M44" s="11">
        <f t="shared" si="11"/>
        <v>1.3563831840960887E-9</v>
      </c>
      <c r="N44" s="11">
        <f t="shared" si="8"/>
        <v>1.3563831840963331E-9</v>
      </c>
      <c r="O44" s="10">
        <f t="shared" si="9"/>
        <v>11.023915435264318</v>
      </c>
      <c r="R44" s="10">
        <v>29</v>
      </c>
      <c r="S44" s="10">
        <v>-2.7784</v>
      </c>
      <c r="T44" s="10">
        <v>-586.82299999999998</v>
      </c>
      <c r="U44" s="10">
        <v>0.14349999999999999</v>
      </c>
      <c r="V44" s="11">
        <v>2.1569999999999999E-10</v>
      </c>
      <c r="W44" s="11">
        <v>4.3689999999999997E-5</v>
      </c>
      <c r="X44" s="11">
        <v>-7.0059999999999993E-8</v>
      </c>
      <c r="Y44" s="11">
        <v>0</v>
      </c>
      <c r="Z44" s="10">
        <v>-1</v>
      </c>
      <c r="AA44" s="11">
        <v>-1.7100000000000001E-4</v>
      </c>
      <c r="AB44" s="10">
        <v>20</v>
      </c>
    </row>
    <row r="45" spans="1:28">
      <c r="A45" s="10">
        <v>290</v>
      </c>
      <c r="B45" s="10">
        <f t="shared" si="0"/>
        <v>28.700430000000001</v>
      </c>
      <c r="C45" s="10">
        <f t="shared" si="1"/>
        <v>0.17034108457724911</v>
      </c>
      <c r="D45" s="10">
        <f t="shared" si="2"/>
        <v>0.20688554287426211</v>
      </c>
      <c r="E45" s="10">
        <f t="shared" si="3"/>
        <v>7.7808396532612783E-9</v>
      </c>
      <c r="F45" s="10">
        <f t="shared" si="4"/>
        <v>7.7808396532610318E-9</v>
      </c>
      <c r="G45" s="10">
        <f t="shared" si="10"/>
        <v>5.9377040412747588</v>
      </c>
      <c r="I45" s="10">
        <v>600</v>
      </c>
      <c r="J45" s="10">
        <f t="shared" si="5"/>
        <v>59.380200000000002</v>
      </c>
      <c r="K45" s="10">
        <f t="shared" si="6"/>
        <v>0.15699363636154548</v>
      </c>
      <c r="L45" s="10">
        <f t="shared" si="7"/>
        <v>0.20354870129123381</v>
      </c>
      <c r="M45" s="11">
        <f t="shared" si="11"/>
        <v>7.5295799167291219E-10</v>
      </c>
      <c r="N45" s="11">
        <f t="shared" si="8"/>
        <v>7.5295799167303089E-10</v>
      </c>
      <c r="O45" s="10">
        <f t="shared" si="9"/>
        <v>12.086762592413722</v>
      </c>
      <c r="R45" s="10">
        <v>30</v>
      </c>
      <c r="S45" s="10">
        <v>-2.8401000000000001</v>
      </c>
      <c r="T45" s="10">
        <v>-608.67899999999997</v>
      </c>
      <c r="U45" s="10">
        <v>0.14249999999999999</v>
      </c>
      <c r="V45" s="11">
        <v>1.828E-10</v>
      </c>
      <c r="W45" s="11">
        <v>4.0890000000000003E-5</v>
      </c>
      <c r="X45" s="11">
        <v>-7.1530000000000006E-8</v>
      </c>
      <c r="Y45" s="11">
        <v>0</v>
      </c>
      <c r="Z45" s="10">
        <v>-1</v>
      </c>
      <c r="AA45" s="11">
        <v>-1.75E-4</v>
      </c>
      <c r="AB45" s="10">
        <v>20</v>
      </c>
    </row>
    <row r="46" spans="1:28">
      <c r="A46" s="10">
        <v>320</v>
      </c>
      <c r="B46" s="10">
        <f t="shared" si="0"/>
        <v>31.669440000000002</v>
      </c>
      <c r="C46" s="10">
        <f t="shared" si="1"/>
        <v>0.16611410891215173</v>
      </c>
      <c r="D46" s="10">
        <f t="shared" si="2"/>
        <v>0.19445326150632861</v>
      </c>
      <c r="E46" s="10">
        <f t="shared" si="3"/>
        <v>5.4819531659577143E-9</v>
      </c>
      <c r="F46" s="10">
        <f t="shared" si="4"/>
        <v>5.4819531659577143E-9</v>
      </c>
      <c r="G46" s="10">
        <f t="shared" si="10"/>
        <v>6.1582258980789835</v>
      </c>
      <c r="I46" s="10">
        <v>700</v>
      </c>
      <c r="J46" s="10">
        <f t="shared" si="5"/>
        <v>69.276899999999998</v>
      </c>
      <c r="K46" s="10">
        <f t="shared" si="6"/>
        <v>0.15279651146993242</v>
      </c>
      <c r="L46" s="10">
        <f t="shared" si="7"/>
        <v>0.18855896953547291</v>
      </c>
      <c r="M46" s="11">
        <f t="shared" si="11"/>
        <v>4.5743530535594646E-10</v>
      </c>
      <c r="N46" s="11">
        <f t="shared" si="8"/>
        <v>4.5743530535590107E-10</v>
      </c>
      <c r="O46" s="10">
        <f t="shared" si="9"/>
        <v>13.062780876612003</v>
      </c>
      <c r="R46" s="10">
        <v>31</v>
      </c>
      <c r="S46" s="10">
        <v>-2.8992</v>
      </c>
      <c r="T46" s="10">
        <v>-633.24199999999996</v>
      </c>
      <c r="U46" s="10">
        <v>0.1416</v>
      </c>
      <c r="V46" s="11">
        <v>1.6420000000000001E-10</v>
      </c>
      <c r="W46" s="11">
        <v>3.8829999999999999E-5</v>
      </c>
      <c r="X46" s="11">
        <v>-7.2839999999999996E-8</v>
      </c>
      <c r="Y46" s="11">
        <v>0</v>
      </c>
      <c r="Z46" s="10">
        <v>-1</v>
      </c>
      <c r="AA46" s="11">
        <v>-1.7799999999999999E-4</v>
      </c>
      <c r="AB46" s="10">
        <v>20</v>
      </c>
    </row>
    <row r="47" spans="1:28">
      <c r="A47" s="10">
        <v>350</v>
      </c>
      <c r="B47" s="10">
        <f t="shared" si="0"/>
        <v>34.638449999999999</v>
      </c>
      <c r="C47" s="10">
        <f t="shared" si="1"/>
        <v>0.16247922050208036</v>
      </c>
      <c r="D47" s="10">
        <f t="shared" si="2"/>
        <v>0.18376241324141282</v>
      </c>
      <c r="E47" s="10">
        <f t="shared" si="3"/>
        <v>3.9833635670865067E-9</v>
      </c>
      <c r="F47" s="10">
        <f t="shared" si="4"/>
        <v>3.9833635670868524E-9</v>
      </c>
      <c r="G47" s="10">
        <f t="shared" si="10"/>
        <v>6.3652451629420153</v>
      </c>
      <c r="I47" s="10">
        <v>800</v>
      </c>
      <c r="J47" s="10">
        <f t="shared" si="5"/>
        <v>79.173599999999993</v>
      </c>
      <c r="K47" s="10">
        <f t="shared" si="6"/>
        <v>0.14940666309028125</v>
      </c>
      <c r="L47" s="10">
        <f t="shared" si="7"/>
        <v>0.17645236817957585</v>
      </c>
      <c r="M47" s="11">
        <f t="shared" si="11"/>
        <v>2.9692689857301477E-10</v>
      </c>
      <c r="N47" s="11">
        <f t="shared" si="8"/>
        <v>2.969268985730507E-10</v>
      </c>
      <c r="O47" s="10">
        <f t="shared" si="9"/>
        <v>13.970369217302466</v>
      </c>
      <c r="R47" s="10">
        <v>32</v>
      </c>
      <c r="S47" s="10">
        <v>-2.9557000000000002</v>
      </c>
      <c r="T47" s="10">
        <v>-659.64700000000005</v>
      </c>
      <c r="U47" s="10">
        <v>0.14069999999999999</v>
      </c>
      <c r="V47" s="11">
        <v>1.4920000000000001E-10</v>
      </c>
      <c r="W47" s="11">
        <v>3.6919999999999999E-5</v>
      </c>
      <c r="X47" s="11">
        <v>-7.3900000000000007E-8</v>
      </c>
      <c r="Y47" s="11">
        <v>0</v>
      </c>
      <c r="Z47" s="10">
        <v>-1</v>
      </c>
      <c r="AA47" s="11">
        <v>-1.8100000000000001E-4</v>
      </c>
      <c r="AB47" s="10">
        <v>20</v>
      </c>
    </row>
    <row r="48" spans="1:28">
      <c r="A48" s="10">
        <v>380</v>
      </c>
      <c r="B48" s="10">
        <f t="shared" si="0"/>
        <v>37.607460000000003</v>
      </c>
      <c r="C48" s="10">
        <f t="shared" si="1"/>
        <v>0.15931387831432869</v>
      </c>
      <c r="D48" s="10">
        <f t="shared" si="2"/>
        <v>0.17445258327743735</v>
      </c>
      <c r="E48" s="10">
        <f t="shared" si="3"/>
        <v>2.9703478133120905E-9</v>
      </c>
      <c r="F48" s="10">
        <f t="shared" si="4"/>
        <v>2.9703478133123858E-9</v>
      </c>
      <c r="G48" s="10">
        <f t="shared" si="10"/>
        <v>6.5607185475028942</v>
      </c>
      <c r="I48" s="10">
        <v>900</v>
      </c>
      <c r="J48" s="10">
        <f t="shared" si="5"/>
        <v>89.070300000000003</v>
      </c>
      <c r="K48" s="10">
        <f t="shared" si="6"/>
        <v>0.14659487168149846</v>
      </c>
      <c r="L48" s="10">
        <f t="shared" si="7"/>
        <v>0.16641025600535159</v>
      </c>
      <c r="M48" s="11">
        <f t="shared" si="11"/>
        <v>2.0276080062573057E-10</v>
      </c>
      <c r="N48" s="11">
        <f t="shared" si="8"/>
        <v>2.027608006257891E-10</v>
      </c>
      <c r="O48" s="10">
        <f t="shared" si="9"/>
        <v>14.822211425473467</v>
      </c>
      <c r="R48" s="10">
        <v>33</v>
      </c>
      <c r="S48" s="10">
        <v>-3.0095999999999998</v>
      </c>
      <c r="T48" s="10">
        <v>-688.03300000000002</v>
      </c>
      <c r="U48" s="10">
        <v>0.13969999999999999</v>
      </c>
      <c r="V48" s="11">
        <v>1.3300000000000001E-10</v>
      </c>
      <c r="W48" s="11">
        <v>3.4860000000000002E-5</v>
      </c>
      <c r="X48" s="11">
        <v>-7.4919999999999999E-8</v>
      </c>
      <c r="Y48" s="11">
        <v>0</v>
      </c>
      <c r="Z48" s="10">
        <v>-1</v>
      </c>
      <c r="AA48" s="11">
        <v>-1.83E-4</v>
      </c>
      <c r="AB48" s="10">
        <v>20</v>
      </c>
    </row>
    <row r="49" spans="1:28">
      <c r="A49" s="10">
        <v>390</v>
      </c>
      <c r="B49" s="10">
        <f t="shared" si="0"/>
        <v>38.59713</v>
      </c>
      <c r="C49" s="10">
        <f t="shared" si="1"/>
        <v>0.15834680134176357</v>
      </c>
      <c r="D49" s="10">
        <f t="shared" si="2"/>
        <v>0.1716082392404811</v>
      </c>
      <c r="E49" s="10">
        <f t="shared" si="3"/>
        <v>2.7072186971002663E-9</v>
      </c>
      <c r="F49" s="10">
        <f t="shared" si="4"/>
        <v>2.7072186971011088E-9</v>
      </c>
      <c r="G49" s="10">
        <f t="shared" si="10"/>
        <v>6.6235855190359505</v>
      </c>
      <c r="I49" s="10">
        <v>950</v>
      </c>
      <c r="J49" s="10">
        <f t="shared" si="5"/>
        <v>94.018649999999994</v>
      </c>
      <c r="K49" s="10">
        <f t="shared" si="6"/>
        <v>0.14535754598693809</v>
      </c>
      <c r="L49" s="10">
        <f t="shared" si="7"/>
        <v>0.16199123566763601</v>
      </c>
      <c r="M49" s="11">
        <f t="shared" si="11"/>
        <v>1.7017840029151402E-10</v>
      </c>
      <c r="N49" s="11">
        <f t="shared" si="8"/>
        <v>1.7017840029156724E-10</v>
      </c>
      <c r="O49" s="10">
        <f t="shared" si="9"/>
        <v>15.230197289302986</v>
      </c>
      <c r="R49" s="10">
        <v>34</v>
      </c>
      <c r="S49" s="10">
        <v>-3.0609000000000002</v>
      </c>
      <c r="T49" s="10">
        <v>-719.17</v>
      </c>
      <c r="U49" s="10">
        <v>0.1386</v>
      </c>
      <c r="V49" s="11">
        <v>1.152E-10</v>
      </c>
      <c r="W49" s="11">
        <v>3.2610000000000001E-5</v>
      </c>
      <c r="X49" s="11">
        <v>-7.5909999999999996E-8</v>
      </c>
      <c r="Y49" s="11">
        <v>0</v>
      </c>
      <c r="Z49" s="10">
        <v>-1</v>
      </c>
      <c r="AA49" s="11">
        <v>-1.8599999999999999E-4</v>
      </c>
      <c r="AB49" s="10">
        <v>20</v>
      </c>
    </row>
    <row r="50" spans="1:28">
      <c r="A50" s="10">
        <v>400</v>
      </c>
      <c r="B50" s="10">
        <f t="shared" si="0"/>
        <v>39.586799999999997</v>
      </c>
      <c r="C50" s="10">
        <f t="shared" si="1"/>
        <v>0.15741896276407844</v>
      </c>
      <c r="D50" s="10">
        <f t="shared" si="2"/>
        <v>0.1688793022472895</v>
      </c>
      <c r="E50" s="10">
        <f t="shared" si="3"/>
        <v>2.4731263560079085E-9</v>
      </c>
      <c r="F50" s="10">
        <f t="shared" si="4"/>
        <v>2.4731263560081765E-9</v>
      </c>
      <c r="G50" s="10">
        <f t="shared" si="10"/>
        <v>6.6853911622029996</v>
      </c>
      <c r="I50" s="10">
        <v>1000</v>
      </c>
      <c r="J50" s="10">
        <f t="shared" si="5"/>
        <v>98.966999999999999</v>
      </c>
      <c r="K50" s="10">
        <f t="shared" si="6"/>
        <v>0.14421370715979812</v>
      </c>
      <c r="L50" s="10">
        <f t="shared" si="7"/>
        <v>0.15790609699927896</v>
      </c>
      <c r="M50" s="11">
        <f t="shared" si="11"/>
        <v>1.4411571452485841E-10</v>
      </c>
      <c r="N50" s="11">
        <f t="shared" si="8"/>
        <v>1.4411571452495579E-10</v>
      </c>
      <c r="O50" s="10">
        <f t="shared" si="9"/>
        <v>15.627492701727641</v>
      </c>
      <c r="R50" s="10">
        <v>35</v>
      </c>
      <c r="S50" s="10">
        <v>-3.1097000000000001</v>
      </c>
      <c r="T50" s="10">
        <v>-754.53</v>
      </c>
      <c r="U50" s="10">
        <v>0.13750000000000001</v>
      </c>
      <c r="V50" s="11">
        <v>9.5090000000000005E-11</v>
      </c>
      <c r="W50" s="11">
        <v>3.0049999999999999E-5</v>
      </c>
      <c r="X50" s="11">
        <v>-7.6910000000000005E-8</v>
      </c>
      <c r="Y50" s="11">
        <v>0</v>
      </c>
      <c r="Z50" s="10">
        <v>-1</v>
      </c>
      <c r="AA50" s="11">
        <v>-1.8799999999999999E-4</v>
      </c>
      <c r="AB50" s="10">
        <v>20</v>
      </c>
    </row>
    <row r="51" spans="1:28">
      <c r="A51" s="10">
        <v>500</v>
      </c>
      <c r="B51" s="10">
        <f t="shared" si="0"/>
        <v>49.483499999999999</v>
      </c>
      <c r="C51" s="10">
        <f t="shared" si="1"/>
        <v>0.14984005637474795</v>
      </c>
      <c r="D51" s="10">
        <f t="shared" si="2"/>
        <v>0.14658840110219987</v>
      </c>
      <c r="E51" s="10">
        <f t="shared" si="3"/>
        <v>1.1132391825047697E-9</v>
      </c>
      <c r="F51" s="10">
        <f t="shared" si="4"/>
        <v>1.1132391825052032E-9</v>
      </c>
      <c r="G51" s="10">
        <f t="shared" si="10"/>
        <v>7.253707145940707</v>
      </c>
      <c r="I51" s="10">
        <v>1050</v>
      </c>
      <c r="J51" s="10">
        <f t="shared" si="5"/>
        <v>103.91535</v>
      </c>
      <c r="K51" s="10">
        <f t="shared" si="6"/>
        <v>0.14315215715775598</v>
      </c>
      <c r="L51" s="10">
        <f t="shared" si="7"/>
        <v>0.1541148469919856</v>
      </c>
      <c r="M51" s="11">
        <f t="shared" si="11"/>
        <v>1.2303458813816152E-10</v>
      </c>
      <c r="N51" s="11">
        <f t="shared" si="8"/>
        <v>1.2303458813825099E-10</v>
      </c>
      <c r="O51" s="10">
        <f t="shared" si="9"/>
        <v>16.014898265368632</v>
      </c>
      <c r="R51" s="10">
        <v>36</v>
      </c>
      <c r="S51" s="10">
        <v>-3.1558000000000002</v>
      </c>
      <c r="T51" s="10">
        <v>-795.46600000000001</v>
      </c>
      <c r="U51" s="10">
        <v>0.1363</v>
      </c>
      <c r="V51" s="11">
        <v>7.9260000000000006E-11</v>
      </c>
      <c r="W51" s="11">
        <v>2.775E-5</v>
      </c>
      <c r="X51" s="11">
        <v>-7.7779999999999999E-8</v>
      </c>
      <c r="Y51" s="11">
        <v>0</v>
      </c>
      <c r="Z51" s="10">
        <v>-1</v>
      </c>
      <c r="AA51" s="11">
        <v>-1.9000000000000001E-4</v>
      </c>
      <c r="AB51" s="10">
        <v>20</v>
      </c>
    </row>
    <row r="52" spans="1:28">
      <c r="A52" s="10">
        <v>600</v>
      </c>
      <c r="B52" s="10">
        <f t="shared" si="0"/>
        <v>59.380200000000002</v>
      </c>
      <c r="C52" s="10">
        <f t="shared" si="1"/>
        <v>0.14438359120218222</v>
      </c>
      <c r="D52" s="10">
        <f t="shared" si="2"/>
        <v>0.13053997412406534</v>
      </c>
      <c r="E52" s="10">
        <f t="shared" si="3"/>
        <v>5.7921043697707838E-10</v>
      </c>
      <c r="F52" s="10">
        <f t="shared" si="4"/>
        <v>5.7921043697707838E-10</v>
      </c>
      <c r="G52" s="10">
        <f t="shared" si="10"/>
        <v>7.7514897714818254</v>
      </c>
      <c r="I52" s="10">
        <v>1100</v>
      </c>
      <c r="J52" s="10">
        <f t="shared" si="5"/>
        <v>108.86369999999999</v>
      </c>
      <c r="K52" s="10">
        <f t="shared" si="6"/>
        <v>0.14216348870059753</v>
      </c>
      <c r="L52" s="10">
        <f t="shared" si="7"/>
        <v>0.15058388821641971</v>
      </c>
      <c r="M52" s="11">
        <f t="shared" si="11"/>
        <v>1.0581007280575999E-10</v>
      </c>
      <c r="N52" s="11">
        <f t="shared" si="8"/>
        <v>1.0581007280580121E-10</v>
      </c>
      <c r="O52" s="10">
        <f t="shared" si="9"/>
        <v>16.39311923162585</v>
      </c>
      <c r="R52" s="10">
        <v>37</v>
      </c>
      <c r="S52" s="10">
        <v>-3.1993</v>
      </c>
      <c r="T52" s="10">
        <v>-841.21600000000001</v>
      </c>
      <c r="U52" s="10">
        <v>0.13519999999999999</v>
      </c>
      <c r="V52" s="11">
        <v>6.9379999999999997E-11</v>
      </c>
      <c r="W52" s="11">
        <v>2.5890000000000001E-5</v>
      </c>
      <c r="X52" s="11">
        <v>-7.8470000000000001E-8</v>
      </c>
      <c r="Y52" s="11">
        <v>0</v>
      </c>
      <c r="Z52" s="10">
        <v>-1</v>
      </c>
      <c r="AA52" s="11">
        <v>-1.92E-4</v>
      </c>
      <c r="AB52" s="10">
        <v>20</v>
      </c>
    </row>
    <row r="53" spans="1:28">
      <c r="A53" s="10">
        <v>700</v>
      </c>
      <c r="B53" s="10">
        <f t="shared" si="0"/>
        <v>69.276899999999998</v>
      </c>
      <c r="C53" s="10">
        <f t="shared" si="1"/>
        <v>0.14023294822438159</v>
      </c>
      <c r="D53" s="10">
        <f t="shared" si="2"/>
        <v>0.11833220065994586</v>
      </c>
      <c r="E53" s="10">
        <f t="shared" si="3"/>
        <v>3.3316746794157862E-10</v>
      </c>
      <c r="F53" s="10">
        <f t="shared" si="4"/>
        <v>3.33167467941893E-10</v>
      </c>
      <c r="G53" s="10">
        <f t="shared" si="10"/>
        <v>8.1976880318990037</v>
      </c>
      <c r="I53" s="10">
        <v>1150</v>
      </c>
      <c r="J53" s="10">
        <f t="shared" si="5"/>
        <v>113.81205</v>
      </c>
      <c r="K53" s="10">
        <f t="shared" si="6"/>
        <v>0.14123973336098455</v>
      </c>
      <c r="L53" s="10">
        <f t="shared" si="7"/>
        <v>0.14728476200351623</v>
      </c>
      <c r="M53" s="11">
        <f t="shared" si="11"/>
        <v>9.1607029787678194E-11</v>
      </c>
      <c r="N53" s="11">
        <f t="shared" si="8"/>
        <v>9.1607029787735437E-11</v>
      </c>
      <c r="O53" s="10">
        <f t="shared" si="9"/>
        <v>16.76278069738229</v>
      </c>
      <c r="R53" s="10">
        <v>38</v>
      </c>
      <c r="S53" s="10">
        <v>-3.2403</v>
      </c>
      <c r="T53" s="10">
        <v>-891.68100000000004</v>
      </c>
      <c r="U53" s="10">
        <v>0.13400000000000001</v>
      </c>
      <c r="V53" s="11">
        <v>5.8480000000000001E-11</v>
      </c>
      <c r="W53" s="11">
        <v>2.3819999999999999E-5</v>
      </c>
      <c r="X53" s="11">
        <v>-7.9140000000000006E-8</v>
      </c>
      <c r="Y53" s="11">
        <v>0</v>
      </c>
      <c r="Z53" s="10">
        <v>-1</v>
      </c>
      <c r="AA53" s="11">
        <v>-1.93E-4</v>
      </c>
      <c r="AB53" s="10">
        <v>20</v>
      </c>
    </row>
    <row r="54" spans="1:28">
      <c r="A54" s="10">
        <v>850</v>
      </c>
      <c r="B54" s="10">
        <f t="shared" si="0"/>
        <v>84.121949999999998</v>
      </c>
      <c r="C54" s="10">
        <f t="shared" si="1"/>
        <v>0.13554769314613141</v>
      </c>
      <c r="D54" s="10">
        <f t="shared" si="2"/>
        <v>0.10455203866509237</v>
      </c>
      <c r="E54" s="10">
        <f t="shared" si="3"/>
        <v>1.6592031550955064E-10</v>
      </c>
      <c r="F54" s="10">
        <f t="shared" si="4"/>
        <v>1.6592031550955066E-10</v>
      </c>
      <c r="G54" s="10">
        <f t="shared" si="10"/>
        <v>8.7951213689829668</v>
      </c>
      <c r="I54" s="10">
        <v>1200</v>
      </c>
      <c r="J54" s="10">
        <f t="shared" si="5"/>
        <v>118.7604</v>
      </c>
      <c r="K54" s="10">
        <f t="shared" si="6"/>
        <v>0.14037409060300221</v>
      </c>
      <c r="L54" s="10">
        <f t="shared" si="7"/>
        <v>0.14419318072500786</v>
      </c>
      <c r="M54" s="11">
        <f t="shared" si="11"/>
        <v>7.9796989425678658E-11</v>
      </c>
      <c r="N54" s="11">
        <f t="shared" si="8"/>
        <v>7.9796989425784912E-11</v>
      </c>
      <c r="O54" s="10">
        <f t="shared" si="9"/>
        <v>17.124439820174224</v>
      </c>
      <c r="R54" s="10">
        <v>39</v>
      </c>
      <c r="S54" s="10">
        <v>-3.2787000000000002</v>
      </c>
      <c r="T54" s="10">
        <v>-950.096</v>
      </c>
      <c r="U54" s="10">
        <v>0.13250000000000001</v>
      </c>
      <c r="V54" s="11">
        <v>4.5869999999999999E-11</v>
      </c>
      <c r="W54" s="11">
        <v>2.1440000000000001E-5</v>
      </c>
      <c r="X54" s="11">
        <v>-7.9790000000000002E-8</v>
      </c>
      <c r="Y54" s="11">
        <v>0</v>
      </c>
      <c r="Z54" s="10">
        <v>-1</v>
      </c>
      <c r="AA54" s="11">
        <v>-1.95E-4</v>
      </c>
      <c r="AB54" s="10">
        <v>20</v>
      </c>
    </row>
    <row r="55" spans="1:28">
      <c r="A55" s="10">
        <v>900</v>
      </c>
      <c r="B55" s="10">
        <f t="shared" si="0"/>
        <v>89.070300000000003</v>
      </c>
      <c r="C55" s="10">
        <f t="shared" si="1"/>
        <v>0.13427448058639366</v>
      </c>
      <c r="D55" s="10">
        <f t="shared" si="2"/>
        <v>0.10080729584233428</v>
      </c>
      <c r="E55" s="10">
        <f t="shared" si="3"/>
        <v>1.3512130605165708E-10</v>
      </c>
      <c r="F55" s="10">
        <f t="shared" si="4"/>
        <v>1.3512130605173954E-10</v>
      </c>
      <c r="G55" s="10">
        <f t="shared" si="10"/>
        <v>8.9789360828654665</v>
      </c>
      <c r="I55" s="10">
        <v>1250</v>
      </c>
      <c r="J55" s="10">
        <f t="shared" si="5"/>
        <v>123.70874999999999</v>
      </c>
      <c r="K55" s="10">
        <f t="shared" si="6"/>
        <v>0.1395607166550217</v>
      </c>
      <c r="L55" s="10">
        <f t="shared" si="7"/>
        <v>0.14128827376793462</v>
      </c>
      <c r="M55" s="11">
        <f t="shared" si="11"/>
        <v>6.9901108033297321E-11</v>
      </c>
      <c r="N55" s="11">
        <f t="shared" si="8"/>
        <v>6.99011080333138E-11</v>
      </c>
      <c r="O55" s="10">
        <f t="shared" si="9"/>
        <v>17.47859573748898</v>
      </c>
      <c r="R55" s="10">
        <v>40</v>
      </c>
      <c r="S55" s="10">
        <v>-3.3144999999999998</v>
      </c>
      <c r="T55" s="10">
        <v>-1019.6319999999999</v>
      </c>
      <c r="U55" s="10">
        <v>0.13120000000000001</v>
      </c>
      <c r="V55" s="11">
        <v>3.6570000000000003E-11</v>
      </c>
      <c r="W55" s="11">
        <v>1.9360000000000001E-5</v>
      </c>
      <c r="X55" s="11">
        <v>-8.036E-8</v>
      </c>
      <c r="Y55" s="11">
        <v>0</v>
      </c>
      <c r="Z55" s="10">
        <v>-1</v>
      </c>
      <c r="AA55" s="11">
        <v>-1.9599999999999999E-4</v>
      </c>
      <c r="AB55" s="10">
        <v>20</v>
      </c>
    </row>
    <row r="56" spans="1:28">
      <c r="A56" s="10">
        <v>950</v>
      </c>
      <c r="B56" s="10">
        <f t="shared" si="0"/>
        <v>94.018649999999994</v>
      </c>
      <c r="C56" s="10">
        <f t="shared" si="1"/>
        <v>0.1331118301896963</v>
      </c>
      <c r="D56" s="10">
        <f t="shared" si="2"/>
        <v>9.7387735852047935E-2</v>
      </c>
      <c r="E56" s="10">
        <f t="shared" si="3"/>
        <v>1.112641522550011E-10</v>
      </c>
      <c r="F56" s="10">
        <f t="shared" si="4"/>
        <v>1.1126415225497639E-10</v>
      </c>
      <c r="G56" s="10">
        <f t="shared" si="10"/>
        <v>9.1562634513661454</v>
      </c>
      <c r="I56" s="10">
        <v>1300</v>
      </c>
      <c r="J56" s="10">
        <f t="shared" si="5"/>
        <v>128.65709999999999</v>
      </c>
      <c r="K56" s="10">
        <f t="shared" si="6"/>
        <v>0.13879455821032285</v>
      </c>
      <c r="L56" s="10">
        <f t="shared" si="7"/>
        <v>0.13855199360829587</v>
      </c>
      <c r="M56" s="11">
        <f t="shared" si="11"/>
        <v>6.1550377341332048E-11</v>
      </c>
      <c r="N56" s="11">
        <f t="shared" si="8"/>
        <v>6.1550377341409067E-11</v>
      </c>
      <c r="O56" s="10">
        <f t="shared" si="9"/>
        <v>17.82569769686188</v>
      </c>
      <c r="R56" s="10">
        <v>41</v>
      </c>
      <c r="S56" s="10">
        <v>-3.3477000000000001</v>
      </c>
      <c r="T56" s="10">
        <v>-1099.992</v>
      </c>
      <c r="U56" s="10">
        <v>0.1298</v>
      </c>
      <c r="V56" s="11">
        <v>3E-11</v>
      </c>
      <c r="W56" s="11">
        <v>1.751E-5</v>
      </c>
      <c r="X56" s="11">
        <v>-8.0809999999999994E-8</v>
      </c>
      <c r="Y56" s="11">
        <v>0</v>
      </c>
      <c r="Z56" s="10">
        <v>-1</v>
      </c>
      <c r="AA56" s="11">
        <v>-1.9799999999999999E-4</v>
      </c>
      <c r="AB56" s="10">
        <v>20</v>
      </c>
    </row>
    <row r="57" spans="1:28">
      <c r="A57" s="10">
        <v>1000</v>
      </c>
      <c r="B57" s="10">
        <f t="shared" si="0"/>
        <v>98.966999999999999</v>
      </c>
      <c r="C57" s="10">
        <f t="shared" si="1"/>
        <v>0.13204507452414924</v>
      </c>
      <c r="D57" s="10">
        <f t="shared" si="2"/>
        <v>9.4250219188674211E-2</v>
      </c>
      <c r="E57" s="10">
        <f t="shared" si="3"/>
        <v>9.2534233095414117E-11</v>
      </c>
      <c r="F57" s="10">
        <f t="shared" si="4"/>
        <v>9.2534233095503569E-11</v>
      </c>
      <c r="G57" s="10">
        <f t="shared" si="10"/>
        <v>9.3276614424455211</v>
      </c>
      <c r="I57" s="10">
        <v>1350</v>
      </c>
      <c r="J57" s="10">
        <f t="shared" si="5"/>
        <v>133.60544999999999</v>
      </c>
      <c r="K57" s="10">
        <f t="shared" si="6"/>
        <v>0.13807122012887496</v>
      </c>
      <c r="L57" s="10">
        <f t="shared" si="7"/>
        <v>0.13596864331741054</v>
      </c>
      <c r="M57" s="11">
        <f t="shared" si="11"/>
        <v>5.4457444893283765E-11</v>
      </c>
      <c r="N57" s="11">
        <f t="shared" si="8"/>
        <v>5.4457444893327031E-11</v>
      </c>
      <c r="O57" s="10">
        <f t="shared" si="9"/>
        <v>18.166151776312127</v>
      </c>
      <c r="R57" s="10">
        <v>42</v>
      </c>
      <c r="S57" s="10">
        <v>-3.3782999999999999</v>
      </c>
      <c r="T57" s="10">
        <v>-1194.94</v>
      </c>
      <c r="U57" s="10">
        <v>0.12820000000000001</v>
      </c>
      <c r="V57" s="11">
        <v>2.223E-11</v>
      </c>
      <c r="W57" s="11">
        <v>1.5319999999999999E-5</v>
      </c>
      <c r="X57" s="11">
        <v>-8.1240000000000005E-8</v>
      </c>
      <c r="Y57" s="11">
        <v>0</v>
      </c>
      <c r="Z57" s="10">
        <v>-1</v>
      </c>
      <c r="AA57" s="11">
        <v>-1.9900000000000001E-4</v>
      </c>
      <c r="AB57" s="10">
        <v>20</v>
      </c>
    </row>
    <row r="58" spans="1:28">
      <c r="A58" s="10">
        <v>1050</v>
      </c>
      <c r="B58" s="10">
        <f t="shared" si="0"/>
        <v>103.91535</v>
      </c>
      <c r="C58" s="10">
        <f t="shared" si="1"/>
        <v>0.13106209916046516</v>
      </c>
      <c r="D58" s="10">
        <f t="shared" si="2"/>
        <v>9.1359115177838693E-2</v>
      </c>
      <c r="E58" s="10">
        <f t="shared" si="3"/>
        <v>7.7650733811791642E-11</v>
      </c>
      <c r="F58" s="10">
        <f t="shared" si="4"/>
        <v>7.7650733811771312E-11</v>
      </c>
      <c r="G58" s="10">
        <f t="shared" si="10"/>
        <v>9.4936144293954197</v>
      </c>
      <c r="I58" s="10">
        <v>1400</v>
      </c>
      <c r="J58" s="10">
        <f t="shared" si="5"/>
        <v>138.5538</v>
      </c>
      <c r="K58" s="10">
        <f t="shared" si="6"/>
        <v>0.13738685922172794</v>
      </c>
      <c r="L58" s="10">
        <f t="shared" si="7"/>
        <v>0.13352449722045689</v>
      </c>
      <c r="M58" s="11">
        <f t="shared" si="11"/>
        <v>4.8396377599291744E-11</v>
      </c>
      <c r="N58" s="11">
        <f t="shared" si="8"/>
        <v>4.8396377599345873E-11</v>
      </c>
      <c r="O58" s="10">
        <f t="shared" si="9"/>
        <v>18.500326482983741</v>
      </c>
      <c r="R58" s="10">
        <v>43</v>
      </c>
      <c r="S58" s="10">
        <v>-3.4062999999999999</v>
      </c>
      <c r="T58" s="10">
        <v>-1312.251</v>
      </c>
      <c r="U58" s="10">
        <v>0.12659999999999999</v>
      </c>
      <c r="V58" s="11">
        <v>1.6669999999999999E-11</v>
      </c>
      <c r="W58" s="11">
        <v>1.342E-5</v>
      </c>
      <c r="X58" s="11">
        <v>-8.1610000000000001E-8</v>
      </c>
      <c r="Y58" s="11">
        <v>0</v>
      </c>
      <c r="Z58" s="10">
        <v>-1</v>
      </c>
      <c r="AA58" s="11">
        <v>-1.9900000000000001E-4</v>
      </c>
      <c r="AB58" s="10">
        <v>20</v>
      </c>
    </row>
    <row r="59" spans="1:28">
      <c r="A59" s="10">
        <v>1100</v>
      </c>
      <c r="B59" s="10">
        <f t="shared" si="0"/>
        <v>108.86369999999999</v>
      </c>
      <c r="C59" s="10">
        <f t="shared" si="1"/>
        <v>0.13015280233642348</v>
      </c>
      <c r="D59" s="10">
        <f t="shared" si="2"/>
        <v>8.8684712754186712E-2</v>
      </c>
      <c r="E59" s="10">
        <f t="shared" si="3"/>
        <v>6.5693631412019507E-11</v>
      </c>
      <c r="F59" s="10">
        <f t="shared" si="4"/>
        <v>6.569363141203808E-11</v>
      </c>
      <c r="G59" s="10">
        <f t="shared" si="10"/>
        <v>9.6545459638579558</v>
      </c>
      <c r="I59" s="10">
        <v>1450</v>
      </c>
      <c r="J59" s="10">
        <f t="shared" si="5"/>
        <v>143.50215</v>
      </c>
      <c r="K59" s="10">
        <f t="shared" si="6"/>
        <v>0.13673809825311087</v>
      </c>
      <c r="L59" s="10">
        <f t="shared" si="7"/>
        <v>0.13120749376111021</v>
      </c>
      <c r="M59" s="11">
        <f t="shared" si="11"/>
        <v>4.3187941762127325E-11</v>
      </c>
      <c r="N59" s="11">
        <f t="shared" si="8"/>
        <v>4.3187941762140049E-11</v>
      </c>
      <c r="O59" s="10">
        <f t="shared" si="9"/>
        <v>18.828557450830903</v>
      </c>
      <c r="R59" s="10">
        <v>44</v>
      </c>
      <c r="S59" s="10">
        <v>-3.4317000000000002</v>
      </c>
      <c r="T59" s="10">
        <v>-1456.165</v>
      </c>
      <c r="U59" s="10">
        <v>0.12479999999999999</v>
      </c>
      <c r="V59" s="11">
        <v>1.2219999999999999E-11</v>
      </c>
      <c r="W59" s="11">
        <v>1.1559999999999999E-5</v>
      </c>
      <c r="X59" s="11">
        <v>-8.1890000000000001E-8</v>
      </c>
      <c r="Y59" s="11">
        <v>0</v>
      </c>
      <c r="Z59" s="10">
        <v>-1</v>
      </c>
      <c r="AA59" s="11">
        <v>-2.0000000000000001E-4</v>
      </c>
      <c r="AB59" s="10">
        <v>20</v>
      </c>
    </row>
    <row r="60" spans="1:28">
      <c r="A60" s="10">
        <v>1150</v>
      </c>
      <c r="B60" s="10">
        <f t="shared" si="0"/>
        <v>113.81205</v>
      </c>
      <c r="C60" s="10">
        <f t="shared" si="1"/>
        <v>0.12930868750748303</v>
      </c>
      <c r="D60" s="10">
        <f t="shared" si="2"/>
        <v>8.6202022080832441E-2</v>
      </c>
      <c r="E60" s="10">
        <f t="shared" si="3"/>
        <v>5.5991510405166084E-11</v>
      </c>
      <c r="F60" s="10">
        <f t="shared" si="4"/>
        <v>5.5991510405200114E-11</v>
      </c>
      <c r="G60" s="10">
        <f t="shared" si="10"/>
        <v>9.8108288471648066</v>
      </c>
      <c r="I60" s="10">
        <v>1500</v>
      </c>
      <c r="J60" s="10">
        <f t="shared" si="5"/>
        <v>148.45050000000001</v>
      </c>
      <c r="K60" s="10">
        <f t="shared" si="6"/>
        <v>0.13612195576569208</v>
      </c>
      <c r="L60" s="10">
        <f t="shared" si="7"/>
        <v>0.1290069848774717</v>
      </c>
      <c r="M60" s="11">
        <f t="shared" si="11"/>
        <v>3.8688767911032864E-11</v>
      </c>
      <c r="N60" s="11">
        <f t="shared" si="8"/>
        <v>3.8688767911008876E-11</v>
      </c>
      <c r="O60" s="10">
        <f t="shared" si="9"/>
        <v>19.151151408553112</v>
      </c>
      <c r="R60" s="10">
        <v>45</v>
      </c>
      <c r="S60" s="10">
        <v>-3.4546000000000001</v>
      </c>
      <c r="T60" s="10">
        <v>-1640.1780000000001</v>
      </c>
      <c r="U60" s="10">
        <v>0.1229</v>
      </c>
      <c r="V60" s="11">
        <v>8.1439999999999992E-12</v>
      </c>
      <c r="W60" s="11">
        <v>9.6490000000000003E-6</v>
      </c>
      <c r="X60" s="11">
        <v>-8.2119999999999997E-8</v>
      </c>
      <c r="Y60" s="11">
        <v>0</v>
      </c>
      <c r="Z60" s="10">
        <v>-1</v>
      </c>
      <c r="AA60" s="11">
        <v>-2.0100000000000001E-4</v>
      </c>
      <c r="AB60" s="10">
        <v>20</v>
      </c>
    </row>
    <row r="61" spans="1:28">
      <c r="A61" s="10">
        <v>1200</v>
      </c>
      <c r="B61" s="10">
        <f t="shared" si="0"/>
        <v>118.7604</v>
      </c>
      <c r="C61" s="10">
        <f t="shared" si="1"/>
        <v>0.12852255192945622</v>
      </c>
      <c r="D61" s="10">
        <f t="shared" si="2"/>
        <v>8.3889858616047697E-2</v>
      </c>
      <c r="E61" s="10">
        <f t="shared" si="3"/>
        <v>4.8047282353582017E-11</v>
      </c>
      <c r="F61" s="10">
        <f t="shared" si="4"/>
        <v>4.8047282353660282E-11</v>
      </c>
      <c r="G61" s="10">
        <f t="shared" si="10"/>
        <v>9.9627931651852712</v>
      </c>
      <c r="I61" s="10">
        <v>1550</v>
      </c>
      <c r="J61" s="10">
        <f t="shared" si="5"/>
        <v>153.39885000000001</v>
      </c>
      <c r="K61" s="10">
        <f t="shared" si="6"/>
        <v>0.13553578840065597</v>
      </c>
      <c r="L61" s="10">
        <f t="shared" si="7"/>
        <v>0.12691353000234273</v>
      </c>
      <c r="M61" s="11">
        <f t="shared" si="11"/>
        <v>3.4783286857164907E-11</v>
      </c>
      <c r="N61" s="11">
        <f t="shared" si="8"/>
        <v>3.4783286857153578E-11</v>
      </c>
      <c r="O61" s="10">
        <f t="shared" si="9"/>
        <v>19.468389551799874</v>
      </c>
      <c r="R61" s="10">
        <v>46</v>
      </c>
      <c r="S61" s="10">
        <v>-3.4748000000000001</v>
      </c>
      <c r="T61" s="10">
        <v>-1889.1189999999999</v>
      </c>
      <c r="U61" s="10">
        <v>0.1207</v>
      </c>
      <c r="V61" s="11">
        <v>5.2270000000000002E-12</v>
      </c>
      <c r="W61" s="11">
        <v>7.8320000000000006E-6</v>
      </c>
      <c r="X61" s="11">
        <v>-8.2269999999999995E-8</v>
      </c>
      <c r="Y61" s="11">
        <v>0</v>
      </c>
      <c r="Z61" s="10">
        <v>-1</v>
      </c>
      <c r="AA61" s="11">
        <v>-2.0100000000000001E-4</v>
      </c>
      <c r="AB61" s="10">
        <v>20</v>
      </c>
    </row>
    <row r="62" spans="1:28">
      <c r="A62" s="10">
        <v>1250</v>
      </c>
      <c r="B62" s="10">
        <f t="shared" si="0"/>
        <v>123.70874999999999</v>
      </c>
      <c r="C62" s="10">
        <f t="shared" si="1"/>
        <v>0.12778824570415614</v>
      </c>
      <c r="D62" s="10">
        <f t="shared" si="2"/>
        <v>8.1730134423988646E-2</v>
      </c>
      <c r="E62" s="10">
        <f t="shared" si="3"/>
        <v>4.1488059559995983E-11</v>
      </c>
      <c r="F62" s="10">
        <f t="shared" si="4"/>
        <v>4.1488059560068219E-11</v>
      </c>
      <c r="G62" s="10">
        <f t="shared" si="10"/>
        <v>10.110732766923604</v>
      </c>
      <c r="I62" s="10">
        <v>1600</v>
      </c>
      <c r="J62" s="10">
        <f t="shared" si="5"/>
        <v>158.34719999999999</v>
      </c>
      <c r="K62" s="10">
        <f t="shared" si="6"/>
        <v>0.13497724316653611</v>
      </c>
      <c r="L62" s="10">
        <f t="shared" si="7"/>
        <v>0.12491872559477181</v>
      </c>
      <c r="M62" s="11">
        <f t="shared" si="11"/>
        <v>3.1377666384598953E-11</v>
      </c>
      <c r="N62" s="11">
        <f t="shared" si="8"/>
        <v>3.1377666384588238E-11</v>
      </c>
      <c r="O62" s="10">
        <f t="shared" si="9"/>
        <v>19.780530425500448</v>
      </c>
      <c r="R62" s="10">
        <v>47</v>
      </c>
      <c r="S62" s="10">
        <v>-3.4925000000000002</v>
      </c>
      <c r="T62" s="10">
        <v>-2236.2339999999999</v>
      </c>
      <c r="U62" s="10">
        <v>0.11840000000000001</v>
      </c>
      <c r="V62" s="11">
        <v>3.1500000000000001E-12</v>
      </c>
      <c r="W62" s="11">
        <v>6.1689999999999997E-6</v>
      </c>
      <c r="X62" s="11">
        <v>-8.2370000000000002E-8</v>
      </c>
      <c r="Y62" s="11">
        <v>0</v>
      </c>
      <c r="Z62" s="10">
        <v>-1</v>
      </c>
      <c r="AA62" s="11">
        <v>-2.0100000000000001E-4</v>
      </c>
      <c r="AB62" s="10">
        <v>20</v>
      </c>
    </row>
    <row r="63" spans="1:28">
      <c r="A63" s="10">
        <v>1300</v>
      </c>
      <c r="B63" s="10">
        <f t="shared" si="0"/>
        <v>128.65709999999999</v>
      </c>
      <c r="C63" s="10">
        <f t="shared" si="1"/>
        <v>0.12710048324778561</v>
      </c>
      <c r="D63" s="10">
        <f t="shared" si="2"/>
        <v>7.9707303669957666E-2</v>
      </c>
      <c r="E63" s="10">
        <f t="shared" si="3"/>
        <v>3.6030737955470486E-11</v>
      </c>
      <c r="F63" s="10">
        <f t="shared" si="4"/>
        <v>3.6030737955457116E-11</v>
      </c>
      <c r="G63" s="10">
        <f t="shared" si="10"/>
        <v>10.254910538996109</v>
      </c>
      <c r="I63" s="10">
        <v>1650</v>
      </c>
      <c r="J63" s="10">
        <f t="shared" si="5"/>
        <v>163.29554999999999</v>
      </c>
      <c r="K63" s="10">
        <f t="shared" si="6"/>
        <v>0.13444421769102791</v>
      </c>
      <c r="L63" s="10">
        <f t="shared" si="7"/>
        <v>0.12301506318224249</v>
      </c>
      <c r="M63" s="11">
        <f t="shared" si="11"/>
        <v>2.8395208444614684E-11</v>
      </c>
      <c r="N63" s="11">
        <f t="shared" si="8"/>
        <v>2.8395208444604529E-11</v>
      </c>
      <c r="O63" s="10">
        <f t="shared" si="9"/>
        <v>20.087812400629037</v>
      </c>
      <c r="R63" s="10">
        <v>48</v>
      </c>
      <c r="S63" s="10">
        <v>-3.5074999999999998</v>
      </c>
      <c r="T63" s="10">
        <v>-2757.93</v>
      </c>
      <c r="U63" s="10">
        <v>0.1157</v>
      </c>
      <c r="V63" s="11">
        <v>1.6109999999999999E-12</v>
      </c>
      <c r="W63" s="11">
        <v>4.5290000000000002E-6</v>
      </c>
      <c r="X63" s="11">
        <v>-8.2609999999999997E-8</v>
      </c>
      <c r="Y63" s="11">
        <v>0</v>
      </c>
      <c r="Z63" s="10">
        <v>-1</v>
      </c>
      <c r="AA63" s="11">
        <v>-2.02E-4</v>
      </c>
      <c r="AB63" s="10">
        <v>20</v>
      </c>
    </row>
    <row r="64" spans="1:28">
      <c r="A64" s="10">
        <v>1350</v>
      </c>
      <c r="B64" s="10">
        <f t="shared" si="0"/>
        <v>133.60544999999999</v>
      </c>
      <c r="C64" s="10">
        <f t="shared" si="1"/>
        <v>0.12645469425736075</v>
      </c>
      <c r="D64" s="10">
        <f t="shared" si="2"/>
        <v>7.7807924286355135E-2</v>
      </c>
      <c r="E64" s="10">
        <f t="shared" si="3"/>
        <v>3.145798871591319E-11</v>
      </c>
      <c r="F64" s="10">
        <f t="shared" si="4"/>
        <v>3.1457988715938038E-11</v>
      </c>
      <c r="G64" s="10">
        <f t="shared" si="10"/>
        <v>10.395562737844406</v>
      </c>
      <c r="I64" s="10">
        <v>1700</v>
      </c>
      <c r="J64" s="10">
        <f t="shared" si="5"/>
        <v>168.2439</v>
      </c>
      <c r="K64" s="10">
        <f t="shared" si="6"/>
        <v>0.1339348269248517</v>
      </c>
      <c r="L64" s="10">
        <f t="shared" si="7"/>
        <v>0.1211958104458989</v>
      </c>
      <c r="M64" s="11">
        <f t="shared" si="11"/>
        <v>2.5772823692229107E-11</v>
      </c>
      <c r="N64" s="11">
        <f t="shared" si="8"/>
        <v>2.5772823692277306E-11</v>
      </c>
      <c r="O64" s="10">
        <f t="shared" si="9"/>
        <v>20.39045581307877</v>
      </c>
      <c r="R64" s="10">
        <v>49</v>
      </c>
      <c r="S64" s="10">
        <v>-3.52</v>
      </c>
      <c r="T64" s="10">
        <v>-2757.933</v>
      </c>
      <c r="U64" s="10">
        <v>0.33939999999999998</v>
      </c>
      <c r="V64" s="11">
        <v>1.342E-7</v>
      </c>
      <c r="W64" s="11">
        <v>1.469E-6</v>
      </c>
      <c r="X64" s="11">
        <v>-8.2430000000000004E-8</v>
      </c>
      <c r="Y64" s="11">
        <v>0</v>
      </c>
      <c r="Z64" s="10">
        <v>-1</v>
      </c>
      <c r="AA64" s="11">
        <v>-2.02E-4</v>
      </c>
      <c r="AB64" s="10">
        <v>20</v>
      </c>
    </row>
    <row r="65" spans="1:28">
      <c r="A65" s="10">
        <v>1400</v>
      </c>
      <c r="B65" s="10">
        <f t="shared" si="0"/>
        <v>138.5538</v>
      </c>
      <c r="C65" s="10">
        <f t="shared" si="1"/>
        <v>0.12584690478467481</v>
      </c>
      <c r="D65" s="10">
        <f t="shared" si="2"/>
        <v>7.6020308190220015E-2</v>
      </c>
      <c r="E65" s="10">
        <f t="shared" si="3"/>
        <v>2.7601265190424254E-11</v>
      </c>
      <c r="F65" s="10">
        <f t="shared" si="4"/>
        <v>2.7601265190482118E-11</v>
      </c>
      <c r="G65" s="10">
        <f t="shared" si="10"/>
        <v>10.532902576926105</v>
      </c>
      <c r="I65" s="10">
        <v>1750</v>
      </c>
      <c r="J65" s="10">
        <f t="shared" si="5"/>
        <v>173.19225</v>
      </c>
      <c r="K65" s="10">
        <f t="shared" si="6"/>
        <v>0.13344737509571336</v>
      </c>
      <c r="L65" s="10">
        <f t="shared" si="7"/>
        <v>0.11945491105611912</v>
      </c>
      <c r="M65" s="11">
        <f t="shared" si="11"/>
        <v>2.3458308496655727E-11</v>
      </c>
      <c r="N65" s="11">
        <f t="shared" si="8"/>
        <v>2.3458308496719862E-11</v>
      </c>
      <c r="O65" s="10">
        <f t="shared" si="9"/>
        <v>20.688664819359147</v>
      </c>
      <c r="R65" s="10">
        <v>50</v>
      </c>
      <c r="S65" s="10">
        <v>-3.6787999999999998</v>
      </c>
      <c r="T65" s="10">
        <v>-2757.8710000000001</v>
      </c>
      <c r="U65" s="10">
        <v>0.33939999999999998</v>
      </c>
      <c r="V65" s="11">
        <v>1.342E-7</v>
      </c>
      <c r="W65" s="11">
        <v>1.469E-6</v>
      </c>
      <c r="X65" s="11">
        <v>-8.2399999999999997E-8</v>
      </c>
      <c r="Y65" s="11">
        <v>0</v>
      </c>
      <c r="Z65" s="10">
        <v>-1</v>
      </c>
      <c r="AA65" s="11">
        <v>-2.0100000000000001E-4</v>
      </c>
      <c r="AB65" s="10">
        <v>20</v>
      </c>
    </row>
    <row r="66" spans="1:28">
      <c r="A66" s="10">
        <v>1450</v>
      </c>
      <c r="B66" s="10">
        <f t="shared" si="0"/>
        <v>143.50215</v>
      </c>
      <c r="C66" s="10">
        <f t="shared" si="1"/>
        <v>0.125273641506641</v>
      </c>
      <c r="D66" s="10">
        <f t="shared" si="2"/>
        <v>7.4334239725414697E-2</v>
      </c>
      <c r="E66" s="10">
        <f t="shared" si="3"/>
        <v>2.43286127845383E-11</v>
      </c>
      <c r="F66" s="10">
        <f t="shared" si="4"/>
        <v>2.4328612784613926E-11</v>
      </c>
      <c r="G66" s="10">
        <f t="shared" si="10"/>
        <v>10.667123219212419</v>
      </c>
      <c r="I66" s="10">
        <v>1800</v>
      </c>
      <c r="J66" s="10">
        <f t="shared" si="5"/>
        <v>178.14060000000001</v>
      </c>
      <c r="K66" s="10">
        <f t="shared" si="6"/>
        <v>0.13298033196151415</v>
      </c>
      <c r="L66" s="10">
        <f t="shared" si="7"/>
        <v>0.11778689986255052</v>
      </c>
      <c r="M66" s="11">
        <f t="shared" si="11"/>
        <v>2.1408225165872974E-11</v>
      </c>
      <c r="N66" s="11">
        <f t="shared" si="8"/>
        <v>2.1408225165872974E-11</v>
      </c>
      <c r="O66" s="10">
        <f t="shared" si="9"/>
        <v>20.982629013654666</v>
      </c>
      <c r="R66" s="10">
        <v>51</v>
      </c>
      <c r="S66" s="10">
        <v>-3.8374999999999999</v>
      </c>
      <c r="T66" s="10">
        <v>-2757.81</v>
      </c>
      <c r="U66" s="10">
        <v>0.33939999999999998</v>
      </c>
      <c r="V66" s="11">
        <v>1.342E-7</v>
      </c>
      <c r="W66" s="11">
        <v>1.469E-6</v>
      </c>
      <c r="X66" s="11">
        <v>-8.2399999999999997E-8</v>
      </c>
      <c r="Y66" s="11">
        <v>0</v>
      </c>
      <c r="Z66" s="10">
        <v>-1</v>
      </c>
      <c r="AA66" s="11">
        <v>-2.0100000000000001E-4</v>
      </c>
      <c r="AB66" s="10">
        <v>20</v>
      </c>
    </row>
    <row r="67" spans="1:28">
      <c r="A67" s="10">
        <v>1500</v>
      </c>
      <c r="B67" s="10">
        <f t="shared" si="0"/>
        <v>148.45050000000001</v>
      </c>
      <c r="C67" s="10">
        <f t="shared" si="1"/>
        <v>0.12473185404479242</v>
      </c>
      <c r="D67" s="10">
        <f t="shared" si="2"/>
        <v>7.2740747190565946E-2</v>
      </c>
      <c r="E67" s="10">
        <f t="shared" si="3"/>
        <v>2.1535815087377649E-11</v>
      </c>
      <c r="F67" s="10">
        <f t="shared" si="4"/>
        <v>2.1535815087397866E-11</v>
      </c>
      <c r="G67" s="10">
        <f t="shared" si="10"/>
        <v>10.79840029081311</v>
      </c>
      <c r="I67" s="10">
        <v>1850</v>
      </c>
      <c r="J67" s="10">
        <f t="shared" si="5"/>
        <v>183.08895000000001</v>
      </c>
      <c r="K67" s="10">
        <f t="shared" si="6"/>
        <v>0.13253231260523746</v>
      </c>
      <c r="L67" s="10">
        <f t="shared" si="7"/>
        <v>0.11618683073299088</v>
      </c>
      <c r="M67" s="11">
        <f t="shared" si="11"/>
        <v>1.9586239508057965E-11</v>
      </c>
      <c r="N67" s="11">
        <f t="shared" si="8"/>
        <v>1.9586239508107851E-11</v>
      </c>
      <c r="O67" s="10">
        <f t="shared" si="9"/>
        <v>21.272524842731031</v>
      </c>
      <c r="R67" s="10" t="s">
        <v>111</v>
      </c>
    </row>
    <row r="68" spans="1:28">
      <c r="A68" s="10">
        <v>1550</v>
      </c>
      <c r="B68" s="10">
        <f t="shared" si="0"/>
        <v>153.39885000000001</v>
      </c>
      <c r="C68" s="10">
        <f t="shared" si="1"/>
        <v>0.12421885145808853</v>
      </c>
      <c r="D68" s="10">
        <f t="shared" si="2"/>
        <v>7.1231916053201547E-2</v>
      </c>
      <c r="E68" s="10">
        <f t="shared" si="3"/>
        <v>1.9139888707827428E-11</v>
      </c>
      <c r="F68" s="10">
        <f t="shared" si="4"/>
        <v>1.9139888707836905E-11</v>
      </c>
      <c r="G68" s="10">
        <f t="shared" si="10"/>
        <v>10.926894005857656</v>
      </c>
      <c r="I68" s="10">
        <v>1900</v>
      </c>
      <c r="J68" s="10">
        <f t="shared" si="5"/>
        <v>188.03729999999999</v>
      </c>
      <c r="K68" s="10">
        <f t="shared" si="6"/>
        <v>0.13210206016387194</v>
      </c>
      <c r="L68" s="10">
        <f t="shared" si="7"/>
        <v>0.11465021487097117</v>
      </c>
      <c r="M68" s="11">
        <f t="shared" si="11"/>
        <v>1.7961807940979366E-11</v>
      </c>
      <c r="N68" s="11">
        <f t="shared" si="8"/>
        <v>1.7961807940995238E-11</v>
      </c>
      <c r="O68" s="10">
        <f t="shared" si="9"/>
        <v>21.558516848757264</v>
      </c>
    </row>
    <row r="69" spans="1:28">
      <c r="A69" s="10">
        <v>1600</v>
      </c>
      <c r="B69" s="10">
        <f t="shared" si="0"/>
        <v>158.34719999999999</v>
      </c>
      <c r="C69" s="10">
        <f t="shared" si="1"/>
        <v>0.12373224996060925</v>
      </c>
      <c r="D69" s="10">
        <f t="shared" si="2"/>
        <v>6.9800735178262477E-2</v>
      </c>
      <c r="E69" s="10">
        <f t="shared" si="3"/>
        <v>1.7074252309515971E-11</v>
      </c>
      <c r="F69" s="10">
        <f t="shared" si="4"/>
        <v>1.7074252309560529E-11</v>
      </c>
      <c r="G69" s="10">
        <f t="shared" si="10"/>
        <v>11.052750973419363</v>
      </c>
      <c r="I69" s="10">
        <v>1950</v>
      </c>
      <c r="J69" s="10">
        <f t="shared" si="5"/>
        <v>192.98564999999999</v>
      </c>
      <c r="K69" s="10">
        <f t="shared" si="6"/>
        <v>0.13168843100090458</v>
      </c>
      <c r="L69" s="10">
        <f t="shared" si="7"/>
        <v>0.11317296786037345</v>
      </c>
      <c r="M69" s="11">
        <f t="shared" si="11"/>
        <v>1.6509133807102965E-11</v>
      </c>
      <c r="N69" s="11">
        <f t="shared" si="8"/>
        <v>1.6509133807125712E-11</v>
      </c>
      <c r="O69" s="10">
        <f t="shared" si="9"/>
        <v>21.84075876496328</v>
      </c>
    </row>
    <row r="70" spans="1:28">
      <c r="A70" s="10">
        <v>1650</v>
      </c>
      <c r="B70" s="10">
        <f t="shared" si="0"/>
        <v>163.29554999999999</v>
      </c>
      <c r="C70" s="10">
        <f t="shared" si="1"/>
        <v>0.12326992959985404</v>
      </c>
      <c r="D70" s="10">
        <f t="shared" si="2"/>
        <v>6.8440969411335401E-2</v>
      </c>
      <c r="E70" s="10">
        <f t="shared" si="3"/>
        <v>1.5285102956274105E-11</v>
      </c>
      <c r="F70" s="10">
        <f t="shared" si="4"/>
        <v>1.5285102956274105E-11</v>
      </c>
      <c r="G70" s="10">
        <f t="shared" si="10"/>
        <v>11.176105742557191</v>
      </c>
      <c r="I70" s="10">
        <v>2000</v>
      </c>
      <c r="J70" s="10">
        <f t="shared" si="5"/>
        <v>197.934</v>
      </c>
      <c r="K70" s="10">
        <f t="shared" si="6"/>
        <v>0.13129038192413051</v>
      </c>
      <c r="L70" s="10">
        <f t="shared" si="7"/>
        <v>0.11175136401475178</v>
      </c>
      <c r="M70" s="11">
        <f t="shared" si="11"/>
        <v>1.5206332515162787E-11</v>
      </c>
      <c r="N70" s="11">
        <f t="shared" si="8"/>
        <v>1.5206332515170047E-11</v>
      </c>
      <c r="O70" s="10">
        <f t="shared" si="9"/>
        <v>22.119394484895878</v>
      </c>
    </row>
    <row r="71" spans="1:28">
      <c r="A71" s="10">
        <v>1700</v>
      </c>
      <c r="B71" s="10">
        <f t="shared" si="0"/>
        <v>168.2439</v>
      </c>
      <c r="C71" s="10">
        <f t="shared" si="1"/>
        <v>0.12282999814130283</v>
      </c>
      <c r="D71" s="10">
        <f t="shared" si="2"/>
        <v>6.7147053356773012E-2</v>
      </c>
      <c r="E71" s="10">
        <f t="shared" si="3"/>
        <v>1.3728672553786316E-11</v>
      </c>
      <c r="F71" s="10">
        <f t="shared" si="4"/>
        <v>1.3728672553802142E-11</v>
      </c>
      <c r="G71" s="10">
        <f t="shared" si="10"/>
        <v>11.297082130251583</v>
      </c>
      <c r="I71" s="10">
        <v>2050</v>
      </c>
      <c r="J71" s="10">
        <f t="shared" si="5"/>
        <v>202.88235</v>
      </c>
      <c r="K71" s="10">
        <f t="shared" si="6"/>
        <v>0.13090695912357336</v>
      </c>
      <c r="L71" s="10">
        <f t="shared" si="7"/>
        <v>0.11038199686990484</v>
      </c>
      <c r="M71" s="11">
        <f t="shared" si="11"/>
        <v>1.4034759777577761E-11</v>
      </c>
      <c r="N71" s="11">
        <f t="shared" si="8"/>
        <v>1.4034759777591656E-11</v>
      </c>
      <c r="O71" s="10">
        <f t="shared" si="9"/>
        <v>22.394558922658938</v>
      </c>
    </row>
    <row r="72" spans="1:28">
      <c r="A72" s="10">
        <v>1750</v>
      </c>
      <c r="B72" s="10">
        <f t="shared" si="0"/>
        <v>173.19225</v>
      </c>
      <c r="C72" s="10">
        <f t="shared" si="1"/>
        <v>0.12241076078870219</v>
      </c>
      <c r="D72" s="10">
        <f t="shared" si="2"/>
        <v>6.5914002319712325E-2</v>
      </c>
      <c r="E72" s="10">
        <f t="shared" si="3"/>
        <v>1.236913238485995E-11</v>
      </c>
      <c r="F72" s="10">
        <f t="shared" si="4"/>
        <v>1.2369132384897328E-11</v>
      </c>
      <c r="G72" s="10">
        <f t="shared" si="10"/>
        <v>11.415794368256197</v>
      </c>
      <c r="I72" s="10">
        <v>2100</v>
      </c>
      <c r="J72" s="10">
        <f t="shared" si="5"/>
        <v>207.83070000000001</v>
      </c>
      <c r="K72" s="10">
        <f t="shared" si="6"/>
        <v>0.13053728856253788</v>
      </c>
      <c r="L72" s="10">
        <f t="shared" si="7"/>
        <v>0.10906174486620668</v>
      </c>
      <c r="M72" s="11">
        <f t="shared" si="11"/>
        <v>1.297846805175091E-11</v>
      </c>
      <c r="N72" s="11">
        <f t="shared" si="8"/>
        <v>1.2978468051757569E-11</v>
      </c>
      <c r="O72" s="10">
        <f t="shared" si="9"/>
        <v>22.666378778765139</v>
      </c>
    </row>
    <row r="73" spans="1:28">
      <c r="A73" s="10">
        <v>1800</v>
      </c>
      <c r="B73" s="10">
        <f t="shared" si="0"/>
        <v>178.14060000000001</v>
      </c>
      <c r="C73" s="10">
        <f t="shared" si="1"/>
        <v>0.12201069466104866</v>
      </c>
      <c r="D73" s="10">
        <f t="shared" si="2"/>
        <v>6.4737337238378406E-2</v>
      </c>
      <c r="E73" s="10">
        <f t="shared" si="3"/>
        <v>1.1176979446115552E-11</v>
      </c>
      <c r="F73" s="10">
        <f t="shared" si="4"/>
        <v>1.1176979446158E-11</v>
      </c>
      <c r="G73" s="10">
        <f t="shared" si="10"/>
        <v>11.532348098047073</v>
      </c>
      <c r="I73" s="10">
        <v>2150</v>
      </c>
      <c r="J73" s="10">
        <f t="shared" si="5"/>
        <v>212.77905000000001</v>
      </c>
      <c r="K73" s="10">
        <f t="shared" si="6"/>
        <v>0.13018056760150626</v>
      </c>
      <c r="L73" s="10">
        <f t="shared" si="7"/>
        <v>0.1077877414339509</v>
      </c>
      <c r="M73" s="11">
        <f t="shared" si="11"/>
        <v>1.2023764376772146E-11</v>
      </c>
      <c r="N73" s="11">
        <f t="shared" si="8"/>
        <v>1.2023764376791331E-11</v>
      </c>
      <c r="O73" s="10">
        <f t="shared" si="9"/>
        <v>22.934973223961709</v>
      </c>
    </row>
    <row r="74" spans="1:28">
      <c r="A74" s="10">
        <v>1850</v>
      </c>
      <c r="B74" s="10">
        <f t="shared" si="0"/>
        <v>183.08895000000001</v>
      </c>
      <c r="C74" s="10">
        <f t="shared" si="1"/>
        <v>0.12162842717054198</v>
      </c>
      <c r="D74" s="10">
        <f t="shared" si="2"/>
        <v>6.3613021089829344E-2</v>
      </c>
      <c r="E74" s="10">
        <f t="shared" si="3"/>
        <v>1.012778417108745E-11</v>
      </c>
      <c r="F74" s="10">
        <f t="shared" si="4"/>
        <v>1.0127784171107565E-11</v>
      </c>
      <c r="G74" s="10">
        <f t="shared" si="10"/>
        <v>11.646841237664711</v>
      </c>
      <c r="I74" s="10">
        <v>2200</v>
      </c>
      <c r="J74" s="10">
        <f t="shared" si="5"/>
        <v>217.72739999999999</v>
      </c>
      <c r="K74" s="10">
        <f t="shared" si="6"/>
        <v>0.1298360576722381</v>
      </c>
      <c r="L74" s="10">
        <f t="shared" si="7"/>
        <v>0.10655734882942176</v>
      </c>
      <c r="M74" s="11">
        <f t="shared" si="11"/>
        <v>1.1158848870595188E-11</v>
      </c>
      <c r="N74" s="11">
        <f t="shared" si="8"/>
        <v>1.1158848870625897E-11</v>
      </c>
      <c r="O74" s="10">
        <f t="shared" si="9"/>
        <v>23.200454511523041</v>
      </c>
    </row>
    <row r="75" spans="1:28">
      <c r="A75" s="10">
        <v>1900</v>
      </c>
      <c r="B75" s="10">
        <f t="shared" si="0"/>
        <v>188.03729999999999</v>
      </c>
      <c r="C75" s="10">
        <f t="shared" si="1"/>
        <v>0.12126271761820848</v>
      </c>
      <c r="D75" s="10">
        <f t="shared" si="2"/>
        <v>6.2537404759436685E-2</v>
      </c>
      <c r="E75" s="10">
        <f t="shared" si="3"/>
        <v>9.201211505069568E-12</v>
      </c>
      <c r="F75" s="10">
        <f t="shared" si="4"/>
        <v>9.201211505088661E-12</v>
      </c>
      <c r="G75" s="10">
        <f t="shared" si="10"/>
        <v>11.759364739971623</v>
      </c>
      <c r="I75" s="10">
        <v>2250</v>
      </c>
      <c r="J75" s="10">
        <f t="shared" si="5"/>
        <v>222.67574999999999</v>
      </c>
      <c r="K75" s="10">
        <f t="shared" si="6"/>
        <v>0.12950307784995183</v>
      </c>
      <c r="L75" s="10">
        <f t="shared" si="7"/>
        <v>0.10536813517839935</v>
      </c>
      <c r="M75" s="11">
        <f t="shared" si="11"/>
        <v>1.0373517749189636E-11</v>
      </c>
      <c r="N75" s="11">
        <f t="shared" si="8"/>
        <v>1.0373517749213253E-11</v>
      </c>
      <c r="O75" s="10">
        <f t="shared" si="9"/>
        <v>23.462928526951458</v>
      </c>
    </row>
    <row r="76" spans="1:28">
      <c r="A76" s="10">
        <v>1950</v>
      </c>
      <c r="B76" s="10">
        <f t="shared" si="0"/>
        <v>192.98564999999999</v>
      </c>
      <c r="C76" s="10">
        <f t="shared" si="1"/>
        <v>0.12091244145804635</v>
      </c>
      <c r="D76" s="10">
        <f t="shared" si="2"/>
        <v>6.1507180758959834E-2</v>
      </c>
      <c r="E76" s="10">
        <f t="shared" si="3"/>
        <v>8.380250386285176E-12</v>
      </c>
      <c r="F76" s="10">
        <f t="shared" si="4"/>
        <v>8.3802503862972703E-12</v>
      </c>
      <c r="G76" s="10">
        <f t="shared" si="10"/>
        <v>11.870003258435357</v>
      </c>
      <c r="I76" s="10">
        <v>2300</v>
      </c>
      <c r="J76" s="10">
        <f t="shared" si="5"/>
        <v>227.6241</v>
      </c>
      <c r="K76" s="10">
        <f t="shared" si="6"/>
        <v>0.12918099919633361</v>
      </c>
      <c r="L76" s="10">
        <f t="shared" si="7"/>
        <v>0.10421785427261999</v>
      </c>
      <c r="M76" s="11">
        <f t="shared" si="11"/>
        <v>9.6589182309674784E-12</v>
      </c>
      <c r="N76" s="11">
        <f t="shared" si="8"/>
        <v>9.6589182310015722E-12</v>
      </c>
      <c r="O76" s="10">
        <f t="shared" si="9"/>
        <v>23.722495282736279</v>
      </c>
    </row>
    <row r="77" spans="1:28">
      <c r="A77" s="10">
        <v>2000</v>
      </c>
      <c r="B77" s="10">
        <f t="shared" si="0"/>
        <v>197.934</v>
      </c>
      <c r="C77" s="10">
        <f t="shared" si="1"/>
        <v>0.12057657678566208</v>
      </c>
      <c r="D77" s="10">
        <f t="shared" si="2"/>
        <v>6.0519343487241403E-2</v>
      </c>
      <c r="E77" s="10">
        <f t="shared" si="3"/>
        <v>7.6506033109490069E-12</v>
      </c>
      <c r="F77" s="10">
        <f t="shared" si="4"/>
        <v>7.6506033109662759E-12</v>
      </c>
      <c r="G77" s="10">
        <f t="shared" si="10"/>
        <v>11.97883573380364</v>
      </c>
      <c r="I77" s="10">
        <v>2350</v>
      </c>
      <c r="J77" s="10">
        <f t="shared" si="5"/>
        <v>232.57245</v>
      </c>
      <c r="K77" s="10">
        <f t="shared" si="6"/>
        <v>0.12886923976647757</v>
      </c>
      <c r="L77" s="10">
        <f t="shared" si="7"/>
        <v>0.10310442773741987</v>
      </c>
      <c r="M77" s="11">
        <f t="shared" si="11"/>
        <v>9.0073453749287216E-12</v>
      </c>
      <c r="N77" s="11">
        <f t="shared" si="8"/>
        <v>9.0073453749396689E-12</v>
      </c>
      <c r="O77" s="10">
        <f t="shared" si="9"/>
        <v>23.979249364739697</v>
      </c>
    </row>
    <row r="78" spans="1:28">
      <c r="A78" s="10">
        <v>2050</v>
      </c>
      <c r="B78" s="10">
        <f t="shared" ref="B78:B141" si="12">0.098967*A78</f>
        <v>202.88235</v>
      </c>
      <c r="C78" s="10">
        <f t="shared" ref="C78:C141" si="13">$B$6+(($B$7-$B$6)/(1+($B$3*A78)^$B$4)^$B$5)</f>
        <v>0.12025419269028775</v>
      </c>
      <c r="D78" s="10">
        <f t="shared" ref="D78:D141" si="14">(C78-$B$6)/($B$7-$B$6)</f>
        <v>5.9571154971434559E-2</v>
      </c>
      <c r="E78" s="10">
        <f t="shared" ref="E78:E141" si="15">$B$8*D78^$B$9*(1-(1-D78^(1/$B$5))^$B$5)^2</f>
        <v>7.0001997377552113E-12</v>
      </c>
      <c r="F78" s="10">
        <f t="shared" ref="F78:F141" si="16">$B$8*((1-(($B$3*A78)^($B$4-1))*(1+($B$3*A78)^$B$4)^(-1+1/$B$4))^2)/(1+($B$3*A78)^$B$4)^(0.5-(1/(2*$B$4)))</f>
        <v>7.0001997377552105E-12</v>
      </c>
      <c r="G78" s="10">
        <f t="shared" si="10"/>
        <v>12.085935912818826</v>
      </c>
      <c r="I78" s="10">
        <v>2400</v>
      </c>
      <c r="J78" s="10">
        <f t="shared" ref="J78:J141" si="17">0.098967*I78</f>
        <v>237.52080000000001</v>
      </c>
      <c r="K78" s="10">
        <f t="shared" ref="K78:K141" si="18">$J$6+(($J$7-$J$6)/(1+($J$3*I78)^$J$4)^$J$5)</f>
        <v>0.12856726018960568</v>
      </c>
      <c r="L78" s="10">
        <f t="shared" ref="L78:L141" si="19">(K78-$J$6)/($J$7-$J$6)</f>
        <v>0.10202592924859169</v>
      </c>
      <c r="M78" s="11">
        <f t="shared" si="11"/>
        <v>8.4120729729390555E-12</v>
      </c>
      <c r="N78" s="11">
        <f t="shared" ref="N78:N141" si="20">$J$8*((1-(($J$3*I78)^($J$4-1))*(1+($J$3*I78)^$J$4)^(-1+1/$J$4))^2)/(1+($J$3*I78)^$J$4)^(0.5-(1/(2*$J$4)))</f>
        <v>8.4120729729390539E-12</v>
      </c>
      <c r="O78" s="10">
        <f t="shared" ref="O78:O141" si="21">L78*J78</f>
        <v>24.233280335868898</v>
      </c>
    </row>
    <row r="79" spans="1:28">
      <c r="A79" s="10">
        <v>2100</v>
      </c>
      <c r="B79" s="10">
        <f t="shared" si="12"/>
        <v>207.83070000000001</v>
      </c>
      <c r="C79" s="10">
        <f t="shared" si="13"/>
        <v>0.11994443917489928</v>
      </c>
      <c r="D79" s="10">
        <f t="shared" si="14"/>
        <v>5.8660115220291978E-2</v>
      </c>
      <c r="E79" s="10">
        <f t="shared" si="15"/>
        <v>6.4188059378069913E-12</v>
      </c>
      <c r="F79" s="10">
        <f t="shared" si="16"/>
        <v>6.4188059378122226E-12</v>
      </c>
      <c r="G79" s="10">
        <f t="shared" ref="G79:G142" si="22">D79*B79</f>
        <v>12.191372808313936</v>
      </c>
      <c r="I79" s="10">
        <v>2450</v>
      </c>
      <c r="J79" s="10">
        <f t="shared" si="17"/>
        <v>242.46914999999998</v>
      </c>
      <c r="K79" s="10">
        <f t="shared" si="18"/>
        <v>0.12827455974724961</v>
      </c>
      <c r="L79" s="10">
        <f t="shared" si="19"/>
        <v>0.10098057052589142</v>
      </c>
      <c r="M79" s="11">
        <f t="shared" ref="M79:M142" si="23">$J$8*L79^$J$9*(1-(1-L79^(1/$J$5))^$J$5)^2</f>
        <v>7.8672122243025284E-12</v>
      </c>
      <c r="N79" s="11">
        <f t="shared" si="20"/>
        <v>7.8672122243330582E-12</v>
      </c>
      <c r="O79" s="10">
        <f t="shared" si="21"/>
        <v>24.484673101927942</v>
      </c>
    </row>
    <row r="80" spans="1:28">
      <c r="A80" s="10">
        <v>2150</v>
      </c>
      <c r="B80" s="10">
        <f t="shared" si="12"/>
        <v>212.77905000000001</v>
      </c>
      <c r="C80" s="10">
        <f t="shared" si="13"/>
        <v>0.11964653840173124</v>
      </c>
      <c r="D80" s="10">
        <f t="shared" si="14"/>
        <v>5.7783936475680114E-2</v>
      </c>
      <c r="E80" s="10">
        <f t="shared" si="15"/>
        <v>5.89771043525168E-12</v>
      </c>
      <c r="F80" s="10">
        <f t="shared" si="16"/>
        <v>5.897710435276657E-12</v>
      </c>
      <c r="G80" s="10">
        <f t="shared" si="22"/>
        <v>12.295211108555563</v>
      </c>
      <c r="I80" s="10">
        <v>2500</v>
      </c>
      <c r="J80" s="10">
        <f t="shared" si="17"/>
        <v>247.41749999999999</v>
      </c>
      <c r="K80" s="10">
        <f t="shared" si="18"/>
        <v>0.12799067288405341</v>
      </c>
      <c r="L80" s="10">
        <f t="shared" si="19"/>
        <v>9.9966688871619303E-2</v>
      </c>
      <c r="M80" s="11">
        <f t="shared" si="23"/>
        <v>7.367593175557268E-12</v>
      </c>
      <c r="N80" s="11">
        <f t="shared" si="20"/>
        <v>7.3675931755720006E-12</v>
      </c>
      <c r="O80" s="10">
        <f t="shared" si="21"/>
        <v>24.733508243893869</v>
      </c>
    </row>
    <row r="81" spans="1:15">
      <c r="A81" s="10">
        <v>2200</v>
      </c>
      <c r="B81" s="10">
        <f t="shared" si="12"/>
        <v>217.72739999999999</v>
      </c>
      <c r="C81" s="10">
        <f t="shared" si="13"/>
        <v>0.11935977706271617</v>
      </c>
      <c r="D81" s="10">
        <f t="shared" si="14"/>
        <v>5.6940520772694597E-2</v>
      </c>
      <c r="E81" s="10">
        <f t="shared" si="15"/>
        <v>5.4294690527844238E-12</v>
      </c>
      <c r="F81" s="10">
        <f t="shared" si="16"/>
        <v>5.4294690527891986E-12</v>
      </c>
      <c r="G81" s="10">
        <f t="shared" si="22"/>
        <v>12.397511542484786</v>
      </c>
      <c r="I81" s="10">
        <v>2550</v>
      </c>
      <c r="J81" s="10">
        <f t="shared" si="17"/>
        <v>252.36584999999999</v>
      </c>
      <c r="K81" s="10">
        <f t="shared" si="18"/>
        <v>0.12771516609591291</v>
      </c>
      <c r="L81" s="10">
        <f t="shared" si="19"/>
        <v>9.8982736056831777E-2</v>
      </c>
      <c r="M81" s="11">
        <f t="shared" si="23"/>
        <v>6.9086648932176579E-12</v>
      </c>
      <c r="N81" s="11">
        <f t="shared" si="20"/>
        <v>6.9086648932366338E-12</v>
      </c>
      <c r="O81" s="10">
        <f t="shared" si="21"/>
        <v>24.979862320307998</v>
      </c>
    </row>
    <row r="82" spans="1:15">
      <c r="A82" s="10">
        <v>2250</v>
      </c>
      <c r="B82" s="10">
        <f t="shared" si="12"/>
        <v>222.67574999999999</v>
      </c>
      <c r="C82" s="10">
        <f t="shared" si="13"/>
        <v>0.11908349970848311</v>
      </c>
      <c r="D82" s="10">
        <f t="shared" si="14"/>
        <v>5.6127940319067975E-2</v>
      </c>
      <c r="E82" s="10">
        <f t="shared" si="15"/>
        <v>5.0076972279043985E-12</v>
      </c>
      <c r="F82" s="10">
        <f t="shared" si="16"/>
        <v>5.0076972278998296E-12</v>
      </c>
      <c r="G82" s="10">
        <f t="shared" si="22"/>
        <v>12.4983312065037</v>
      </c>
      <c r="I82" s="10">
        <v>2600</v>
      </c>
      <c r="J82" s="10">
        <f t="shared" si="17"/>
        <v>257.31419999999997</v>
      </c>
      <c r="K82" s="10">
        <f t="shared" si="18"/>
        <v>0.12744763514816393</v>
      </c>
      <c r="L82" s="10">
        <f t="shared" si="19"/>
        <v>9.8027268386299715E-2</v>
      </c>
      <c r="M82" s="11">
        <f t="shared" si="23"/>
        <v>6.4864111134681784E-12</v>
      </c>
      <c r="N82" s="11">
        <f t="shared" si="20"/>
        <v>6.4864111134819359E-12</v>
      </c>
      <c r="O82" s="10">
        <f t="shared" si="21"/>
        <v>25.223808143006</v>
      </c>
    </row>
    <row r="83" spans="1:15">
      <c r="A83" s="10">
        <v>2300</v>
      </c>
      <c r="B83" s="10">
        <f t="shared" si="12"/>
        <v>227.6241</v>
      </c>
      <c r="C83" s="10">
        <f t="shared" si="13"/>
        <v>0.11881710289723978</v>
      </c>
      <c r="D83" s="10">
        <f t="shared" si="14"/>
        <v>5.5344420285999334E-2</v>
      </c>
      <c r="E83" s="10">
        <f t="shared" si="15"/>
        <v>4.6269000242548646E-12</v>
      </c>
      <c r="F83" s="10">
        <f t="shared" si="16"/>
        <v>4.6269000242548654E-12</v>
      </c>
      <c r="G83" s="10">
        <f t="shared" si="22"/>
        <v>12.597723857622341</v>
      </c>
      <c r="I83" s="10">
        <v>2650</v>
      </c>
      <c r="J83" s="10">
        <f t="shared" si="17"/>
        <v>262.26254999999998</v>
      </c>
      <c r="K83" s="10">
        <f t="shared" si="18"/>
        <v>0.12718770258323622</v>
      </c>
      <c r="L83" s="10">
        <f t="shared" si="19"/>
        <v>9.7098937797272189E-2</v>
      </c>
      <c r="M83" s="11">
        <f t="shared" si="23"/>
        <v>6.0972787284268232E-12</v>
      </c>
      <c r="N83" s="11">
        <f t="shared" si="20"/>
        <v>6.0972787284223876E-12</v>
      </c>
      <c r="O83" s="10">
        <f t="shared" si="21"/>
        <v>25.465415029003985</v>
      </c>
    </row>
    <row r="84" spans="1:15">
      <c r="A84" s="10">
        <v>2350</v>
      </c>
      <c r="B84" s="10">
        <f t="shared" si="12"/>
        <v>232.57245</v>
      </c>
      <c r="C84" s="10">
        <f t="shared" si="13"/>
        <v>0.11856003004745086</v>
      </c>
      <c r="D84" s="10">
        <f t="shared" si="14"/>
        <v>5.4588323668973107E-2</v>
      </c>
      <c r="E84" s="10">
        <f t="shared" si="15"/>
        <v>4.2823323595988463E-12</v>
      </c>
      <c r="F84" s="10">
        <f t="shared" si="16"/>
        <v>4.2823323596030428E-12</v>
      </c>
      <c r="G84" s="10">
        <f t="shared" si="22"/>
        <v>12.695740177086064</v>
      </c>
      <c r="I84" s="10">
        <v>2700</v>
      </c>
      <c r="J84" s="10">
        <f t="shared" si="17"/>
        <v>267.21089999999998</v>
      </c>
      <c r="K84" s="10">
        <f t="shared" si="18"/>
        <v>0.12693501548284225</v>
      </c>
      <c r="L84" s="10">
        <f t="shared" si="19"/>
        <v>9.6196483867293722E-2</v>
      </c>
      <c r="M84" s="11">
        <f t="shared" si="23"/>
        <v>5.7381169585420054E-12</v>
      </c>
      <c r="N84" s="11">
        <f t="shared" si="20"/>
        <v>5.7381169585591775E-12</v>
      </c>
      <c r="O84" s="10">
        <f t="shared" si="21"/>
        <v>25.704749031015034</v>
      </c>
    </row>
    <row r="85" spans="1:15">
      <c r="A85" s="10">
        <v>2400</v>
      </c>
      <c r="B85" s="10">
        <f t="shared" si="12"/>
        <v>237.52080000000001</v>
      </c>
      <c r="C85" s="10">
        <f t="shared" si="13"/>
        <v>0.11831176689674071</v>
      </c>
      <c r="D85" s="10">
        <f t="shared" si="14"/>
        <v>5.3858137931590305E-2</v>
      </c>
      <c r="E85" s="10">
        <f t="shared" si="15"/>
        <v>3.969883576787001E-12</v>
      </c>
      <c r="F85" s="10">
        <f t="shared" si="16"/>
        <v>3.9698835768111637E-12</v>
      </c>
      <c r="G85" s="10">
        <f t="shared" si="22"/>
        <v>12.792428008021675</v>
      </c>
      <c r="I85" s="10">
        <v>2750</v>
      </c>
      <c r="J85" s="10">
        <f t="shared" si="17"/>
        <v>272.15924999999999</v>
      </c>
      <c r="K85" s="10">
        <f t="shared" si="18"/>
        <v>0.12668924345454355</v>
      </c>
      <c r="L85" s="10">
        <f t="shared" si="19"/>
        <v>9.5318726623369793E-2</v>
      </c>
      <c r="M85" s="11">
        <f t="shared" si="23"/>
        <v>5.4061254528979933E-12</v>
      </c>
      <c r="N85" s="11">
        <f t="shared" si="20"/>
        <v>5.4061254529229363E-12</v>
      </c>
      <c r="O85" s="10">
        <f t="shared" si="21"/>
        <v>25.941873148771354</v>
      </c>
    </row>
    <row r="86" spans="1:15">
      <c r="A86" s="10">
        <v>2450</v>
      </c>
      <c r="B86" s="10">
        <f t="shared" si="12"/>
        <v>242.46914999999998</v>
      </c>
      <c r="C86" s="10">
        <f t="shared" si="13"/>
        <v>0.11807183748469245</v>
      </c>
      <c r="D86" s="10">
        <f t="shared" si="14"/>
        <v>5.3152463190271906E-2</v>
      </c>
      <c r="E86" s="10">
        <f t="shared" si="15"/>
        <v>3.6859817197026645E-12</v>
      </c>
      <c r="F86" s="10">
        <f t="shared" si="16"/>
        <v>3.6859817197336046E-12</v>
      </c>
      <c r="G86" s="10">
        <f t="shared" si="22"/>
        <v>12.887832570151517</v>
      </c>
      <c r="I86" s="10">
        <v>2800</v>
      </c>
      <c r="J86" s="10">
        <f t="shared" si="17"/>
        <v>277.10759999999999</v>
      </c>
      <c r="K86" s="10">
        <f t="shared" si="18"/>
        <v>0.12645007681658579</v>
      </c>
      <c r="L86" s="10">
        <f t="shared" si="19"/>
        <v>9.4464560059234953E-2</v>
      </c>
      <c r="M86" s="11">
        <f t="shared" si="23"/>
        <v>5.0988098739203E-12</v>
      </c>
      <c r="N86" s="11">
        <f t="shared" si="20"/>
        <v>5.0988098739203E-12</v>
      </c>
      <c r="O86" s="10">
        <f t="shared" si="21"/>
        <v>26.176847523070453</v>
      </c>
    </row>
    <row r="87" spans="1:15">
      <c r="A87" s="10">
        <v>2500</v>
      </c>
      <c r="B87" s="10">
        <f t="shared" si="12"/>
        <v>247.41749999999999</v>
      </c>
      <c r="C87" s="10">
        <f t="shared" si="13"/>
        <v>0.1178398005898208</v>
      </c>
      <c r="D87" s="10">
        <f t="shared" si="14"/>
        <v>5.2470001734767041E-2</v>
      </c>
      <c r="E87" s="10">
        <f t="shared" si="15"/>
        <v>3.4275138326503164E-12</v>
      </c>
      <c r="F87" s="10">
        <f t="shared" si="16"/>
        <v>3.4275138326800541E-12</v>
      </c>
      <c r="G87" s="10">
        <f t="shared" si="22"/>
        <v>12.981996654211724</v>
      </c>
      <c r="I87" s="10">
        <v>2850</v>
      </c>
      <c r="J87" s="10">
        <f t="shared" si="17"/>
        <v>282.05595</v>
      </c>
      <c r="K87" s="10">
        <f t="shared" si="18"/>
        <v>0.1262172249583377</v>
      </c>
      <c r="L87" s="10">
        <f t="shared" si="19"/>
        <v>9.3632946279777488E-2</v>
      </c>
      <c r="M87" s="11">
        <f t="shared" si="23"/>
        <v>4.8139437773575949E-12</v>
      </c>
      <c r="N87" s="11">
        <f t="shared" si="20"/>
        <v>4.813943777361499E-12</v>
      </c>
      <c r="O87" s="10">
        <f t="shared" si="21"/>
        <v>26.409729614241606</v>
      </c>
    </row>
    <row r="88" spans="1:15">
      <c r="A88" s="10">
        <v>2550</v>
      </c>
      <c r="B88" s="10">
        <f t="shared" si="12"/>
        <v>252.36584999999999</v>
      </c>
      <c r="C88" s="10">
        <f t="shared" si="13"/>
        <v>0.11761524656146148</v>
      </c>
      <c r="D88" s="10">
        <f t="shared" si="14"/>
        <v>5.1809548710180814E-2</v>
      </c>
      <c r="E88" s="10">
        <f t="shared" si="15"/>
        <v>3.1917593466211224E-12</v>
      </c>
      <c r="F88" s="10">
        <f t="shared" si="16"/>
        <v>3.1917593466390013E-12</v>
      </c>
      <c r="G88" s="10">
        <f t="shared" si="22"/>
        <v>13.074960798361184</v>
      </c>
      <c r="I88" s="10">
        <v>2900</v>
      </c>
      <c r="J88" s="10">
        <f t="shared" si="17"/>
        <v>287.0043</v>
      </c>
      <c r="K88" s="10">
        <f t="shared" si="18"/>
        <v>0.12599041485660578</v>
      </c>
      <c r="L88" s="10">
        <f t="shared" si="19"/>
        <v>9.2822910202163475E-2</v>
      </c>
      <c r="M88" s="11">
        <f t="shared" si="23"/>
        <v>4.5495358039925884E-12</v>
      </c>
      <c r="N88" s="11">
        <f t="shared" si="20"/>
        <v>4.5495358040001663E-12</v>
      </c>
      <c r="O88" s="10">
        <f t="shared" si="21"/>
        <v>26.640574366534786</v>
      </c>
    </row>
    <row r="89" spans="1:15">
      <c r="A89" s="10">
        <v>2600</v>
      </c>
      <c r="B89" s="10">
        <f t="shared" si="12"/>
        <v>257.31419999999997</v>
      </c>
      <c r="C89" s="10">
        <f t="shared" si="13"/>
        <v>0.11739779449604351</v>
      </c>
      <c r="D89" s="10">
        <f t="shared" si="14"/>
        <v>5.1169983811892666E-2</v>
      </c>
      <c r="E89" s="10">
        <f t="shared" si="15"/>
        <v>2.9763341989297875E-12</v>
      </c>
      <c r="F89" s="10">
        <f t="shared" si="16"/>
        <v>2.9763341989401144E-12</v>
      </c>
      <c r="G89" s="10">
        <f t="shared" si="22"/>
        <v>13.16676344857011</v>
      </c>
      <c r="I89" s="10">
        <v>2950</v>
      </c>
      <c r="J89" s="10">
        <f t="shared" si="17"/>
        <v>291.95265000000001</v>
      </c>
      <c r="K89" s="10">
        <f t="shared" si="18"/>
        <v>0.12576938973061097</v>
      </c>
      <c r="L89" s="10">
        <f t="shared" si="19"/>
        <v>9.2033534752182011E-2</v>
      </c>
      <c r="M89" s="11">
        <f t="shared" si="23"/>
        <v>4.3038013671844214E-12</v>
      </c>
      <c r="N89" s="11">
        <f t="shared" si="20"/>
        <v>4.3038013671991297E-12</v>
      </c>
      <c r="O89" s="10">
        <f t="shared" si="21"/>
        <v>26.869434359766633</v>
      </c>
    </row>
    <row r="90" spans="1:15">
      <c r="A90" s="10">
        <v>2650</v>
      </c>
      <c r="B90" s="10">
        <f t="shared" si="12"/>
        <v>262.26254999999998</v>
      </c>
      <c r="C90" s="10">
        <f t="shared" si="13"/>
        <v>0.11718708971450947</v>
      </c>
      <c r="D90" s="10">
        <f t="shared" si="14"/>
        <v>5.0550263866204322E-2</v>
      </c>
      <c r="E90" s="10">
        <f t="shared" si="15"/>
        <v>2.7791437913492494E-12</v>
      </c>
      <c r="F90" s="10">
        <f t="shared" si="16"/>
        <v>2.7791437913525662E-12</v>
      </c>
      <c r="G90" s="10">
        <f t="shared" si="22"/>
        <v>13.257441104723602</v>
      </c>
      <c r="I90" s="10">
        <v>3000</v>
      </c>
      <c r="J90" s="10">
        <f t="shared" si="17"/>
        <v>296.90100000000001</v>
      </c>
      <c r="K90" s="10">
        <f t="shared" si="18"/>
        <v>0.1255539078205693</v>
      </c>
      <c r="L90" s="10">
        <f t="shared" si="19"/>
        <v>9.1263956502033186E-2</v>
      </c>
      <c r="M90" s="11">
        <f t="shared" si="23"/>
        <v>4.0751381567527415E-12</v>
      </c>
      <c r="N90" s="11">
        <f t="shared" si="20"/>
        <v>4.0751381567598816E-12</v>
      </c>
      <c r="O90" s="10">
        <f t="shared" si="21"/>
        <v>27.096359949410157</v>
      </c>
    </row>
    <row r="91" spans="1:15">
      <c r="A91" s="10">
        <v>2700</v>
      </c>
      <c r="B91" s="10">
        <f t="shared" si="12"/>
        <v>267.21089999999998</v>
      </c>
      <c r="C91" s="10">
        <f t="shared" si="13"/>
        <v>0.11698280150377754</v>
      </c>
      <c r="D91" s="10">
        <f t="shared" si="14"/>
        <v>4.9949416187581003E-2</v>
      </c>
      <c r="E91" s="10">
        <f t="shared" si="15"/>
        <v>2.598343254576173E-12</v>
      </c>
      <c r="F91" s="10">
        <f t="shared" si="16"/>
        <v>2.5983432545825679E-12</v>
      </c>
      <c r="G91" s="10">
        <f t="shared" si="22"/>
        <v>13.347028453958087</v>
      </c>
      <c r="I91" s="10">
        <v>3050</v>
      </c>
      <c r="J91" s="10">
        <f t="shared" si="17"/>
        <v>301.84935000000002</v>
      </c>
      <c r="K91" s="10">
        <f t="shared" si="18"/>
        <v>0.12534374127667483</v>
      </c>
      <c r="L91" s="10">
        <f t="shared" si="19"/>
        <v>9.0513361702410075E-2</v>
      </c>
      <c r="M91" s="11">
        <f t="shared" si="23"/>
        <v>3.8621048918025322E-12</v>
      </c>
      <c r="N91" s="11">
        <f t="shared" si="20"/>
        <v>3.862104891806E-12</v>
      </c>
      <c r="O91" s="10">
        <f t="shared" si="21"/>
        <v>27.321399396187378</v>
      </c>
    </row>
    <row r="92" spans="1:15">
      <c r="A92" s="10">
        <v>2750</v>
      </c>
      <c r="B92" s="10">
        <f t="shared" si="12"/>
        <v>272.15924999999999</v>
      </c>
      <c r="C92" s="10">
        <f t="shared" si="13"/>
        <v>0.11678462109030352</v>
      </c>
      <c r="D92" s="10">
        <f t="shared" si="14"/>
        <v>4.9366532618539752E-2</v>
      </c>
      <c r="E92" s="10">
        <f t="shared" si="15"/>
        <v>2.4323037748827474E-12</v>
      </c>
      <c r="F92" s="10">
        <f t="shared" si="16"/>
        <v>2.432303774882747E-12</v>
      </c>
      <c r="G92" s="10">
        <f t="shared" si="22"/>
        <v>13.435558492562315</v>
      </c>
      <c r="I92" s="10">
        <v>3100</v>
      </c>
      <c r="J92" s="10">
        <f t="shared" si="17"/>
        <v>306.79770000000002</v>
      </c>
      <c r="K92" s="10">
        <f t="shared" si="18"/>
        <v>0.12513867514688332</v>
      </c>
      <c r="L92" s="10">
        <f t="shared" si="19"/>
        <v>8.978098266744039E-2</v>
      </c>
      <c r="M92" s="11">
        <f t="shared" si="23"/>
        <v>3.6634028470001551E-12</v>
      </c>
      <c r="N92" s="11">
        <f t="shared" si="20"/>
        <v>3.6634028470271258E-12</v>
      </c>
      <c r="O92" s="10">
        <f t="shared" si="21"/>
        <v>27.544598986110579</v>
      </c>
    </row>
    <row r="93" spans="1:15">
      <c r="A93" s="10">
        <v>2800</v>
      </c>
      <c r="B93" s="10">
        <f t="shared" si="12"/>
        <v>277.10759999999999</v>
      </c>
      <c r="C93" s="10">
        <f t="shared" si="13"/>
        <v>0.11659225981816701</v>
      </c>
      <c r="D93" s="10">
        <f t="shared" si="14"/>
        <v>4.8800764171079432E-2</v>
      </c>
      <c r="E93" s="10">
        <f t="shared" si="15"/>
        <v>2.2795839686193846E-12</v>
      </c>
      <c r="F93" s="10">
        <f t="shared" si="16"/>
        <v>2.2795839686342702E-12</v>
      </c>
      <c r="G93" s="10">
        <f t="shared" si="22"/>
        <v>13.52306263761381</v>
      </c>
      <c r="I93" s="10">
        <v>3150</v>
      </c>
      <c r="J93" s="10">
        <f t="shared" si="17"/>
        <v>311.74605000000003</v>
      </c>
      <c r="K93" s="10">
        <f t="shared" si="18"/>
        <v>0.12493850645327928</v>
      </c>
      <c r="L93" s="10">
        <f t="shared" si="19"/>
        <v>8.9066094475997407E-2</v>
      </c>
      <c r="M93" s="11">
        <f t="shared" si="23"/>
        <v>3.4778597527787716E-12</v>
      </c>
      <c r="N93" s="11">
        <f t="shared" si="20"/>
        <v>3.477859752791885E-12</v>
      </c>
      <c r="O93" s="10">
        <f t="shared" si="21"/>
        <v>27.766003141819013</v>
      </c>
    </row>
    <row r="94" spans="1:15">
      <c r="A94" s="10">
        <v>2850</v>
      </c>
      <c r="B94" s="10">
        <f t="shared" si="12"/>
        <v>282.05595</v>
      </c>
      <c r="C94" s="10">
        <f t="shared" si="13"/>
        <v>0.11640544750780929</v>
      </c>
      <c r="D94" s="10">
        <f t="shared" si="14"/>
        <v>4.8251316199439079E-2</v>
      </c>
      <c r="E94" s="10">
        <f t="shared" si="15"/>
        <v>2.1389054744741426E-12</v>
      </c>
      <c r="F94" s="10">
        <f t="shared" si="16"/>
        <v>2.138905474491397E-12</v>
      </c>
      <c r="G94" s="10">
        <f t="shared" si="22"/>
        <v>13.609570829383179</v>
      </c>
      <c r="I94" s="10">
        <v>3200</v>
      </c>
      <c r="J94" s="10">
        <f t="shared" si="17"/>
        <v>316.69439999999997</v>
      </c>
      <c r="K94" s="10">
        <f t="shared" si="18"/>
        <v>0.12474304334800873</v>
      </c>
      <c r="L94" s="10">
        <f t="shared" si="19"/>
        <v>8.8368011957174017E-2</v>
      </c>
      <c r="M94" s="11">
        <f t="shared" si="23"/>
        <v>3.3044157326758069E-12</v>
      </c>
      <c r="N94" s="11">
        <f t="shared" si="20"/>
        <v>3.3044157326885631E-12</v>
      </c>
      <c r="O94" s="10">
        <f t="shared" si="21"/>
        <v>27.985654525970048</v>
      </c>
    </row>
    <row r="95" spans="1:15">
      <c r="A95" s="10">
        <v>2900</v>
      </c>
      <c r="B95" s="10">
        <f t="shared" si="12"/>
        <v>287.0043</v>
      </c>
      <c r="C95" s="10">
        <f t="shared" si="13"/>
        <v>0.11622393097470041</v>
      </c>
      <c r="D95" s="10">
        <f t="shared" si="14"/>
        <v>4.7717444043236482E-2</v>
      </c>
      <c r="E95" s="10">
        <f t="shared" si="15"/>
        <v>2.0091320814531667E-12</v>
      </c>
      <c r="F95" s="10">
        <f t="shared" si="16"/>
        <v>2.0091320814587255E-12</v>
      </c>
      <c r="G95" s="10">
        <f t="shared" si="22"/>
        <v>13.695111625418257</v>
      </c>
      <c r="I95" s="10">
        <v>3250</v>
      </c>
      <c r="J95" s="10">
        <f t="shared" si="17"/>
        <v>321.64274999999998</v>
      </c>
      <c r="K95" s="10">
        <f t="shared" si="18"/>
        <v>0.12455210434080372</v>
      </c>
      <c r="L95" s="10">
        <f t="shared" si="19"/>
        <v>8.7686086931441809E-2</v>
      </c>
      <c r="M95" s="11">
        <f t="shared" si="23"/>
        <v>3.1421109932267628E-12</v>
      </c>
      <c r="N95" s="11">
        <f t="shared" si="20"/>
        <v>3.1421109932329707E-12</v>
      </c>
      <c r="O95" s="10">
        <f t="shared" si="21"/>
        <v>28.203594137368004</v>
      </c>
    </row>
    <row r="96" spans="1:15">
      <c r="A96" s="10">
        <v>2950</v>
      </c>
      <c r="B96" s="10">
        <f t="shared" si="12"/>
        <v>291.95265000000001</v>
      </c>
      <c r="C96" s="10">
        <f t="shared" si="13"/>
        <v>0.11604747268990173</v>
      </c>
      <c r="D96" s="10">
        <f t="shared" si="14"/>
        <v>4.7198449087946258E-2</v>
      </c>
      <c r="E96" s="10">
        <f t="shared" si="15"/>
        <v>1.8892518304112594E-12</v>
      </c>
      <c r="F96" s="10">
        <f t="shared" si="16"/>
        <v>1.8892518304112585E-12</v>
      </c>
      <c r="G96" s="10">
        <f t="shared" si="22"/>
        <v>13.779712287115993</v>
      </c>
      <c r="I96" s="10">
        <v>3300</v>
      </c>
      <c r="J96" s="10">
        <f t="shared" si="17"/>
        <v>326.59109999999998</v>
      </c>
      <c r="K96" s="10">
        <f t="shared" si="18"/>
        <v>0.12436551759103143</v>
      </c>
      <c r="L96" s="10">
        <f t="shared" si="19"/>
        <v>8.7019705682255075E-2</v>
      </c>
      <c r="M96" s="11">
        <f t="shared" si="23"/>
        <v>2.9900750251536263E-12</v>
      </c>
      <c r="N96" s="11">
        <f t="shared" si="20"/>
        <v>2.9900750251596698E-12</v>
      </c>
      <c r="O96" s="10">
        <f t="shared" si="21"/>
        <v>28.419861400443935</v>
      </c>
    </row>
    <row r="97" spans="1:15">
      <c r="A97" s="10">
        <v>3000</v>
      </c>
      <c r="B97" s="10">
        <f t="shared" si="12"/>
        <v>296.90100000000001</v>
      </c>
      <c r="C97" s="10">
        <f t="shared" si="13"/>
        <v>0.11587584956679067</v>
      </c>
      <c r="D97" s="10">
        <f t="shared" si="14"/>
        <v>4.6693675196443143E-2</v>
      </c>
      <c r="E97" s="10">
        <f t="shared" si="15"/>
        <v>1.77836162396303E-12</v>
      </c>
      <c r="F97" s="10">
        <f t="shared" si="16"/>
        <v>1.7783616239734327E-12</v>
      </c>
      <c r="G97" s="10">
        <f t="shared" si="22"/>
        <v>13.863398859499167</v>
      </c>
      <c r="I97" s="10">
        <v>3350</v>
      </c>
      <c r="J97" s="10">
        <f t="shared" si="17"/>
        <v>331.53944999999999</v>
      </c>
      <c r="K97" s="10">
        <f t="shared" si="18"/>
        <v>0.12418312025799437</v>
      </c>
      <c r="L97" s="10">
        <f t="shared" si="19"/>
        <v>8.6368286635694153E-2</v>
      </c>
      <c r="M97" s="11">
        <f t="shared" si="23"/>
        <v>2.8475171109028652E-12</v>
      </c>
      <c r="N97" s="11">
        <f t="shared" si="20"/>
        <v>2.8475171108969784E-12</v>
      </c>
      <c r="O97" s="10">
        <f t="shared" si="21"/>
        <v>28.63449424864039</v>
      </c>
    </row>
    <row r="98" spans="1:15">
      <c r="A98" s="10">
        <v>3050</v>
      </c>
      <c r="B98" s="10">
        <f t="shared" si="12"/>
        <v>301.84935000000002</v>
      </c>
      <c r="C98" s="10">
        <f t="shared" si="13"/>
        <v>0.11570885186018826</v>
      </c>
      <c r="D98" s="10">
        <f t="shared" si="14"/>
        <v>4.6202505471141915E-2</v>
      </c>
      <c r="E98" s="10">
        <f t="shared" si="15"/>
        <v>1.6756539587026714E-12</v>
      </c>
      <c r="F98" s="10">
        <f t="shared" si="16"/>
        <v>1.6756539587177783E-12</v>
      </c>
      <c r="G98" s="10">
        <f t="shared" si="22"/>
        <v>13.946196244835631</v>
      </c>
      <c r="I98" s="10">
        <v>3400</v>
      </c>
      <c r="J98" s="10">
        <f t="shared" si="17"/>
        <v>336.48779999999999</v>
      </c>
      <c r="K98" s="10">
        <f t="shared" si="18"/>
        <v>0.12400475790390129</v>
      </c>
      <c r="L98" s="10">
        <f t="shared" si="19"/>
        <v>8.5731278228218882E-2</v>
      </c>
      <c r="M98" s="11">
        <f t="shared" si="23"/>
        <v>2.7137179639329385E-12</v>
      </c>
      <c r="N98" s="11">
        <f t="shared" si="20"/>
        <v>2.7137179639386742E-12</v>
      </c>
      <c r="O98" s="10">
        <f t="shared" si="21"/>
        <v>28.847529202201269</v>
      </c>
    </row>
    <row r="99" spans="1:15">
      <c r="A99" s="10">
        <v>3100</v>
      </c>
      <c r="B99" s="10">
        <f t="shared" si="12"/>
        <v>306.79770000000002</v>
      </c>
      <c r="C99" s="10">
        <f t="shared" si="13"/>
        <v>0.11554628216582886</v>
      </c>
      <c r="D99" s="10">
        <f t="shared" si="14"/>
        <v>4.5724359311261356E-2</v>
      </c>
      <c r="E99" s="10">
        <f t="shared" si="15"/>
        <v>1.580405458192403E-12</v>
      </c>
      <c r="F99" s="10">
        <f t="shared" si="16"/>
        <v>1.5804054581972812E-12</v>
      </c>
      <c r="G99" s="10">
        <f t="shared" si="22"/>
        <v>14.028128270668569</v>
      </c>
      <c r="I99" s="10">
        <v>3450</v>
      </c>
      <c r="J99" s="10">
        <f t="shared" si="17"/>
        <v>341.43615</v>
      </c>
      <c r="K99" s="10">
        <f t="shared" si="18"/>
        <v>0.1238302839445362</v>
      </c>
      <c r="L99" s="10">
        <f t="shared" si="19"/>
        <v>8.5108156944772112E-2</v>
      </c>
      <c r="M99" s="11">
        <f t="shared" si="23"/>
        <v>2.5880223505902671E-12</v>
      </c>
      <c r="N99" s="11">
        <f t="shared" si="20"/>
        <v>2.5880223506042464E-12</v>
      </c>
      <c r="O99" s="10">
        <f t="shared" si="21"/>
        <v>29.059001440818751</v>
      </c>
    </row>
    <row r="100" spans="1:15">
      <c r="A100" s="10">
        <v>3150</v>
      </c>
      <c r="B100" s="10">
        <f t="shared" si="12"/>
        <v>311.74605000000003</v>
      </c>
      <c r="C100" s="10">
        <f t="shared" si="13"/>
        <v>0.1153879545095766</v>
      </c>
      <c r="D100" s="10">
        <f t="shared" si="14"/>
        <v>4.5258689734048826E-2</v>
      </c>
      <c r="E100" s="10">
        <f t="shared" si="15"/>
        <v>1.491966938171932E-12</v>
      </c>
      <c r="F100" s="10">
        <f t="shared" si="16"/>
        <v>1.491966938176659E-12</v>
      </c>
      <c r="G100" s="10">
        <f t="shared" si="22"/>
        <v>14.109217752765273</v>
      </c>
      <c r="I100" s="10">
        <v>3500</v>
      </c>
      <c r="J100" s="10">
        <f t="shared" si="17"/>
        <v>346.3845</v>
      </c>
      <c r="K100" s="10">
        <f t="shared" si="18"/>
        <v>0.12365955914318674</v>
      </c>
      <c r="L100" s="10">
        <f t="shared" si="19"/>
        <v>8.4498425511381189E-2</v>
      </c>
      <c r="M100" s="11">
        <f t="shared" si="23"/>
        <v>2.4698325669557732E-12</v>
      </c>
      <c r="N100" s="11">
        <f t="shared" si="20"/>
        <v>2.4698325669557732E-12</v>
      </c>
      <c r="O100" s="10">
        <f t="shared" si="21"/>
        <v>29.268944871547017</v>
      </c>
    </row>
    <row r="101" spans="1:15">
      <c r="A101" s="10">
        <v>3200</v>
      </c>
      <c r="B101" s="10">
        <f t="shared" si="12"/>
        <v>316.69439999999997</v>
      </c>
      <c r="C101" s="10">
        <f t="shared" si="13"/>
        <v>0.11523369351705988</v>
      </c>
      <c r="D101" s="10">
        <f t="shared" si="14"/>
        <v>4.4804980932529041E-2</v>
      </c>
      <c r="E101" s="10">
        <f t="shared" si="15"/>
        <v>1.4097547789551666E-12</v>
      </c>
      <c r="F101" s="10">
        <f t="shared" si="16"/>
        <v>1.4097547789574583E-12</v>
      </c>
      <c r="G101" s="10">
        <f t="shared" si="22"/>
        <v>14.189486553438725</v>
      </c>
      <c r="I101" s="10">
        <v>3550</v>
      </c>
      <c r="J101" s="10">
        <f t="shared" si="17"/>
        <v>351.33285000000001</v>
      </c>
      <c r="K101" s="10">
        <f t="shared" si="18"/>
        <v>0.1234924511438632</v>
      </c>
      <c r="L101" s="10">
        <f t="shared" si="19"/>
        <v>8.3901611228082831E-2</v>
      </c>
      <c r="M101" s="11">
        <f t="shared" si="23"/>
        <v>2.358602661127219E-12</v>
      </c>
      <c r="N101" s="11">
        <f t="shared" si="20"/>
        <v>2.358602661127219E-12</v>
      </c>
      <c r="O101" s="10">
        <f t="shared" si="21"/>
        <v>29.47739219235434</v>
      </c>
    </row>
    <row r="102" spans="1:15">
      <c r="A102" s="10">
        <v>3250</v>
      </c>
      <c r="B102" s="10">
        <f t="shared" si="12"/>
        <v>321.64274999999998</v>
      </c>
      <c r="C102" s="10">
        <f t="shared" si="13"/>
        <v>0.11508333365549429</v>
      </c>
      <c r="D102" s="10">
        <f t="shared" si="14"/>
        <v>4.4362746045571437E-2</v>
      </c>
      <c r="E102" s="10">
        <f t="shared" si="15"/>
        <v>1.3332434159179374E-12</v>
      </c>
      <c r="F102" s="10">
        <f t="shared" si="16"/>
        <v>1.33324341592683E-12</v>
      </c>
      <c r="G102" s="10">
        <f t="shared" si="22"/>
        <v>14.268955635649222</v>
      </c>
      <c r="I102" s="10">
        <v>3600</v>
      </c>
      <c r="J102" s="10">
        <f t="shared" si="17"/>
        <v>356.28120000000001</v>
      </c>
      <c r="K102" s="10">
        <f t="shared" si="18"/>
        <v>0.12332883404025353</v>
      </c>
      <c r="L102" s="10">
        <f t="shared" si="19"/>
        <v>8.3317264429476887E-2</v>
      </c>
      <c r="M102" s="11">
        <f t="shared" si="23"/>
        <v>2.2538333067127995E-12</v>
      </c>
      <c r="N102" s="11">
        <f t="shared" si="20"/>
        <v>2.2538333067257759E-12</v>
      </c>
      <c r="O102" s="10">
        <f t="shared" si="21"/>
        <v>29.684374951651343</v>
      </c>
    </row>
    <row r="103" spans="1:15">
      <c r="A103" s="10">
        <v>3300</v>
      </c>
      <c r="B103" s="10">
        <f t="shared" si="12"/>
        <v>326.59109999999998</v>
      </c>
      <c r="C103" s="10">
        <f t="shared" si="13"/>
        <v>0.11493671854041781</v>
      </c>
      <c r="D103" s="10">
        <f t="shared" si="14"/>
        <v>4.3931525118875915E-2</v>
      </c>
      <c r="E103" s="10">
        <f t="shared" si="15"/>
        <v>1.2619587887488171E-12</v>
      </c>
      <c r="F103" s="10">
        <f t="shared" si="16"/>
        <v>1.2619587887574481E-12</v>
      </c>
      <c r="G103" s="10">
        <f t="shared" si="22"/>
        <v>14.347645113251316</v>
      </c>
      <c r="I103" s="10">
        <v>3650</v>
      </c>
      <c r="J103" s="10">
        <f t="shared" si="17"/>
        <v>361.22955000000002</v>
      </c>
      <c r="K103" s="10">
        <f t="shared" si="18"/>
        <v>0.12316858797722578</v>
      </c>
      <c r="L103" s="10">
        <f t="shared" si="19"/>
        <v>8.274495706152063E-2</v>
      </c>
      <c r="M103" s="11">
        <f t="shared" si="23"/>
        <v>2.1550672463765847E-12</v>
      </c>
      <c r="N103" s="11">
        <f t="shared" si="20"/>
        <v>2.1550672463816515E-12</v>
      </c>
      <c r="O103" s="10">
        <f t="shared" si="21"/>
        <v>29.889923604102421</v>
      </c>
    </row>
    <row r="104" spans="1:15">
      <c r="A104" s="10">
        <v>3350</v>
      </c>
      <c r="B104" s="10">
        <f t="shared" si="12"/>
        <v>331.53944999999999</v>
      </c>
      <c r="C104" s="10">
        <f t="shared" si="13"/>
        <v>0.11479370030089386</v>
      </c>
      <c r="D104" s="10">
        <f t="shared" si="14"/>
        <v>4.3510883237923119E-2</v>
      </c>
      <c r="E104" s="10">
        <f t="shared" si="15"/>
        <v>1.1954726148357899E-12</v>
      </c>
      <c r="F104" s="10">
        <f t="shared" si="16"/>
        <v>1.1954726148441697E-12</v>
      </c>
      <c r="G104" s="10">
        <f t="shared" si="22"/>
        <v>14.425574297715249</v>
      </c>
      <c r="I104" s="10">
        <v>3700</v>
      </c>
      <c r="J104" s="10">
        <f t="shared" si="17"/>
        <v>366.17790000000002</v>
      </c>
      <c r="K104" s="10">
        <f t="shared" si="18"/>
        <v>0.12301159878201276</v>
      </c>
      <c r="L104" s="10">
        <f t="shared" si="19"/>
        <v>8.2184281364331258E-2</v>
      </c>
      <c r="M104" s="11">
        <f t="shared" si="23"/>
        <v>2.0618852353078E-12</v>
      </c>
      <c r="N104" s="11">
        <f t="shared" si="20"/>
        <v>2.0618852353102735E-12</v>
      </c>
      <c r="O104" s="10">
        <f t="shared" si="21"/>
        <v>30.094067562999957</v>
      </c>
    </row>
    <row r="105" spans="1:15">
      <c r="A105" s="10">
        <v>3400</v>
      </c>
      <c r="B105" s="10">
        <f t="shared" si="12"/>
        <v>336.48779999999999</v>
      </c>
      <c r="C105" s="10">
        <f t="shared" si="13"/>
        <v>0.11465413899746273</v>
      </c>
      <c r="D105" s="10">
        <f t="shared" si="14"/>
        <v>4.3100408816066832E-2</v>
      </c>
      <c r="E105" s="10">
        <f t="shared" si="15"/>
        <v>1.1333973727124277E-12</v>
      </c>
      <c r="F105" s="10">
        <f t="shared" si="16"/>
        <v>1.133397372722603E-12</v>
      </c>
      <c r="G105" s="10">
        <f t="shared" si="22"/>
        <v>14.502761741618933</v>
      </c>
      <c r="I105" s="10">
        <v>3750</v>
      </c>
      <c r="J105" s="10">
        <f t="shared" si="17"/>
        <v>371.12624999999997</v>
      </c>
      <c r="K105" s="10">
        <f t="shared" si="18"/>
        <v>0.12285775762250174</v>
      </c>
      <c r="L105" s="10">
        <f t="shared" si="19"/>
        <v>8.1634848651791908E-2</v>
      </c>
      <c r="M105" s="11">
        <f t="shared" si="23"/>
        <v>1.9739024239328398E-12</v>
      </c>
      <c r="N105" s="11">
        <f t="shared" si="20"/>
        <v>1.9739024239352559E-12</v>
      </c>
      <c r="O105" s="10">
        <f t="shared" si="21"/>
        <v>30.296835249457086</v>
      </c>
    </row>
    <row r="106" spans="1:15">
      <c r="A106" s="10">
        <v>3450</v>
      </c>
      <c r="B106" s="10">
        <f t="shared" si="12"/>
        <v>341.43615</v>
      </c>
      <c r="C106" s="10">
        <f t="shared" si="13"/>
        <v>0.11451790208775664</v>
      </c>
      <c r="D106" s="10">
        <f t="shared" si="14"/>
        <v>4.2699712022813634E-2</v>
      </c>
      <c r="E106" s="10">
        <f t="shared" si="15"/>
        <v>1.0753818986967554E-12</v>
      </c>
      <c r="F106" s="10">
        <f t="shared" si="16"/>
        <v>1.0753818987165324E-12</v>
      </c>
      <c r="G106" s="10">
        <f t="shared" si="22"/>
        <v>14.5792252791782</v>
      </c>
      <c r="I106" s="10">
        <v>3800</v>
      </c>
      <c r="J106" s="10">
        <f t="shared" si="17"/>
        <v>376.07459999999998</v>
      </c>
      <c r="K106" s="10">
        <f t="shared" si="18"/>
        <v>0.12270696069030584</v>
      </c>
      <c r="L106" s="10">
        <f t="shared" si="19"/>
        <v>8.1096288179663703E-2</v>
      </c>
      <c r="M106" s="11">
        <f t="shared" si="23"/>
        <v>1.890765127204398E-12</v>
      </c>
      <c r="N106" s="11">
        <f t="shared" si="20"/>
        <v>1.8907651272138419E-12</v>
      </c>
      <c r="O106" s="10">
        <f t="shared" si="21"/>
        <v>30.498254138651752</v>
      </c>
    </row>
    <row r="107" spans="1:15">
      <c r="A107" s="10">
        <v>3500</v>
      </c>
      <c r="B107" s="10">
        <f t="shared" si="12"/>
        <v>346.3845</v>
      </c>
      <c r="C107" s="10">
        <f t="shared" si="13"/>
        <v>0.11438486393524898</v>
      </c>
      <c r="D107" s="10">
        <f t="shared" si="14"/>
        <v>4.2308423338967574E-2</v>
      </c>
      <c r="E107" s="10">
        <f t="shared" si="15"/>
        <v>1.0211075142290125E-12</v>
      </c>
      <c r="F107" s="10">
        <f t="shared" si="16"/>
        <v>1.0211075142213217E-12</v>
      </c>
      <c r="G107" s="10">
        <f t="shared" si="22"/>
        <v>14.654982064056615</v>
      </c>
      <c r="I107" s="10">
        <v>3850</v>
      </c>
      <c r="J107" s="10">
        <f t="shared" si="17"/>
        <v>381.02294999999998</v>
      </c>
      <c r="K107" s="10">
        <f t="shared" si="18"/>
        <v>0.12255910890652096</v>
      </c>
      <c r="L107" s="10">
        <f t="shared" si="19"/>
        <v>8.0568246094717674E-2</v>
      </c>
      <c r="M107" s="11">
        <f t="shared" si="23"/>
        <v>1.8121479348050744E-12</v>
      </c>
      <c r="N107" s="11">
        <f t="shared" si="20"/>
        <v>1.8121479348143056E-12</v>
      </c>
      <c r="O107" s="10">
        <f t="shared" si="21"/>
        <v>30.698350803335305</v>
      </c>
    </row>
    <row r="108" spans="1:15">
      <c r="A108" s="10">
        <v>3550</v>
      </c>
      <c r="B108" s="10">
        <f t="shared" si="12"/>
        <v>351.33285000000001</v>
      </c>
      <c r="C108" s="10">
        <f t="shared" si="13"/>
        <v>0.11425490535709695</v>
      </c>
      <c r="D108" s="10">
        <f t="shared" si="14"/>
        <v>4.1926192226755733E-2</v>
      </c>
      <c r="E108" s="10">
        <f t="shared" si="15"/>
        <v>9.7028461350884997E-13</v>
      </c>
      <c r="F108" s="10">
        <f t="shared" si="16"/>
        <v>9.7028461351072001E-13</v>
      </c>
      <c r="G108" s="10">
        <f t="shared" si="22"/>
        <v>14.730048604673938</v>
      </c>
      <c r="I108" s="10">
        <v>3900</v>
      </c>
      <c r="J108" s="10">
        <f t="shared" si="17"/>
        <v>385.97129999999999</v>
      </c>
      <c r="K108" s="10">
        <f t="shared" si="18"/>
        <v>0.1224141076482741</v>
      </c>
      <c r="L108" s="10">
        <f t="shared" si="19"/>
        <v>8.0050384458121737E-2</v>
      </c>
      <c r="M108" s="11">
        <f t="shared" si="23"/>
        <v>1.7377511223762772E-12</v>
      </c>
      <c r="N108" s="11">
        <f t="shared" si="20"/>
        <v>1.7377511223762774E-12</v>
      </c>
      <c r="O108" s="10">
        <f t="shared" si="21"/>
        <v>30.897150954801042</v>
      </c>
    </row>
    <row r="109" spans="1:15">
      <c r="A109" s="10">
        <v>3600</v>
      </c>
      <c r="B109" s="10">
        <f t="shared" si="12"/>
        <v>356.28120000000001</v>
      </c>
      <c r="C109" s="10">
        <f t="shared" si="13"/>
        <v>0.1141279132074665</v>
      </c>
      <c r="D109" s="10">
        <f t="shared" si="14"/>
        <v>4.155268590431322E-2</v>
      </c>
      <c r="E109" s="10">
        <f t="shared" si="15"/>
        <v>9.2264965117548637E-13</v>
      </c>
      <c r="F109" s="10">
        <f t="shared" si="16"/>
        <v>9.2264965118458354E-13</v>
      </c>
      <c r="G109" s="10">
        <f t="shared" si="22"/>
        <v>14.8044407972118</v>
      </c>
      <c r="I109" s="10">
        <v>3950</v>
      </c>
      <c r="J109" s="10">
        <f t="shared" si="17"/>
        <v>390.91964999999999</v>
      </c>
      <c r="K109" s="10">
        <f t="shared" si="18"/>
        <v>0.12227186649434896</v>
      </c>
      <c r="L109" s="10">
        <f t="shared" si="19"/>
        <v>7.9542380336960539E-2</v>
      </c>
      <c r="M109" s="11">
        <f t="shared" si="23"/>
        <v>1.6672983290884686E-12</v>
      </c>
      <c r="N109" s="11">
        <f t="shared" si="20"/>
        <v>1.6672983290950881E-12</v>
      </c>
      <c r="O109" s="10">
        <f t="shared" si="21"/>
        <v>31.094679481491497</v>
      </c>
    </row>
    <row r="110" spans="1:15">
      <c r="A110" s="10">
        <v>3650</v>
      </c>
      <c r="B110" s="10">
        <f t="shared" si="12"/>
        <v>361.22955000000002</v>
      </c>
      <c r="C110" s="10">
        <f t="shared" si="13"/>
        <v>0.11400377999310597</v>
      </c>
      <c r="D110" s="10">
        <f t="shared" si="14"/>
        <v>4.118758821501755E-2</v>
      </c>
      <c r="E110" s="10">
        <f t="shared" si="15"/>
        <v>8.7796247841931973E-13</v>
      </c>
      <c r="F110" s="10">
        <f t="shared" si="16"/>
        <v>8.7796247843171633E-13</v>
      </c>
      <c r="G110" s="10">
        <f t="shared" si="22"/>
        <v>14.878173956496093</v>
      </c>
      <c r="I110" s="10">
        <v>4000</v>
      </c>
      <c r="J110" s="10">
        <f t="shared" si="17"/>
        <v>395.86799999999999</v>
      </c>
      <c r="K110" s="10">
        <f t="shared" si="18"/>
        <v>0.12213229898833579</v>
      </c>
      <c r="L110" s="10">
        <f t="shared" si="19"/>
        <v>7.9043924958342074E-2</v>
      </c>
      <c r="M110" s="11">
        <f t="shared" si="23"/>
        <v>1.6005344712216611E-12</v>
      </c>
      <c r="N110" s="11">
        <f t="shared" si="20"/>
        <v>1.6005344712259778E-12</v>
      </c>
      <c r="O110" s="10">
        <f t="shared" si="21"/>
        <v>31.290960485408959</v>
      </c>
    </row>
    <row r="111" spans="1:15">
      <c r="A111" s="10">
        <v>3700</v>
      </c>
      <c r="B111" s="10">
        <f t="shared" si="12"/>
        <v>366.17790000000002</v>
      </c>
      <c r="C111" s="10">
        <f t="shared" si="13"/>
        <v>0.11388240351827071</v>
      </c>
      <c r="D111" s="10">
        <f t="shared" si="14"/>
        <v>4.0830598583149136E-2</v>
      </c>
      <c r="E111" s="10">
        <f t="shared" si="15"/>
        <v>8.3600398309542091E-13</v>
      </c>
      <c r="F111" s="10">
        <f t="shared" si="16"/>
        <v>8.3600398311266438E-13</v>
      </c>
      <c r="G111" s="10">
        <f t="shared" si="22"/>
        <v>14.951262844920526</v>
      </c>
      <c r="I111" s="10">
        <v>4050</v>
      </c>
      <c r="J111" s="10">
        <f t="shared" si="17"/>
        <v>400.81635</v>
      </c>
      <c r="K111" s="10">
        <f t="shared" si="18"/>
        <v>0.12199532241789619</v>
      </c>
      <c r="L111" s="10">
        <f t="shared" si="19"/>
        <v>7.8554722921057807E-2</v>
      </c>
      <c r="M111" s="11">
        <f t="shared" si="23"/>
        <v>1.5372238651469713E-12</v>
      </c>
      <c r="N111" s="11">
        <f t="shared" si="20"/>
        <v>1.5372238651469715E-12</v>
      </c>
      <c r="O111" s="10">
        <f t="shared" si="21"/>
        <v>31.486017316479728</v>
      </c>
    </row>
    <row r="112" spans="1:15">
      <c r="A112" s="10">
        <v>3750</v>
      </c>
      <c r="B112" s="10">
        <f t="shared" si="12"/>
        <v>371.12624999999997</v>
      </c>
      <c r="C112" s="10">
        <f t="shared" si="13"/>
        <v>0.11376368655639515</v>
      </c>
      <c r="D112" s="10">
        <f t="shared" si="14"/>
        <v>4.048143104822103E-2</v>
      </c>
      <c r="E112" s="10">
        <f t="shared" si="15"/>
        <v>7.9657399566241158E-13</v>
      </c>
      <c r="F112" s="10">
        <f t="shared" si="16"/>
        <v>7.9657399567416841E-13</v>
      </c>
      <c r="G112" s="10">
        <f t="shared" si="22"/>
        <v>15.023721699559839</v>
      </c>
      <c r="I112" s="10">
        <v>4100</v>
      </c>
      <c r="J112" s="10">
        <f t="shared" si="17"/>
        <v>405.7647</v>
      </c>
      <c r="K112" s="10">
        <f t="shared" si="18"/>
        <v>0.12186085760886345</v>
      </c>
      <c r="L112" s="10">
        <f t="shared" si="19"/>
        <v>7.8074491460226575E-2</v>
      </c>
      <c r="M112" s="11">
        <f t="shared" si="23"/>
        <v>1.4771485364828924E-12</v>
      </c>
      <c r="N112" s="11">
        <f t="shared" si="20"/>
        <v>1.4771485364849597E-12</v>
      </c>
      <c r="O112" s="10">
        <f t="shared" si="21"/>
        <v>31.679872605011397</v>
      </c>
    </row>
    <row r="113" spans="1:15">
      <c r="A113" s="10">
        <v>3800</v>
      </c>
      <c r="B113" s="10">
        <f t="shared" si="12"/>
        <v>376.07459999999998</v>
      </c>
      <c r="C113" s="10">
        <f t="shared" si="13"/>
        <v>0.11364753654617214</v>
      </c>
      <c r="D113" s="10">
        <f t="shared" si="14"/>
        <v>4.0139813371094527E-2</v>
      </c>
      <c r="E113" s="10">
        <f t="shared" si="15"/>
        <v>7.5948942792805518E-13</v>
      </c>
      <c r="F113" s="10">
        <f t="shared" si="16"/>
        <v>7.5948942792805498E-13</v>
      </c>
      <c r="G113" s="10">
        <f t="shared" si="22"/>
        <v>15.095564257609025</v>
      </c>
      <c r="I113" s="10">
        <v>4150</v>
      </c>
      <c r="J113" s="10">
        <f t="shared" si="17"/>
        <v>410.71305000000001</v>
      </c>
      <c r="K113" s="10">
        <f t="shared" si="18"/>
        <v>0.12172882873301392</v>
      </c>
      <c r="L113" s="10">
        <f t="shared" si="19"/>
        <v>7.7602959760763993E-2</v>
      </c>
      <c r="M113" s="11">
        <f t="shared" si="23"/>
        <v>1.4201066949413846E-12</v>
      </c>
      <c r="N113" s="11">
        <f t="shared" si="20"/>
        <v>1.420106694947456E-12</v>
      </c>
      <c r="O113" s="10">
        <f t="shared" si="21"/>
        <v>31.872548292370652</v>
      </c>
    </row>
    <row r="114" spans="1:15">
      <c r="A114" s="10">
        <v>3850</v>
      </c>
      <c r="B114" s="10">
        <f t="shared" si="12"/>
        <v>381.02294999999998</v>
      </c>
      <c r="C114" s="10">
        <f t="shared" si="13"/>
        <v>0.11353386530993094</v>
      </c>
      <c r="D114" s="10">
        <f t="shared" si="14"/>
        <v>3.9805486205679225E-2</v>
      </c>
      <c r="E114" s="10">
        <f t="shared" si="15"/>
        <v>7.245826160783057E-13</v>
      </c>
      <c r="F114" s="10">
        <f t="shared" si="16"/>
        <v>7.2458261607511532E-13</v>
      </c>
      <c r="G114" s="10">
        <f t="shared" si="22"/>
        <v>15.166803780272204</v>
      </c>
      <c r="I114" s="10">
        <v>4200</v>
      </c>
      <c r="J114" s="10">
        <f t="shared" si="17"/>
        <v>415.66140000000001</v>
      </c>
      <c r="K114" s="10">
        <f t="shared" si="18"/>
        <v>0.12159916312844991</v>
      </c>
      <c r="L114" s="10">
        <f t="shared" si="19"/>
        <v>7.7139868315892521E-2</v>
      </c>
      <c r="M114" s="11">
        <f t="shared" si="23"/>
        <v>1.3659113568604498E-12</v>
      </c>
      <c r="N114" s="11">
        <f t="shared" si="20"/>
        <v>1.3659113568604494E-12</v>
      </c>
      <c r="O114" s="10">
        <f t="shared" si="21"/>
        <v>32.064065659999528</v>
      </c>
    </row>
    <row r="115" spans="1:15">
      <c r="A115" s="10">
        <v>3900</v>
      </c>
      <c r="B115" s="10">
        <f t="shared" si="12"/>
        <v>385.97129999999999</v>
      </c>
      <c r="C115" s="10">
        <f t="shared" si="13"/>
        <v>0.113422588792413</v>
      </c>
      <c r="D115" s="10">
        <f t="shared" si="14"/>
        <v>3.9478202330626461E-2</v>
      </c>
      <c r="E115" s="10">
        <f t="shared" si="15"/>
        <v>6.9169984330805713E-13</v>
      </c>
      <c r="F115" s="10">
        <f t="shared" si="16"/>
        <v>6.9169984331738896E-13</v>
      </c>
      <c r="G115" s="10">
        <f t="shared" si="22"/>
        <v>15.237453075214924</v>
      </c>
      <c r="I115" s="10">
        <v>4250</v>
      </c>
      <c r="J115" s="10">
        <f t="shared" si="17"/>
        <v>420.60975000000002</v>
      </c>
      <c r="K115" s="10">
        <f t="shared" si="18"/>
        <v>0.12147179113162745</v>
      </c>
      <c r="L115" s="10">
        <f t="shared" si="19"/>
        <v>7.6684968327240879E-2</v>
      </c>
      <c r="M115" s="11">
        <f t="shared" si="23"/>
        <v>1.3143890996178719E-12</v>
      </c>
      <c r="N115" s="11">
        <f t="shared" si="20"/>
        <v>1.3143890996217546E-12</v>
      </c>
      <c r="O115" s="10">
        <f t="shared" si="21"/>
        <v>32.254445356878705</v>
      </c>
    </row>
    <row r="116" spans="1:15">
      <c r="A116" s="10">
        <v>3950</v>
      </c>
      <c r="B116" s="10">
        <f t="shared" si="12"/>
        <v>390.91964999999999</v>
      </c>
      <c r="C116" s="10">
        <f t="shared" si="13"/>
        <v>0.11331362681822796</v>
      </c>
      <c r="D116" s="10">
        <f t="shared" si="14"/>
        <v>3.9157725935964567E-2</v>
      </c>
      <c r="E116" s="10">
        <f t="shared" si="15"/>
        <v>6.6070002055739389E-13</v>
      </c>
      <c r="F116" s="10">
        <f t="shared" si="16"/>
        <v>6.6070002055891073E-13</v>
      </c>
      <c r="G116" s="10">
        <f t="shared" si="22"/>
        <v>15.307524517683191</v>
      </c>
      <c r="I116" s="10">
        <v>4300</v>
      </c>
      <c r="J116" s="10">
        <f t="shared" si="17"/>
        <v>425.55810000000002</v>
      </c>
      <c r="K116" s="10">
        <f t="shared" si="18"/>
        <v>0.12134664592014768</v>
      </c>
      <c r="L116" s="10">
        <f t="shared" si="19"/>
        <v>7.6238021143384557E-2</v>
      </c>
      <c r="M116" s="11">
        <f t="shared" si="23"/>
        <v>1.2653789338889402E-12</v>
      </c>
      <c r="N116" s="11">
        <f t="shared" si="20"/>
        <v>1.265378933896548E-12</v>
      </c>
      <c r="O116" s="10">
        <f t="shared" si="21"/>
        <v>32.443707425538562</v>
      </c>
    </row>
    <row r="117" spans="1:15">
      <c r="A117" s="10">
        <v>4000</v>
      </c>
      <c r="B117" s="10">
        <f t="shared" si="12"/>
        <v>395.86799999999999</v>
      </c>
      <c r="C117" s="10">
        <f t="shared" si="13"/>
        <v>0.11320690286643709</v>
      </c>
      <c r="D117" s="10">
        <f t="shared" si="14"/>
        <v>3.8843831960109064E-2</v>
      </c>
      <c r="E117" s="10">
        <f t="shared" si="15"/>
        <v>6.3145350672063205E-13</v>
      </c>
      <c r="F117" s="10">
        <f t="shared" si="16"/>
        <v>6.3145350672951222E-13</v>
      </c>
      <c r="G117" s="10">
        <f t="shared" si="22"/>
        <v>15.377030070384455</v>
      </c>
      <c r="I117" s="10">
        <v>4350</v>
      </c>
      <c r="J117" s="10">
        <f t="shared" si="17"/>
        <v>430.50644999999997</v>
      </c>
      <c r="K117" s="10">
        <f t="shared" si="18"/>
        <v>0.12122366336550564</v>
      </c>
      <c r="L117" s="10">
        <f t="shared" si="19"/>
        <v>7.5798797733948667E-2</v>
      </c>
      <c r="M117" s="11">
        <f t="shared" si="23"/>
        <v>1.2187312814171397E-12</v>
      </c>
      <c r="N117" s="11">
        <f t="shared" si="20"/>
        <v>1.2187312814171399E-12</v>
      </c>
      <c r="O117" s="10">
        <f t="shared" si="21"/>
        <v>32.631871326710282</v>
      </c>
    </row>
    <row r="118" spans="1:15">
      <c r="A118" s="10">
        <v>4050</v>
      </c>
      <c r="B118" s="10">
        <f t="shared" si="12"/>
        <v>400.81635</v>
      </c>
      <c r="C118" s="10">
        <f t="shared" si="13"/>
        <v>0.11310234386085814</v>
      </c>
      <c r="D118" s="10">
        <f t="shared" si="14"/>
        <v>3.8536305473112174E-2</v>
      </c>
      <c r="E118" s="10">
        <f t="shared" si="15"/>
        <v>6.0384105206556408E-13</v>
      </c>
      <c r="F118" s="10">
        <f t="shared" si="16"/>
        <v>6.0384105207134202E-13</v>
      </c>
      <c r="G118" s="10">
        <f t="shared" si="22"/>
        <v>15.445981302217845</v>
      </c>
      <c r="I118" s="10">
        <v>4400</v>
      </c>
      <c r="J118" s="10">
        <f t="shared" si="17"/>
        <v>435.45479999999998</v>
      </c>
      <c r="K118" s="10">
        <f t="shared" si="18"/>
        <v>0.12110278189506003</v>
      </c>
      <c r="L118" s="10">
        <f t="shared" si="19"/>
        <v>7.5367078196642942E-2</v>
      </c>
      <c r="M118" s="11">
        <f t="shared" si="23"/>
        <v>1.1743070473389147E-12</v>
      </c>
      <c r="N118" s="11">
        <f t="shared" si="20"/>
        <v>1.1743070473370881E-12</v>
      </c>
      <c r="O118" s="10">
        <f t="shared" si="21"/>
        <v>32.818955962703512</v>
      </c>
    </row>
    <row r="119" spans="1:15">
      <c r="A119" s="10">
        <v>4100</v>
      </c>
      <c r="B119" s="10">
        <f t="shared" si="12"/>
        <v>405.7647</v>
      </c>
      <c r="C119" s="10">
        <f t="shared" si="13"/>
        <v>0.11299987997481623</v>
      </c>
      <c r="D119" s="10">
        <f t="shared" si="14"/>
        <v>3.8234941102400652E-2</v>
      </c>
      <c r="E119" s="10">
        <f t="shared" si="15"/>
        <v>5.7775285067317484E-13</v>
      </c>
      <c r="F119" s="10">
        <f t="shared" si="16"/>
        <v>5.7775285067458484E-13</v>
      </c>
      <c r="G119" s="10">
        <f t="shared" si="22"/>
        <v>15.514389405933271</v>
      </c>
      <c r="I119" s="10">
        <v>4450</v>
      </c>
      <c r="J119" s="10">
        <f t="shared" si="17"/>
        <v>440.40314999999998</v>
      </c>
      <c r="K119" s="10">
        <f t="shared" si="18"/>
        <v>0.12098394236254903</v>
      </c>
      <c r="L119" s="10">
        <f t="shared" si="19"/>
        <v>7.4942651294817933E-2</v>
      </c>
      <c r="M119" s="11">
        <f t="shared" si="23"/>
        <v>1.1319767773784259E-12</v>
      </c>
      <c r="N119" s="11">
        <f t="shared" si="20"/>
        <v>1.1319767773784257E-12</v>
      </c>
      <c r="O119" s="10">
        <f t="shared" si="21"/>
        <v>33.004979699589398</v>
      </c>
    </row>
    <row r="120" spans="1:15">
      <c r="A120" s="10">
        <v>4150</v>
      </c>
      <c r="B120" s="10">
        <f t="shared" si="12"/>
        <v>410.71305000000001</v>
      </c>
      <c r="C120" s="10">
        <f t="shared" si="13"/>
        <v>0.11289944444918347</v>
      </c>
      <c r="D120" s="10">
        <f t="shared" si="14"/>
        <v>3.7939542497598427E-2</v>
      </c>
      <c r="E120" s="10">
        <f t="shared" si="15"/>
        <v>5.5308768947577733E-13</v>
      </c>
      <c r="F120" s="10">
        <f t="shared" si="16"/>
        <v>5.5308768947715432E-13</v>
      </c>
      <c r="G120" s="10">
        <f t="shared" si="22"/>
        <v>15.582265214793269</v>
      </c>
      <c r="I120" s="10">
        <v>4500</v>
      </c>
      <c r="J120" s="10">
        <f t="shared" si="17"/>
        <v>445.35149999999999</v>
      </c>
      <c r="K120" s="10">
        <f t="shared" si="18"/>
        <v>0.12086708792653396</v>
      </c>
      <c r="L120" s="10">
        <f t="shared" si="19"/>
        <v>7.4525314023335537E-2</v>
      </c>
      <c r="M120" s="11">
        <f t="shared" si="23"/>
        <v>1.0916198912899597E-12</v>
      </c>
      <c r="N120" s="11">
        <f t="shared" si="20"/>
        <v>1.091619891293473E-12</v>
      </c>
      <c r="O120" s="10">
        <f t="shared" si="21"/>
        <v>33.189960388263515</v>
      </c>
    </row>
    <row r="121" spans="1:15">
      <c r="A121" s="10">
        <v>4200</v>
      </c>
      <c r="B121" s="10">
        <f t="shared" si="12"/>
        <v>415.66140000000001</v>
      </c>
      <c r="C121" s="10">
        <f t="shared" si="13"/>
        <v>0.11280097342265545</v>
      </c>
      <c r="D121" s="10">
        <f t="shared" si="14"/>
        <v>3.7649921831339549E-2</v>
      </c>
      <c r="E121" s="10">
        <f t="shared" si="15"/>
        <v>5.2975218305914244E-13</v>
      </c>
      <c r="F121" s="10">
        <f t="shared" si="16"/>
        <v>5.2975218306990315E-13</v>
      </c>
      <c r="G121" s="10">
        <f t="shared" si="22"/>
        <v>15.649619218305162</v>
      </c>
      <c r="I121" s="10">
        <v>4550</v>
      </c>
      <c r="J121" s="10">
        <f t="shared" si="17"/>
        <v>450.29984999999999</v>
      </c>
      <c r="K121" s="10">
        <f t="shared" si="18"/>
        <v>0.12075216393620347</v>
      </c>
      <c r="L121" s="10">
        <f t="shared" si="19"/>
        <v>7.4114871200726656E-2</v>
      </c>
      <c r="M121" s="11">
        <f t="shared" si="23"/>
        <v>1.0531239849060704E-12</v>
      </c>
      <c r="N121" s="11">
        <f t="shared" si="20"/>
        <v>1.0531239849095158E-12</v>
      </c>
      <c r="O121" s="10">
        <f t="shared" si="21"/>
        <v>33.373915384456531</v>
      </c>
    </row>
    <row r="122" spans="1:15">
      <c r="A122" s="10">
        <v>4250</v>
      </c>
      <c r="B122" s="10">
        <f t="shared" si="12"/>
        <v>420.60975000000002</v>
      </c>
      <c r="C122" s="10">
        <f t="shared" si="13"/>
        <v>0.11270440577330681</v>
      </c>
      <c r="D122" s="10">
        <f t="shared" si="14"/>
        <v>3.7365899333255327E-2</v>
      </c>
      <c r="E122" s="10">
        <f t="shared" si="15"/>
        <v>5.0766008466204089E-13</v>
      </c>
      <c r="F122" s="10">
        <f t="shared" si="16"/>
        <v>5.0766008467518329E-13</v>
      </c>
      <c r="G122" s="10">
        <f t="shared" si="22"/>
        <v>15.71646157708569</v>
      </c>
      <c r="I122" s="10">
        <v>4600</v>
      </c>
      <c r="J122" s="10">
        <f t="shared" si="17"/>
        <v>455.2482</v>
      </c>
      <c r="K122" s="10">
        <f t="shared" si="18"/>
        <v>0.12063911782401723</v>
      </c>
      <c r="L122" s="10">
        <f t="shared" si="19"/>
        <v>7.37111350857758E-2</v>
      </c>
      <c r="M122" s="11">
        <f t="shared" si="23"/>
        <v>1.0163841939792885E-12</v>
      </c>
      <c r="N122" s="11">
        <f t="shared" si="20"/>
        <v>1.01638419398605E-12</v>
      </c>
      <c r="O122" s="10">
        <f t="shared" si="21"/>
        <v>33.556861567756279</v>
      </c>
    </row>
    <row r="123" spans="1:15">
      <c r="A123" s="10">
        <v>4300</v>
      </c>
      <c r="B123" s="10">
        <f t="shared" si="12"/>
        <v>425.55810000000002</v>
      </c>
      <c r="C123" s="10">
        <f t="shared" si="13"/>
        <v>0.11260968297055417</v>
      </c>
      <c r="D123" s="10">
        <f t="shared" si="14"/>
        <v>3.7087302854571069E-2</v>
      </c>
      <c r="E123" s="10">
        <f t="shared" si="15"/>
        <v>4.8673166502117445E-13</v>
      </c>
      <c r="F123" s="10">
        <f t="shared" si="16"/>
        <v>4.867316650301658E-13</v>
      </c>
      <c r="G123" s="10">
        <f t="shared" si="22"/>
        <v>15.782802136915841</v>
      </c>
      <c r="I123" s="10">
        <v>4650</v>
      </c>
      <c r="J123" s="10">
        <f t="shared" si="17"/>
        <v>460.19655</v>
      </c>
      <c r="K123" s="10">
        <f t="shared" si="18"/>
        <v>0.12052789900471038</v>
      </c>
      <c r="L123" s="10">
        <f t="shared" si="19"/>
        <v>7.3313925016822754E-2</v>
      </c>
      <c r="M123" s="11">
        <f t="shared" si="23"/>
        <v>9.8130261374623641E-13</v>
      </c>
      <c r="N123" s="11">
        <f t="shared" si="20"/>
        <v>9.8130261375121242E-13</v>
      </c>
      <c r="O123" s="10">
        <f t="shared" si="21"/>
        <v>33.738815359700524</v>
      </c>
    </row>
    <row r="124" spans="1:15">
      <c r="A124" s="10">
        <v>4350</v>
      </c>
      <c r="B124" s="10">
        <f t="shared" si="12"/>
        <v>430.50644999999997</v>
      </c>
      <c r="C124" s="10">
        <f t="shared" si="13"/>
        <v>0.11251674893673062</v>
      </c>
      <c r="D124" s="10">
        <f t="shared" si="14"/>
        <v>3.6813967460972409E-2</v>
      </c>
      <c r="E124" s="10">
        <f t="shared" si="15"/>
        <v>4.6689315167668444E-13</v>
      </c>
      <c r="F124" s="10">
        <f t="shared" si="16"/>
        <v>4.6689315168547425E-13</v>
      </c>
      <c r="G124" s="10">
        <f t="shared" si="22"/>
        <v>15.848650442038744</v>
      </c>
      <c r="I124" s="10">
        <v>4700</v>
      </c>
      <c r="J124" s="10">
        <f t="shared" si="17"/>
        <v>465.14490000000001</v>
      </c>
      <c r="K124" s="10">
        <f t="shared" si="18"/>
        <v>0.12041845878021792</v>
      </c>
      <c r="L124" s="10">
        <f t="shared" si="19"/>
        <v>7.2923067072206846E-2</v>
      </c>
      <c r="M124" s="11">
        <f t="shared" si="23"/>
        <v>9.4778776880185577E-13</v>
      </c>
      <c r="N124" s="11">
        <f t="shared" si="20"/>
        <v>9.4778776880511158E-13</v>
      </c>
      <c r="O124" s="10">
        <f t="shared" si="21"/>
        <v>33.91979274099495</v>
      </c>
    </row>
    <row r="125" spans="1:15">
      <c r="A125" s="10">
        <v>4400</v>
      </c>
      <c r="B125" s="10">
        <f t="shared" si="12"/>
        <v>435.45479999999998</v>
      </c>
      <c r="C125" s="10">
        <f t="shared" si="13"/>
        <v>0.11242554991754562</v>
      </c>
      <c r="D125" s="10">
        <f t="shared" si="14"/>
        <v>3.6545735051604758E-2</v>
      </c>
      <c r="E125" s="10">
        <f t="shared" si="15"/>
        <v>4.4807622224668186E-13</v>
      </c>
      <c r="F125" s="10">
        <f t="shared" si="16"/>
        <v>4.4807622225650503E-13</v>
      </c>
      <c r="G125" s="10">
        <f t="shared" si="22"/>
        <v>15.914015747749538</v>
      </c>
      <c r="I125" s="10">
        <v>4750</v>
      </c>
      <c r="J125" s="10">
        <f t="shared" si="17"/>
        <v>470.09325000000001</v>
      </c>
      <c r="K125" s="10">
        <f t="shared" si="18"/>
        <v>0.12031075025011356</v>
      </c>
      <c r="L125" s="10">
        <f t="shared" si="19"/>
        <v>7.253839375040555E-2</v>
      </c>
      <c r="M125" s="11">
        <f t="shared" si="23"/>
        <v>9.1575412844967472E-13</v>
      </c>
      <c r="N125" s="11">
        <f t="shared" si="20"/>
        <v>9.1575412845446857E-13</v>
      </c>
      <c r="O125" s="10">
        <f t="shared" si="21"/>
        <v>34.099809267907837</v>
      </c>
    </row>
    <row r="126" spans="1:15">
      <c r="A126" s="10">
        <v>4450</v>
      </c>
      <c r="B126" s="10">
        <f t="shared" si="12"/>
        <v>440.40314999999998</v>
      </c>
      <c r="C126" s="10">
        <f t="shared" si="13"/>
        <v>0.11233603436076643</v>
      </c>
      <c r="D126" s="10">
        <f t="shared" si="14"/>
        <v>3.6282454002254196E-2</v>
      </c>
      <c r="E126" s="10">
        <f t="shared" si="15"/>
        <v>4.3021754594730281E-13</v>
      </c>
      <c r="F126" s="10">
        <f t="shared" si="16"/>
        <v>4.3021754595210686E-13</v>
      </c>
      <c r="G126" s="10">
        <f t="shared" si="22"/>
        <v>15.978907032322855</v>
      </c>
      <c r="I126" s="10">
        <v>4800</v>
      </c>
      <c r="J126" s="10">
        <f t="shared" si="17"/>
        <v>475.04160000000002</v>
      </c>
      <c r="K126" s="10">
        <f t="shared" si="18"/>
        <v>0.12020472822718875</v>
      </c>
      <c r="L126" s="10">
        <f t="shared" si="19"/>
        <v>7.2159743668531229E-2</v>
      </c>
      <c r="M126" s="11">
        <f t="shared" si="23"/>
        <v>8.8512166319024831E-13</v>
      </c>
      <c r="N126" s="11">
        <f t="shared" si="20"/>
        <v>8.8512166319181705E-13</v>
      </c>
      <c r="O126" s="10">
        <f t="shared" si="21"/>
        <v>34.278880087888943</v>
      </c>
    </row>
    <row r="127" spans="1:15">
      <c r="A127" s="10">
        <v>4500</v>
      </c>
      <c r="B127" s="10">
        <f t="shared" si="12"/>
        <v>445.35149999999999</v>
      </c>
      <c r="C127" s="10">
        <f t="shared" si="13"/>
        <v>0.11224815280251349</v>
      </c>
      <c r="D127" s="10">
        <f t="shared" si="14"/>
        <v>3.6023978830922017E-2</v>
      </c>
      <c r="E127" s="10">
        <f t="shared" si="15"/>
        <v>4.1325836825843107E-13</v>
      </c>
      <c r="F127" s="10">
        <f t="shared" si="16"/>
        <v>4.13258368260781E-13</v>
      </c>
      <c r="G127" s="10">
        <f t="shared" si="22"/>
        <v>16.043333008319365</v>
      </c>
      <c r="I127" s="10">
        <v>4850</v>
      </c>
      <c r="J127" s="10">
        <f t="shared" si="17"/>
        <v>479.98995000000002</v>
      </c>
      <c r="K127" s="10">
        <f t="shared" si="18"/>
        <v>0.120100349157827</v>
      </c>
      <c r="L127" s="10">
        <f t="shared" si="19"/>
        <v>7.1786961277953532E-2</v>
      </c>
      <c r="M127" s="11">
        <f t="shared" si="23"/>
        <v>8.5581543847624112E-13</v>
      </c>
      <c r="N127" s="11">
        <f t="shared" si="20"/>
        <v>8.5581543847932275E-13</v>
      </c>
      <c r="O127" s="10">
        <f t="shared" si="21"/>
        <v>34.457019954456854</v>
      </c>
    </row>
    <row r="128" spans="1:15">
      <c r="A128" s="10">
        <v>4550</v>
      </c>
      <c r="B128" s="10">
        <f t="shared" si="12"/>
        <v>450.29984999999999</v>
      </c>
      <c r="C128" s="10">
        <f t="shared" si="13"/>
        <v>0.11216185776061351</v>
      </c>
      <c r="D128" s="10">
        <f t="shared" si="14"/>
        <v>3.5770169884157356E-2</v>
      </c>
      <c r="E128" s="10">
        <f t="shared" si="15"/>
        <v>3.9714413429233609E-13</v>
      </c>
      <c r="F128" s="10">
        <f t="shared" si="16"/>
        <v>3.971441342980851E-13</v>
      </c>
      <c r="G128" s="10">
        <f t="shared" si="22"/>
        <v>16.107302133310576</v>
      </c>
      <c r="I128" s="10">
        <v>4900</v>
      </c>
      <c r="J128" s="10">
        <f t="shared" si="17"/>
        <v>484.93829999999997</v>
      </c>
      <c r="K128" s="10">
        <f t="shared" si="18"/>
        <v>0.11999757104685491</v>
      </c>
      <c r="L128" s="10">
        <f t="shared" si="19"/>
        <v>7.1419896595910359E-2</v>
      </c>
      <c r="M128" s="11">
        <f t="shared" si="23"/>
        <v>8.2776524226295271E-13</v>
      </c>
      <c r="N128" s="11">
        <f t="shared" si="20"/>
        <v>8.2776524226597972E-13</v>
      </c>
      <c r="O128" s="10">
        <f t="shared" si="21"/>
        <v>34.634243241396554</v>
      </c>
    </row>
    <row r="129" spans="1:15">
      <c r="A129" s="10">
        <v>4600</v>
      </c>
      <c r="B129" s="10">
        <f t="shared" si="12"/>
        <v>455.2482</v>
      </c>
      <c r="C129" s="10">
        <f t="shared" si="13"/>
        <v>0.11207710363450019</v>
      </c>
      <c r="D129" s="10">
        <f t="shared" si="14"/>
        <v>3.5520893042647592E-2</v>
      </c>
      <c r="E129" s="10">
        <f t="shared" si="15"/>
        <v>3.818241468381627E-13</v>
      </c>
      <c r="F129" s="10">
        <f t="shared" si="16"/>
        <v>3.8182414684041356E-13</v>
      </c>
      <c r="G129" s="10">
        <f t="shared" si="22"/>
        <v>16.170822620057841</v>
      </c>
      <c r="I129" s="10">
        <v>10000</v>
      </c>
      <c r="J129" s="10">
        <f t="shared" si="17"/>
        <v>989.67</v>
      </c>
      <c r="K129" s="10">
        <f t="shared" si="18"/>
        <v>0.11399941671527306</v>
      </c>
      <c r="L129" s="10">
        <f t="shared" si="19"/>
        <v>4.9997916840260885E-2</v>
      </c>
      <c r="M129" s="11">
        <f t="shared" si="23"/>
        <v>8.1508028352253834E-14</v>
      </c>
      <c r="N129" s="11">
        <f t="shared" si="20"/>
        <v>8.1508028353991423E-14</v>
      </c>
      <c r="O129" s="10">
        <f t="shared" si="21"/>
        <v>49.481438359300988</v>
      </c>
    </row>
    <row r="130" spans="1:15">
      <c r="A130" s="10">
        <v>4650</v>
      </c>
      <c r="B130" s="10">
        <f t="shared" si="12"/>
        <v>460.19655</v>
      </c>
      <c r="C130" s="10">
        <f t="shared" si="13"/>
        <v>0.11199384661119423</v>
      </c>
      <c r="D130" s="10">
        <f t="shared" si="14"/>
        <v>3.5276019444688896E-2</v>
      </c>
      <c r="E130" s="10">
        <f t="shared" si="15"/>
        <v>3.6725125559948848E-13</v>
      </c>
      <c r="F130" s="10">
        <f t="shared" si="16"/>
        <v>3.6725125560279402E-13</v>
      </c>
      <c r="G130" s="10">
        <f t="shared" si="22"/>
        <v>16.233902446178746</v>
      </c>
      <c r="I130" s="10">
        <v>20000</v>
      </c>
      <c r="J130" s="10">
        <f t="shared" si="17"/>
        <v>1979.34</v>
      </c>
      <c r="K130" s="10">
        <f t="shared" si="18"/>
        <v>0.10989934910757485</v>
      </c>
      <c r="L130" s="10">
        <f t="shared" si="19"/>
        <v>3.5354818241338709E-2</v>
      </c>
      <c r="M130" s="11">
        <f t="shared" si="23"/>
        <v>8.5685145437798121E-15</v>
      </c>
      <c r="N130" s="11">
        <f t="shared" si="20"/>
        <v>8.5685145439089691E-15</v>
      </c>
      <c r="O130" s="10">
        <f t="shared" si="21"/>
        <v>69.979205937811358</v>
      </c>
    </row>
    <row r="131" spans="1:15">
      <c r="A131" s="10">
        <v>4700</v>
      </c>
      <c r="B131" s="10">
        <f t="shared" si="12"/>
        <v>465.14490000000001</v>
      </c>
      <c r="C131" s="10">
        <f t="shared" si="13"/>
        <v>0.11191204457693285</v>
      </c>
      <c r="D131" s="10">
        <f t="shared" si="14"/>
        <v>3.5035425226273079E-2</v>
      </c>
      <c r="E131" s="10">
        <f t="shared" si="15"/>
        <v>3.5338157444527892E-13</v>
      </c>
      <c r="F131" s="10">
        <f t="shared" si="16"/>
        <v>3.53381574443121E-13</v>
      </c>
      <c r="G131" s="10">
        <f t="shared" si="22"/>
        <v>16.296549363332268</v>
      </c>
      <c r="I131" s="10">
        <v>30000</v>
      </c>
      <c r="J131" s="10">
        <f t="shared" si="17"/>
        <v>2969.0099999999998</v>
      </c>
      <c r="K131" s="10">
        <f t="shared" si="18"/>
        <v>0.1080828389548794</v>
      </c>
      <c r="L131" s="10">
        <f t="shared" si="19"/>
        <v>2.8867281981712112E-2</v>
      </c>
      <c r="M131" s="11">
        <f t="shared" si="23"/>
        <v>2.2941513432627486E-15</v>
      </c>
      <c r="N131" s="11">
        <f t="shared" si="20"/>
        <v>2.2941513434533311E-15</v>
      </c>
      <c r="O131" s="10">
        <f t="shared" si="21"/>
        <v>85.707248876523067</v>
      </c>
    </row>
    <row r="132" spans="1:15">
      <c r="A132" s="10">
        <v>4750</v>
      </c>
      <c r="B132" s="10">
        <f t="shared" si="12"/>
        <v>470.09325000000001</v>
      </c>
      <c r="C132" s="10">
        <f t="shared" si="13"/>
        <v>0.11183165703405315</v>
      </c>
      <c r="D132" s="10">
        <f t="shared" si="14"/>
        <v>3.4798991276626896E-2</v>
      </c>
      <c r="E132" s="10">
        <f t="shared" si="15"/>
        <v>3.4017422391029735E-13</v>
      </c>
      <c r="F132" s="10">
        <f t="shared" si="16"/>
        <v>3.4017422391135415E-13</v>
      </c>
      <c r="G132" s="10">
        <f t="shared" si="22"/>
        <v>16.358770905951186</v>
      </c>
      <c r="I132" s="10">
        <v>40000</v>
      </c>
      <c r="J132" s="10">
        <f t="shared" si="17"/>
        <v>3958.68</v>
      </c>
      <c r="K132" s="10">
        <f t="shared" si="18"/>
        <v>0.10699996354204644</v>
      </c>
      <c r="L132" s="10">
        <f t="shared" si="19"/>
        <v>2.4999869793022975E-2</v>
      </c>
      <c r="M132" s="11">
        <f t="shared" si="23"/>
        <v>9.0069274166734267E-16</v>
      </c>
      <c r="N132" s="11">
        <f t="shared" si="20"/>
        <v>9.0069274170574185E-16</v>
      </c>
      <c r="O132" s="10">
        <f t="shared" si="21"/>
        <v>98.966484552244182</v>
      </c>
    </row>
    <row r="133" spans="1:15">
      <c r="A133" s="10">
        <v>4800</v>
      </c>
      <c r="B133" s="10">
        <f t="shared" si="12"/>
        <v>475.04160000000002</v>
      </c>
      <c r="C133" s="10">
        <f t="shared" si="13"/>
        <v>0.11175264502276561</v>
      </c>
      <c r="D133" s="10">
        <f t="shared" si="14"/>
        <v>3.4566603008134127E-2</v>
      </c>
      <c r="E133" s="10">
        <f t="shared" si="15"/>
        <v>3.275910964422666E-13</v>
      </c>
      <c r="F133" s="10">
        <f t="shared" si="16"/>
        <v>3.2759109644640821E-13</v>
      </c>
      <c r="G133" s="10">
        <f t="shared" si="22"/>
        <v>16.420574399548848</v>
      </c>
      <c r="I133" s="10">
        <v>50000</v>
      </c>
      <c r="J133" s="10">
        <f t="shared" si="17"/>
        <v>4948.3500000000004</v>
      </c>
      <c r="K133" s="10">
        <f t="shared" si="18"/>
        <v>0.10626096700384</v>
      </c>
      <c r="L133" s="10">
        <f t="shared" si="19"/>
        <v>2.2360596442285677E-2</v>
      </c>
      <c r="M133" s="11">
        <f t="shared" si="23"/>
        <v>4.3613608027377293E-16</v>
      </c>
      <c r="N133" s="11">
        <f t="shared" si="20"/>
        <v>4.3613608035172965E-16</v>
      </c>
      <c r="O133" s="10">
        <f t="shared" si="21"/>
        <v>110.64805740518433</v>
      </c>
    </row>
    <row r="134" spans="1:15">
      <c r="A134" s="10">
        <v>4850</v>
      </c>
      <c r="B134" s="10">
        <f t="shared" si="12"/>
        <v>479.98995000000002</v>
      </c>
      <c r="C134" s="10">
        <f t="shared" si="13"/>
        <v>0.11167497104748249</v>
      </c>
      <c r="D134" s="10">
        <f t="shared" si="14"/>
        <v>3.4338150139654362E-2</v>
      </c>
      <c r="E134" s="10">
        <f t="shared" si="15"/>
        <v>3.1559664217709796E-13</v>
      </c>
      <c r="F134" s="10">
        <f t="shared" si="16"/>
        <v>3.1559664217912704E-13</v>
      </c>
      <c r="G134" s="10">
        <f t="shared" si="22"/>
        <v>16.481966968625191</v>
      </c>
      <c r="I134" s="10">
        <v>60000</v>
      </c>
      <c r="J134" s="10">
        <f t="shared" si="17"/>
        <v>5938.0199999999995</v>
      </c>
      <c r="K134" s="10">
        <f t="shared" si="18"/>
        <v>0.10571545986288226</v>
      </c>
      <c r="L134" s="10">
        <f t="shared" si="19"/>
        <v>2.0412356653150918E-2</v>
      </c>
      <c r="M134" s="11">
        <f t="shared" si="23"/>
        <v>2.4114858011182546E-16</v>
      </c>
      <c r="N134" s="11">
        <f t="shared" si="20"/>
        <v>2.4114858022514804E-16</v>
      </c>
      <c r="O134" s="10">
        <f t="shared" si="21"/>
        <v>121.20898205354321</v>
      </c>
    </row>
    <row r="135" spans="1:15">
      <c r="A135" s="10">
        <v>4900</v>
      </c>
      <c r="B135" s="10">
        <f t="shared" si="12"/>
        <v>484.93829999999997</v>
      </c>
      <c r="C135" s="10">
        <f t="shared" si="13"/>
        <v>0.11159859900739187</v>
      </c>
      <c r="D135" s="10">
        <f t="shared" si="14"/>
        <v>3.4113526492329023E-2</v>
      </c>
      <c r="E135" s="10">
        <f t="shared" si="15"/>
        <v>3.0415767325867329E-13</v>
      </c>
      <c r="F135" s="10">
        <f t="shared" si="16"/>
        <v>3.0415767326762279E-13</v>
      </c>
      <c r="G135" s="10">
        <f t="shared" si="22"/>
        <v>16.542955544194999</v>
      </c>
      <c r="I135" s="10">
        <v>70000</v>
      </c>
      <c r="J135" s="10">
        <f t="shared" si="17"/>
        <v>6927.69</v>
      </c>
      <c r="K135" s="10">
        <f t="shared" si="18"/>
        <v>0.10529149071742085</v>
      </c>
      <c r="L135" s="10">
        <f t="shared" si="19"/>
        <v>1.8898181133645858E-2</v>
      </c>
      <c r="M135" s="11">
        <f t="shared" si="23"/>
        <v>1.4611970496243038E-16</v>
      </c>
      <c r="N135" s="11">
        <f t="shared" si="20"/>
        <v>1.4611970502011622E-16</v>
      </c>
      <c r="O135" s="10">
        <f t="shared" si="21"/>
        <v>130.92074045774706</v>
      </c>
    </row>
    <row r="136" spans="1:15">
      <c r="A136" s="10">
        <v>10000</v>
      </c>
      <c r="B136" s="10">
        <f t="shared" si="12"/>
        <v>989.67</v>
      </c>
      <c r="C136" s="10">
        <f t="shared" si="13"/>
        <v>0.10734769915293892</v>
      </c>
      <c r="D136" s="10">
        <f t="shared" si="14"/>
        <v>2.1610879861585032E-2</v>
      </c>
      <c r="E136" s="10">
        <f t="shared" si="15"/>
        <v>2.3328526094416175E-14</v>
      </c>
      <c r="F136" s="10">
        <f t="shared" si="16"/>
        <v>2.332852609662738E-14</v>
      </c>
      <c r="G136" s="10">
        <f t="shared" si="22"/>
        <v>21.387639472614858</v>
      </c>
      <c r="I136" s="10">
        <v>80000</v>
      </c>
      <c r="J136" s="10">
        <f t="shared" si="17"/>
        <v>7917.36</v>
      </c>
      <c r="K136" s="10">
        <f t="shared" si="18"/>
        <v>0.10494973835375607</v>
      </c>
      <c r="L136" s="10">
        <f t="shared" si="19"/>
        <v>1.7677636977700216E-2</v>
      </c>
      <c r="M136" s="11">
        <f t="shared" si="23"/>
        <v>9.4675096621207226E-17</v>
      </c>
      <c r="N136" s="11">
        <f t="shared" si="20"/>
        <v>9.4675096712537314E-17</v>
      </c>
      <c r="O136" s="10">
        <f t="shared" si="21"/>
        <v>139.96021590176457</v>
      </c>
    </row>
    <row r="137" spans="1:15">
      <c r="A137" s="10">
        <v>20000</v>
      </c>
      <c r="B137" s="10">
        <f t="shared" si="12"/>
        <v>1979.34</v>
      </c>
      <c r="C137" s="10">
        <f t="shared" si="13"/>
        <v>0.1047151812050072</v>
      </c>
      <c r="D137" s="10">
        <f t="shared" si="14"/>
        <v>1.3868180014727033E-2</v>
      </c>
      <c r="E137" s="10">
        <f t="shared" si="15"/>
        <v>1.9239978360868788E-15</v>
      </c>
      <c r="F137" s="10">
        <f t="shared" si="16"/>
        <v>1.9239978362763337E-15</v>
      </c>
      <c r="G137" s="10">
        <f t="shared" si="22"/>
        <v>27.449843430349805</v>
      </c>
      <c r="I137" s="10">
        <v>90000</v>
      </c>
      <c r="J137" s="10">
        <f t="shared" si="17"/>
        <v>8907.0300000000007</v>
      </c>
      <c r="K137" s="10">
        <f t="shared" si="18"/>
        <v>0.10466665946504281</v>
      </c>
      <c r="L137" s="10">
        <f t="shared" si="19"/>
        <v>1.6666640946581424E-2</v>
      </c>
      <c r="M137" s="11">
        <f t="shared" si="23"/>
        <v>6.4564031671830683E-17</v>
      </c>
      <c r="N137" s="11">
        <f t="shared" si="20"/>
        <v>6.4564031625381628E-17</v>
      </c>
      <c r="O137" s="10">
        <f t="shared" si="21"/>
        <v>148.45027091042917</v>
      </c>
    </row>
    <row r="138" spans="1:15">
      <c r="A138" s="10">
        <v>30000</v>
      </c>
      <c r="B138" s="10">
        <f t="shared" si="12"/>
        <v>2969.0099999999998</v>
      </c>
      <c r="C138" s="10">
        <f t="shared" si="13"/>
        <v>0.10363748665416615</v>
      </c>
      <c r="D138" s="10">
        <f t="shared" si="14"/>
        <v>1.0698490159312199E-2</v>
      </c>
      <c r="E138" s="10">
        <f t="shared" si="15"/>
        <v>4.4697357020755797E-16</v>
      </c>
      <c r="F138" s="10">
        <f t="shared" si="16"/>
        <v>4.4697357046429512E-16</v>
      </c>
      <c r="G138" s="10">
        <f t="shared" si="22"/>
        <v>31.763924267899508</v>
      </c>
      <c r="I138" s="10">
        <v>100000</v>
      </c>
      <c r="J138" s="10">
        <f t="shared" si="17"/>
        <v>9896.7000000000007</v>
      </c>
      <c r="K138" s="10">
        <f t="shared" si="18"/>
        <v>0.10442718289091778</v>
      </c>
      <c r="L138" s="10">
        <f t="shared" si="19"/>
        <v>1.581136746756347E-2</v>
      </c>
      <c r="M138" s="11">
        <f t="shared" si="23"/>
        <v>4.5843655306061759E-17</v>
      </c>
      <c r="N138" s="11">
        <f t="shared" si="20"/>
        <v>4.5843655336964121E-17</v>
      </c>
      <c r="O138" s="10">
        <f t="shared" si="21"/>
        <v>156.48036041623541</v>
      </c>
    </row>
    <row r="139" spans="1:15">
      <c r="A139" s="10">
        <v>40000</v>
      </c>
      <c r="B139" s="10">
        <f t="shared" si="12"/>
        <v>3958.68</v>
      </c>
      <c r="C139" s="10">
        <f t="shared" si="13"/>
        <v>0.10302580673672133</v>
      </c>
      <c r="D139" s="10">
        <f t="shared" si="14"/>
        <v>8.899431578592144E-3</v>
      </c>
      <c r="E139" s="10">
        <f t="shared" si="15"/>
        <v>1.5867360936885932E-16</v>
      </c>
      <c r="F139" s="10">
        <f t="shared" si="16"/>
        <v>1.5867360936885925E-16</v>
      </c>
      <c r="G139" s="10">
        <f t="shared" si="22"/>
        <v>35.23000180154115</v>
      </c>
      <c r="I139" s="10">
        <v>200000</v>
      </c>
      <c r="J139" s="10">
        <f t="shared" si="17"/>
        <v>19793.400000000001</v>
      </c>
      <c r="K139" s="10">
        <f t="shared" si="18"/>
        <v>0.10313049371016773</v>
      </c>
      <c r="L139" s="10">
        <f t="shared" si="19"/>
        <v>1.1180334679170458E-2</v>
      </c>
      <c r="M139" s="11">
        <f t="shared" si="23"/>
        <v>4.8187391453269241E-18</v>
      </c>
      <c r="N139" s="11">
        <f t="shared" si="20"/>
        <v>4.8187391591079497E-18</v>
      </c>
      <c r="O139" s="10">
        <f t="shared" si="21"/>
        <v>221.29683643869257</v>
      </c>
    </row>
    <row r="140" spans="1:15">
      <c r="A140" s="10">
        <v>50000</v>
      </c>
      <c r="B140" s="10">
        <f t="shared" si="12"/>
        <v>4948.3500000000004</v>
      </c>
      <c r="C140" s="10">
        <f t="shared" si="13"/>
        <v>0.1026231254800784</v>
      </c>
      <c r="D140" s="10">
        <f t="shared" si="14"/>
        <v>7.7150749414070527E-3</v>
      </c>
      <c r="E140" s="10">
        <f t="shared" si="15"/>
        <v>7.1060756665722981E-17</v>
      </c>
      <c r="F140" s="10">
        <f t="shared" si="16"/>
        <v>7.1060756697167507E-17</v>
      </c>
      <c r="G140" s="10">
        <f t="shared" si="22"/>
        <v>38.176891086311592</v>
      </c>
      <c r="I140" s="10">
        <v>300000</v>
      </c>
      <c r="J140" s="10">
        <f t="shared" si="17"/>
        <v>29690.1</v>
      </c>
      <c r="K140" s="10">
        <f t="shared" si="18"/>
        <v>0.10255603795354296</v>
      </c>
      <c r="L140" s="10">
        <f t="shared" si="19"/>
        <v>9.1287069769391063E-3</v>
      </c>
      <c r="M140" s="11">
        <f t="shared" si="23"/>
        <v>1.2901411865131321E-18</v>
      </c>
      <c r="N140" s="11">
        <f t="shared" si="20"/>
        <v>1.290141185383414E-18</v>
      </c>
      <c r="O140" s="10">
        <f t="shared" si="21"/>
        <v>271.03222301601977</v>
      </c>
    </row>
    <row r="141" spans="1:15">
      <c r="A141" s="10">
        <v>60000</v>
      </c>
      <c r="B141" s="10">
        <f t="shared" si="12"/>
        <v>5938.0199999999995</v>
      </c>
      <c r="C141" s="10">
        <f t="shared" si="13"/>
        <v>0.10233422780244386</v>
      </c>
      <c r="D141" s="10">
        <f t="shared" si="14"/>
        <v>6.8653758895407526E-3</v>
      </c>
      <c r="E141" s="10">
        <f t="shared" si="15"/>
        <v>3.6861926453970564E-17</v>
      </c>
      <c r="F141" s="10">
        <f t="shared" si="16"/>
        <v>3.6861926475966921E-17</v>
      </c>
      <c r="G141" s="10">
        <f t="shared" si="22"/>
        <v>40.76673933961078</v>
      </c>
      <c r="I141" s="10">
        <v>400000</v>
      </c>
      <c r="J141" s="10">
        <f t="shared" si="17"/>
        <v>39586.800000000003</v>
      </c>
      <c r="K141" s="10">
        <f t="shared" si="18"/>
        <v>0.10221359399753466</v>
      </c>
      <c r="L141" s="10">
        <f t="shared" si="19"/>
        <v>7.9056928483380411E-3</v>
      </c>
      <c r="M141" s="11">
        <f t="shared" si="23"/>
        <v>5.0650824568233063E-19</v>
      </c>
      <c r="N141" s="11">
        <f t="shared" si="20"/>
        <v>5.0650825046231137E-19</v>
      </c>
      <c r="O141" s="10">
        <f t="shared" si="21"/>
        <v>312.96108164858839</v>
      </c>
    </row>
    <row r="142" spans="1:15">
      <c r="A142" s="10">
        <v>70000</v>
      </c>
      <c r="B142" s="10">
        <f t="shared" ref="B142:B154" si="24">0.098967*A142</f>
        <v>6927.69</v>
      </c>
      <c r="C142" s="10">
        <f t="shared" ref="C142:C154" si="25">$B$6+(($B$7-$B$6)/(1+($B$3*A142)^$B$4)^$B$5)</f>
        <v>0.10211493683141905</v>
      </c>
      <c r="D142" s="10">
        <f t="shared" ref="D142:D154" si="26">(C142-$B$6)/($B$7-$B$6)</f>
        <v>6.2204024453501256E-3</v>
      </c>
      <c r="E142" s="24">
        <f t="shared" ref="E142:E154" si="27">$B$8*D142^$B$9*(1-(1-D142^(1/$B$5))^$B$5)^2</f>
        <v>2.1162648838775934E-17</v>
      </c>
      <c r="F142" s="10">
        <f t="shared" ref="F142:F154" si="28">$B$8*((1-(($B$3*A142)^($B$4-1))*(1+($B$3*A142)^$B$4)^(-1+1/$B$4))^2)/(1+($B$3*A142)^$B$4)^(0.5-(1/(2*$B$4)))</f>
        <v>2.1162648887557592E-17</v>
      </c>
      <c r="G142" s="10">
        <f t="shared" si="22"/>
        <v>43.09301981662761</v>
      </c>
      <c r="I142" s="10">
        <v>500000</v>
      </c>
      <c r="J142" s="10">
        <f t="shared" ref="J142:J147" si="29">0.098967*I142</f>
        <v>49483.5</v>
      </c>
      <c r="K142" s="10">
        <f t="shared" ref="K142:K147" si="30">$J$6+(($J$7-$J$6)/(1+($J$3*I142)^$J$4)^$J$5)</f>
        <v>0.10197989875398907</v>
      </c>
      <c r="L142" s="10">
        <f t="shared" ref="L142:L147" si="31">(K142-$J$6)/($J$7-$J$6)</f>
        <v>7.071066978532355E-3</v>
      </c>
      <c r="M142" s="11">
        <f t="shared" si="23"/>
        <v>2.4526132443141278E-19</v>
      </c>
      <c r="N142" s="11">
        <f t="shared" ref="N142:N147" si="32">$J$8*((1-(($J$3*I142)^($J$4-1))*(1+($J$3*I142)^$J$4)^(-1+1/$J$4))^2)/(1+($J$3*I142)^$J$4)^(0.5-(1/(2*$J$4)))</f>
        <v>2.4526132581771136E-19</v>
      </c>
      <c r="O142" s="10">
        <f t="shared" ref="O142:O147" si="33">L142*J142</f>
        <v>349.90114283220578</v>
      </c>
    </row>
    <row r="143" spans="1:15">
      <c r="A143" s="10">
        <v>80000</v>
      </c>
      <c r="B143" s="10">
        <f t="shared" si="24"/>
        <v>7917.36</v>
      </c>
      <c r="C143" s="10">
        <f t="shared" si="25"/>
        <v>0.10194170222580695</v>
      </c>
      <c r="D143" s="10">
        <f t="shared" si="26"/>
        <v>5.7108888994321944E-3</v>
      </c>
      <c r="E143" s="10">
        <f t="shared" si="27"/>
        <v>1.3085771041595887E-17</v>
      </c>
      <c r="F143" s="10">
        <f t="shared" si="28"/>
        <v>1.3085771095832569E-17</v>
      </c>
      <c r="G143" s="10">
        <f t="shared" ref="G143:G154" si="34">D143*B143</f>
        <v>45.21516333680848</v>
      </c>
      <c r="I143" s="10">
        <v>600000</v>
      </c>
      <c r="J143" s="10">
        <f t="shared" si="29"/>
        <v>59380.2</v>
      </c>
      <c r="K143" s="10">
        <f t="shared" si="30"/>
        <v>0.10180739206619313</v>
      </c>
      <c r="L143" s="10">
        <f t="shared" si="31"/>
        <v>6.4549716649754466E-3</v>
      </c>
      <c r="M143" s="11">
        <f t="shared" ref="M143:M147" si="35">$J$8*L143^$J$9*(1-(1-L143^(1/$J$5))^$J$5)^2</f>
        <v>1.3560948742764703E-19</v>
      </c>
      <c r="N143" s="11">
        <f t="shared" si="32"/>
        <v>1.3560948809938265E-19</v>
      </c>
      <c r="O143" s="10">
        <f t="shared" si="33"/>
        <v>383.29750846057499</v>
      </c>
    </row>
    <row r="144" spans="1:15">
      <c r="A144" s="10">
        <v>90000</v>
      </c>
      <c r="B144" s="10">
        <f t="shared" si="24"/>
        <v>8907.0300000000007</v>
      </c>
      <c r="C144" s="10">
        <f t="shared" si="25"/>
        <v>0.10180071535221515</v>
      </c>
      <c r="D144" s="10">
        <f t="shared" si="26"/>
        <v>5.2962216241621779E-3</v>
      </c>
      <c r="E144" s="10">
        <f t="shared" si="27"/>
        <v>8.5634832438776983E-18</v>
      </c>
      <c r="F144" s="10">
        <f t="shared" si="28"/>
        <v>8.5634832571257359E-18</v>
      </c>
      <c r="G144" s="10">
        <f t="shared" si="34"/>
        <v>47.173604893061245</v>
      </c>
      <c r="I144" s="10">
        <v>700000</v>
      </c>
      <c r="J144" s="10">
        <f t="shared" si="29"/>
        <v>69276.899999999994</v>
      </c>
      <c r="K144" s="10">
        <f t="shared" si="30"/>
        <v>0.10167331993402055</v>
      </c>
      <c r="L144" s="10">
        <f t="shared" si="31"/>
        <v>5.9761426215019561E-3</v>
      </c>
      <c r="M144" s="11">
        <f t="shared" si="35"/>
        <v>8.2169954014268063E-20</v>
      </c>
      <c r="N144" s="11">
        <f t="shared" si="32"/>
        <v>8.2169956065910256E-20</v>
      </c>
      <c r="O144" s="10">
        <f t="shared" si="33"/>
        <v>414.00863477552883</v>
      </c>
    </row>
    <row r="145" spans="1:15">
      <c r="A145" s="10">
        <v>100000</v>
      </c>
      <c r="B145" s="10">
        <f t="shared" si="24"/>
        <v>9896.7000000000007</v>
      </c>
      <c r="C145" s="10">
        <f t="shared" si="25"/>
        <v>0.10168329530779183</v>
      </c>
      <c r="D145" s="10">
        <f t="shared" si="26"/>
        <v>4.9508685523288864E-3</v>
      </c>
      <c r="E145" s="10">
        <f t="shared" si="27"/>
        <v>5.8603512497636702E-18</v>
      </c>
      <c r="F145" s="10">
        <f t="shared" si="28"/>
        <v>5.8603512901744884E-18</v>
      </c>
      <c r="G145" s="10">
        <f t="shared" si="34"/>
        <v>48.997260801833292</v>
      </c>
      <c r="I145" s="10">
        <v>800000</v>
      </c>
      <c r="J145" s="10">
        <f t="shared" si="29"/>
        <v>79173.600000000006</v>
      </c>
      <c r="K145" s="10">
        <f t="shared" si="30"/>
        <v>0.10156524749310404</v>
      </c>
      <c r="L145" s="10">
        <f t="shared" si="31"/>
        <v>5.5901696182286981E-3</v>
      </c>
      <c r="M145" s="11">
        <f t="shared" si="35"/>
        <v>5.3240146616503788E-20</v>
      </c>
      <c r="N145" s="11">
        <f t="shared" si="32"/>
        <v>5.3240146819517574E-20</v>
      </c>
      <c r="O145" s="10">
        <f t="shared" si="33"/>
        <v>442.59385328579168</v>
      </c>
    </row>
    <row r="146" spans="1:15">
      <c r="A146" s="10">
        <v>200000</v>
      </c>
      <c r="B146" s="10">
        <f t="shared" si="24"/>
        <v>19793.400000000001</v>
      </c>
      <c r="C146" s="10">
        <f t="shared" si="25"/>
        <v>0.10108019274997304</v>
      </c>
      <c r="D146" s="10">
        <f t="shared" si="26"/>
        <v>3.1770374999206936E-3</v>
      </c>
      <c r="E146" s="10">
        <f t="shared" si="27"/>
        <v>4.8329938359653735E-19</v>
      </c>
      <c r="F146" s="10">
        <f t="shared" si="28"/>
        <v>4.8329938636633421E-19</v>
      </c>
      <c r="G146" s="10">
        <f t="shared" si="34"/>
        <v>62.884374050930262</v>
      </c>
      <c r="I146" s="10">
        <v>900000</v>
      </c>
      <c r="J146" s="10">
        <f t="shared" si="29"/>
        <v>89070.3</v>
      </c>
      <c r="K146" s="10">
        <f t="shared" si="30"/>
        <v>0.10147572950272879</v>
      </c>
      <c r="L146" s="10">
        <f t="shared" si="31"/>
        <v>5.2704625097456572E-3</v>
      </c>
      <c r="M146" s="11">
        <f t="shared" si="35"/>
        <v>3.6307267206915793E-20</v>
      </c>
      <c r="N146" s="11">
        <f t="shared" si="32"/>
        <v>3.6307269519709446E-20</v>
      </c>
      <c r="O146" s="10">
        <f t="shared" si="33"/>
        <v>469.44167688179863</v>
      </c>
    </row>
    <row r="147" spans="1:15">
      <c r="A147" s="10">
        <v>300000</v>
      </c>
      <c r="B147" s="10">
        <f t="shared" si="24"/>
        <v>29690.1</v>
      </c>
      <c r="C147" s="10">
        <f t="shared" si="25"/>
        <v>0.10083330288412924</v>
      </c>
      <c r="D147" s="10">
        <f t="shared" si="26"/>
        <v>2.4508908356742241E-3</v>
      </c>
      <c r="E147" s="10">
        <f t="shared" si="27"/>
        <v>1.1227623514612518E-19</v>
      </c>
      <c r="F147" s="10">
        <f t="shared" si="28"/>
        <v>1.1227623827399875E-19</v>
      </c>
      <c r="G147" s="10">
        <f t="shared" si="34"/>
        <v>72.76719400025128</v>
      </c>
      <c r="I147" s="10">
        <v>1000000</v>
      </c>
      <c r="J147" s="10">
        <f t="shared" si="29"/>
        <v>98967</v>
      </c>
      <c r="K147" s="10">
        <f t="shared" si="30"/>
        <v>0.10139999994166668</v>
      </c>
      <c r="L147" s="10">
        <f t="shared" si="31"/>
        <v>4.9999997916666929E-3</v>
      </c>
      <c r="M147" s="11">
        <f t="shared" si="35"/>
        <v>2.5779929942009035E-20</v>
      </c>
      <c r="N147" s="11">
        <f t="shared" si="32"/>
        <v>2.5779930216775165E-20</v>
      </c>
      <c r="O147" s="10">
        <f t="shared" si="33"/>
        <v>494.83497938187759</v>
      </c>
    </row>
    <row r="148" spans="1:15">
      <c r="A148" s="10">
        <v>400000</v>
      </c>
      <c r="B148" s="10">
        <f t="shared" si="24"/>
        <v>39586.800000000003</v>
      </c>
      <c r="C148" s="10">
        <f t="shared" si="25"/>
        <v>0.10069317374779541</v>
      </c>
      <c r="D148" s="10">
        <f t="shared" si="26"/>
        <v>2.0387463170452951E-3</v>
      </c>
      <c r="E148" s="10">
        <f t="shared" si="27"/>
        <v>3.9857352115968827E-20</v>
      </c>
      <c r="F148" s="10">
        <f t="shared" si="28"/>
        <v>3.9857352827885768E-20</v>
      </c>
      <c r="G148" s="10">
        <f t="shared" si="34"/>
        <v>80.707442703608692</v>
      </c>
      <c r="M148" s="11"/>
    </row>
    <row r="149" spans="1:15">
      <c r="A149" s="10">
        <v>500000</v>
      </c>
      <c r="B149" s="10">
        <f t="shared" si="24"/>
        <v>49483.5</v>
      </c>
      <c r="C149" s="10">
        <f t="shared" si="25"/>
        <v>0.10060092421504113</v>
      </c>
      <c r="D149" s="10">
        <f t="shared" si="26"/>
        <v>1.7674241618856662E-3</v>
      </c>
      <c r="E149" s="10">
        <f t="shared" si="27"/>
        <v>1.7849761771567309E-20</v>
      </c>
      <c r="F149" s="10">
        <f t="shared" si="28"/>
        <v>1.7849763725342975E-20</v>
      </c>
      <c r="G149" s="10">
        <f t="shared" si="34"/>
        <v>87.458333514669363</v>
      </c>
      <c r="M149" s="11"/>
    </row>
    <row r="150" spans="1:15">
      <c r="A150" s="10">
        <v>600000</v>
      </c>
      <c r="B150" s="10">
        <f t="shared" si="24"/>
        <v>59380.2</v>
      </c>
      <c r="C150" s="10">
        <f t="shared" si="25"/>
        <v>0.10053474127994837</v>
      </c>
      <c r="D150" s="10">
        <f t="shared" si="26"/>
        <v>1.5727684704363572E-3</v>
      </c>
      <c r="E150" s="10">
        <f t="shared" si="27"/>
        <v>9.2593383265667741E-21</v>
      </c>
      <c r="F150" s="10">
        <f t="shared" si="28"/>
        <v>9.259339371705315E-21</v>
      </c>
      <c r="G150" s="10">
        <f t="shared" si="34"/>
        <v>93.391306328204976</v>
      </c>
      <c r="M150" s="11"/>
    </row>
    <row r="151" spans="1:15">
      <c r="A151" s="10">
        <v>700000</v>
      </c>
      <c r="B151" s="10">
        <f t="shared" si="24"/>
        <v>69276.899999999994</v>
      </c>
      <c r="C151" s="10">
        <f t="shared" si="25"/>
        <v>0.10048450444789515</v>
      </c>
      <c r="D151" s="10">
        <f t="shared" si="26"/>
        <v>1.4250130820445538E-3</v>
      </c>
      <c r="E151" s="10">
        <f t="shared" si="27"/>
        <v>5.3158353524820725E-21</v>
      </c>
      <c r="F151" s="10">
        <f t="shared" si="28"/>
        <v>5.3158360656570334E-21</v>
      </c>
      <c r="G151" s="10">
        <f t="shared" si="34"/>
        <v>98.720488783492343</v>
      </c>
      <c r="M151" s="11"/>
    </row>
    <row r="152" spans="1:15">
      <c r="A152" s="10">
        <v>800000</v>
      </c>
      <c r="B152" s="10">
        <f t="shared" si="24"/>
        <v>79173.600000000006</v>
      </c>
      <c r="C152" s="10">
        <f t="shared" si="25"/>
        <v>0.10044481858473754</v>
      </c>
      <c r="D152" s="10">
        <f t="shared" si="26"/>
        <v>1.3082899551103994E-3</v>
      </c>
      <c r="E152" s="10">
        <f t="shared" si="27"/>
        <v>3.2870061360416448E-21</v>
      </c>
      <c r="F152" s="10">
        <f t="shared" si="28"/>
        <v>3.28700627327886E-21</v>
      </c>
      <c r="G152" s="10">
        <f t="shared" si="34"/>
        <v>103.58202558992873</v>
      </c>
      <c r="M152" s="11"/>
    </row>
    <row r="153" spans="1:15">
      <c r="A153" s="10">
        <v>900000</v>
      </c>
      <c r="B153" s="10">
        <f t="shared" si="24"/>
        <v>89070.3</v>
      </c>
      <c r="C153" s="10">
        <f t="shared" si="25"/>
        <v>0.1004125202866321</v>
      </c>
      <c r="D153" s="10">
        <f t="shared" si="26"/>
        <v>1.2132949606826254E-3</v>
      </c>
      <c r="E153" s="10">
        <f t="shared" si="27"/>
        <v>2.1510546301191618E-21</v>
      </c>
      <c r="F153" s="10">
        <f t="shared" si="28"/>
        <v>2.1510549932738629E-21</v>
      </c>
      <c r="G153" s="10">
        <f t="shared" si="34"/>
        <v>108.06854613648966</v>
      </c>
      <c r="M153" s="11"/>
    </row>
    <row r="154" spans="1:15">
      <c r="A154" s="10">
        <v>1000000</v>
      </c>
      <c r="B154" s="10">
        <f t="shared" si="24"/>
        <v>98967</v>
      </c>
      <c r="C154" s="10">
        <f t="shared" si="25"/>
        <v>0.10038562085905992</v>
      </c>
      <c r="D154" s="10">
        <f t="shared" si="26"/>
        <v>1.1341789972350287E-3</v>
      </c>
      <c r="E154" s="10">
        <f t="shared" si="27"/>
        <v>1.4720565135392254E-21</v>
      </c>
      <c r="F154" s="10">
        <f t="shared" si="28"/>
        <v>1.4720565726187573E-21</v>
      </c>
      <c r="G154" s="10">
        <f t="shared" si="34"/>
        <v>112.24629281935908</v>
      </c>
      <c r="M154" s="11"/>
    </row>
    <row r="155" spans="1:15">
      <c r="M155" s="11"/>
    </row>
    <row r="156" spans="1:15">
      <c r="M156" s="11"/>
    </row>
    <row r="157" spans="1:15">
      <c r="M157" s="11"/>
    </row>
    <row r="158" spans="1:15">
      <c r="M158" s="11"/>
    </row>
    <row r="159" spans="1:15">
      <c r="M159" s="11"/>
    </row>
    <row r="160" spans="1:15">
      <c r="M160" s="11"/>
    </row>
    <row r="161" spans="13:13">
      <c r="M161" s="11"/>
    </row>
    <row r="162" spans="13:13">
      <c r="M162" s="11"/>
    </row>
    <row r="163" spans="13:13">
      <c r="M163" s="11"/>
    </row>
    <row r="164" spans="13:13">
      <c r="M164" s="11"/>
    </row>
    <row r="165" spans="13:13">
      <c r="M165" s="11"/>
    </row>
    <row r="166" spans="13:13">
      <c r="M166" s="11"/>
    </row>
    <row r="167" spans="13:13">
      <c r="M167" s="11"/>
    </row>
    <row r="168" spans="13:13">
      <c r="M168" s="11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68"/>
  <sheetViews>
    <sheetView workbookViewId="0">
      <selection activeCell="N14" sqref="N14"/>
    </sheetView>
  </sheetViews>
  <sheetFormatPr defaultColWidth="9.109375" defaultRowHeight="13.2"/>
  <cols>
    <col min="1" max="16384" width="9.109375" style="10"/>
  </cols>
  <sheetData>
    <row r="1" spans="1:43">
      <c r="A1" s="9" t="s">
        <v>48</v>
      </c>
      <c r="I1" s="9" t="s">
        <v>48</v>
      </c>
      <c r="M1" s="11"/>
      <c r="O1" s="12"/>
      <c r="P1" s="12"/>
    </row>
    <row r="2" spans="1:43">
      <c r="A2" s="12" t="s">
        <v>49</v>
      </c>
      <c r="I2" s="12" t="s">
        <v>50</v>
      </c>
      <c r="M2" s="11"/>
      <c r="O2" s="12"/>
      <c r="X2" s="11"/>
      <c r="Y2" s="11"/>
      <c r="Z2" s="11"/>
    </row>
    <row r="3" spans="1:43">
      <c r="A3" s="13" t="s">
        <v>51</v>
      </c>
      <c r="B3" s="14">
        <v>1.9E-2</v>
      </c>
      <c r="C3" s="10">
        <f>B3*10.19</f>
        <v>0.19360999999999998</v>
      </c>
      <c r="D3" s="10">
        <f>1/C3</f>
        <v>5.1650224678477361</v>
      </c>
      <c r="F3" s="15"/>
      <c r="G3" s="15"/>
      <c r="I3" s="13" t="s">
        <v>52</v>
      </c>
      <c r="J3" s="16">
        <v>0.02</v>
      </c>
      <c r="K3" s="10">
        <f>J3*10.19</f>
        <v>0.20379999999999998</v>
      </c>
      <c r="L3" s="10">
        <f>1/K3</f>
        <v>4.9067713444553487</v>
      </c>
      <c r="M3" s="11"/>
      <c r="O3" s="12"/>
      <c r="P3" s="17"/>
    </row>
    <row r="4" spans="1:43">
      <c r="A4" s="10" t="s">
        <v>53</v>
      </c>
      <c r="B4" s="17">
        <v>1.35</v>
      </c>
      <c r="F4" s="18"/>
      <c r="G4" s="18"/>
      <c r="I4" s="10" t="s">
        <v>53</v>
      </c>
      <c r="J4" s="14">
        <v>1.39</v>
      </c>
      <c r="M4" s="11"/>
      <c r="P4" s="17"/>
    </row>
    <row r="5" spans="1:43">
      <c r="A5" s="10" t="s">
        <v>54</v>
      </c>
      <c r="B5" s="19">
        <f>1-1/B4</f>
        <v>0.2592592592592593</v>
      </c>
      <c r="F5" s="18"/>
      <c r="G5" s="18"/>
      <c r="I5" s="10" t="s">
        <v>54</v>
      </c>
      <c r="J5" s="19">
        <f>1-1/J4</f>
        <v>0.28057553956834524</v>
      </c>
      <c r="M5" s="11"/>
      <c r="P5" s="19"/>
    </row>
    <row r="6" spans="1:43" ht="15.6">
      <c r="A6" s="13" t="s">
        <v>55</v>
      </c>
      <c r="B6" s="17">
        <v>0.1</v>
      </c>
      <c r="F6" s="18"/>
      <c r="G6" s="18"/>
      <c r="I6" s="13" t="s">
        <v>55</v>
      </c>
      <c r="J6" s="17">
        <v>0.1</v>
      </c>
      <c r="M6" s="11"/>
      <c r="O6" s="13"/>
      <c r="P6" s="17"/>
    </row>
    <row r="7" spans="1:43" ht="15.6">
      <c r="A7" s="13" t="s">
        <v>56</v>
      </c>
      <c r="B7" s="20">
        <v>0.51</v>
      </c>
      <c r="F7" s="21"/>
      <c r="G7" s="21"/>
      <c r="I7" s="13" t="s">
        <v>56</v>
      </c>
      <c r="J7" s="22">
        <v>0.46</v>
      </c>
      <c r="M7" s="11"/>
      <c r="O7" s="13"/>
      <c r="P7" s="20"/>
    </row>
    <row r="8" spans="1:43" ht="15.6">
      <c r="A8" s="12" t="s">
        <v>57</v>
      </c>
      <c r="B8" s="14">
        <v>6.9999999999999994E-5</v>
      </c>
      <c r="F8" s="15"/>
      <c r="G8" s="15"/>
      <c r="I8" s="12" t="s">
        <v>57</v>
      </c>
      <c r="J8" s="14">
        <v>7.5000000000000002E-6</v>
      </c>
      <c r="M8" s="11"/>
      <c r="O8" s="12"/>
      <c r="P8" s="14"/>
    </row>
    <row r="9" spans="1:43">
      <c r="A9" s="12" t="s">
        <v>58</v>
      </c>
      <c r="B9" s="17">
        <v>0.5</v>
      </c>
      <c r="F9" s="18"/>
      <c r="G9" s="18"/>
      <c r="I9" s="12" t="s">
        <v>58</v>
      </c>
      <c r="J9" s="17">
        <v>0.5</v>
      </c>
      <c r="M9" s="11"/>
      <c r="O9" s="12"/>
      <c r="P9" s="17"/>
    </row>
    <row r="10" spans="1:43">
      <c r="A10" s="12"/>
      <c r="B10" s="12"/>
      <c r="I10" s="12"/>
      <c r="J10" s="12"/>
      <c r="M10" s="11"/>
      <c r="O10" s="12"/>
      <c r="P10" s="12"/>
    </row>
    <row r="11" spans="1:43">
      <c r="A11" s="10" t="s">
        <v>59</v>
      </c>
      <c r="I11" s="10" t="s">
        <v>59</v>
      </c>
      <c r="M11" s="11"/>
    </row>
    <row r="12" spans="1:43">
      <c r="M12" s="11"/>
    </row>
    <row r="13" spans="1:43">
      <c r="A13" s="10" t="s">
        <v>60</v>
      </c>
      <c r="B13" s="10" t="s">
        <v>61</v>
      </c>
      <c r="C13" s="13" t="s">
        <v>62</v>
      </c>
      <c r="D13" s="10" t="s">
        <v>63</v>
      </c>
      <c r="E13" s="12" t="s">
        <v>64</v>
      </c>
      <c r="G13" s="12" t="s">
        <v>65</v>
      </c>
      <c r="H13" s="12"/>
      <c r="I13" s="10" t="s">
        <v>60</v>
      </c>
      <c r="J13" s="10" t="s">
        <v>61</v>
      </c>
      <c r="K13" s="13" t="s">
        <v>62</v>
      </c>
      <c r="L13" s="10" t="s">
        <v>63</v>
      </c>
      <c r="M13" s="23" t="s">
        <v>64</v>
      </c>
      <c r="O13" s="12" t="s">
        <v>65</v>
      </c>
      <c r="Q13" s="13"/>
      <c r="R13" s="10" t="s">
        <v>112</v>
      </c>
      <c r="S13" s="10" t="s">
        <v>113</v>
      </c>
      <c r="T13" s="10" t="s">
        <v>114</v>
      </c>
      <c r="U13" s="10" t="s">
        <v>115</v>
      </c>
      <c r="V13" s="10" t="s">
        <v>116</v>
      </c>
      <c r="W13" s="10" t="s">
        <v>117</v>
      </c>
      <c r="X13" s="10" t="s">
        <v>118</v>
      </c>
      <c r="Y13" s="10" t="s">
        <v>119</v>
      </c>
      <c r="Z13" s="10" t="s">
        <v>120</v>
      </c>
      <c r="AA13" s="10" t="s">
        <v>121</v>
      </c>
      <c r="AB13" s="10" t="s">
        <v>122</v>
      </c>
      <c r="AG13" s="10">
        <v>1</v>
      </c>
      <c r="AH13" s="10">
        <v>0</v>
      </c>
      <c r="AI13" s="10">
        <v>-332.33199999999999</v>
      </c>
      <c r="AJ13" s="10">
        <v>0.15479999999999999</v>
      </c>
      <c r="AK13" s="11">
        <v>6.6249999999999998E-9</v>
      </c>
      <c r="AL13" s="11">
        <v>2.1689999999999999E-4</v>
      </c>
      <c r="AM13" s="11">
        <v>1.0599999999999999E-12</v>
      </c>
      <c r="AN13" s="11">
        <v>0</v>
      </c>
      <c r="AO13" s="10">
        <v>-1</v>
      </c>
      <c r="AP13" s="11">
        <v>1.6800000000000002E-8</v>
      </c>
      <c r="AQ13" s="10">
        <v>20</v>
      </c>
    </row>
    <row r="14" spans="1:43">
      <c r="A14" s="10">
        <v>1</v>
      </c>
      <c r="B14" s="10">
        <f t="shared" ref="B14:B77" si="0">0.098967*A14</f>
        <v>9.8966999999999999E-2</v>
      </c>
      <c r="C14" s="10">
        <f t="shared" ref="C14:C77" si="1">$B$6+(($B$7-$B$6)/(1+($B$3*A14)^$B$4)^$B$5)</f>
        <v>0.50949703189264695</v>
      </c>
      <c r="D14" s="10">
        <f t="shared" ref="D14:D77" si="2">(C14-$B$6)/($B$7-$B$6)</f>
        <v>0.99877324851865101</v>
      </c>
      <c r="E14" s="10">
        <f t="shared" ref="E14:E77" si="3">$B$8*D14^$B$9*(1-(1-D14^(1/$B$5))^$B$5)^2</f>
        <v>3.9405732376590119E-5</v>
      </c>
      <c r="F14" s="10">
        <f t="shared" ref="F14:F77" si="4">$B$8*((1-(($B$3*A14)^($B$4-1))*(1+($B$3*A14)^$B$4)^(-1+1/$B$4))^2)/(1+($B$3*A14)^$B$4)^(0.5-(1/(2*$B$4)))</f>
        <v>3.9405732376589346E-5</v>
      </c>
      <c r="G14" s="10">
        <f>D14*B14</f>
        <v>9.8845592086145337E-2</v>
      </c>
      <c r="I14" s="10">
        <v>1</v>
      </c>
      <c r="J14" s="10">
        <f t="shared" ref="J14:J77" si="5">0.098967*I14</f>
        <v>9.8966999999999999E-2</v>
      </c>
      <c r="K14" s="11">
        <f t="shared" ref="K14:K77" si="6">$J$6+(($J$7-$J$6)/(1+($J$3*I14)^$J$4)^$J$5)</f>
        <v>0.45956189637068012</v>
      </c>
      <c r="L14" s="10">
        <f t="shared" ref="L14:L77" si="7">(K14-$J$6)/($J$7-$J$6)</f>
        <v>0.99878304547411156</v>
      </c>
      <c r="M14" s="11">
        <f>$J$8*L14^$J$9*(1-(1-L14^(1/$J$5))^$J$5)^2</f>
        <v>4.5929449732119489E-6</v>
      </c>
      <c r="N14" s="11">
        <f t="shared" ref="N14:N77" si="8">$J$8*((1-(($J$3*I14)^($J$4-1))*(1+($J$3*I14)^$J$4)^(-1+1/$J$4))^2)/(1+($J$3*I14)^$J$4)^(0.5-(1/(2*$J$4)))</f>
        <v>4.5929449732118871E-6</v>
      </c>
      <c r="O14" s="10">
        <f t="shared" ref="O14:O77" si="9">L14*J14</f>
        <v>9.8846561661436405E-2</v>
      </c>
      <c r="S14" s="10" t="s">
        <v>123</v>
      </c>
      <c r="T14" s="10" t="s">
        <v>123</v>
      </c>
      <c r="U14" s="10" t="s">
        <v>124</v>
      </c>
      <c r="V14" s="10" t="s">
        <v>125</v>
      </c>
      <c r="W14" s="10" t="s">
        <v>126</v>
      </c>
      <c r="X14" s="10" t="s">
        <v>125</v>
      </c>
      <c r="Y14" s="10" t="s">
        <v>127</v>
      </c>
      <c r="Z14" s="10" t="s">
        <v>124</v>
      </c>
      <c r="AA14" s="10" t="s">
        <v>124</v>
      </c>
      <c r="AB14" s="10" t="s">
        <v>128</v>
      </c>
      <c r="AG14" s="10">
        <v>2</v>
      </c>
      <c r="AH14" s="10">
        <v>-0.1163</v>
      </c>
      <c r="AI14" s="10">
        <v>-332.36700000000002</v>
      </c>
      <c r="AJ14" s="10">
        <v>0.15479999999999999</v>
      </c>
      <c r="AK14" s="11">
        <v>6.6219999999999997E-9</v>
      </c>
      <c r="AL14" s="11">
        <v>2.1689999999999999E-4</v>
      </c>
      <c r="AM14" s="11">
        <v>-1.7E-8</v>
      </c>
      <c r="AN14" s="11">
        <v>0</v>
      </c>
      <c r="AO14" s="10">
        <v>-1</v>
      </c>
      <c r="AP14" s="11">
        <v>-2.7E-4</v>
      </c>
      <c r="AQ14" s="10">
        <v>20</v>
      </c>
    </row>
    <row r="15" spans="1:43">
      <c r="A15" s="10">
        <v>2</v>
      </c>
      <c r="B15" s="10">
        <f t="shared" si="0"/>
        <v>0.197934</v>
      </c>
      <c r="C15" s="10">
        <f t="shared" si="1"/>
        <v>0.50872375131524294</v>
      </c>
      <c r="D15" s="10">
        <f t="shared" si="2"/>
        <v>0.99688719832986084</v>
      </c>
      <c r="E15" s="10">
        <f t="shared" si="3"/>
        <v>3.2567745366347231E-5</v>
      </c>
      <c r="F15" s="10">
        <f t="shared" si="4"/>
        <v>3.2567745366346804E-5</v>
      </c>
      <c r="G15" s="10">
        <f t="shared" ref="G15:G78" si="10">D15*B15</f>
        <v>0.19731787071422266</v>
      </c>
      <c r="I15" s="10">
        <v>2</v>
      </c>
      <c r="J15" s="10">
        <f t="shared" si="5"/>
        <v>0.197934</v>
      </c>
      <c r="K15" s="11">
        <f t="shared" si="6"/>
        <v>0.4588569591571684</v>
      </c>
      <c r="L15" s="10">
        <f t="shared" si="7"/>
        <v>0.99682488654769008</v>
      </c>
      <c r="M15" s="11">
        <f t="shared" ref="M15:M78" si="11">$J$8*L15^$J$9*(1-(1-L15^(1/$J$5))^$J$5)^2</f>
        <v>3.838082309125071E-6</v>
      </c>
      <c r="N15" s="11">
        <f t="shared" si="8"/>
        <v>3.8380823091250058E-6</v>
      </c>
      <c r="O15" s="10">
        <f t="shared" si="9"/>
        <v>0.19730553709393048</v>
      </c>
      <c r="AG15" s="10">
        <v>3</v>
      </c>
      <c r="AH15" s="10">
        <v>-0.2303</v>
      </c>
      <c r="AI15" s="10">
        <v>-332.69400000000002</v>
      </c>
      <c r="AJ15" s="10">
        <v>0.1547</v>
      </c>
      <c r="AK15" s="11">
        <v>6.6000000000000004E-9</v>
      </c>
      <c r="AL15" s="11">
        <v>2.165E-4</v>
      </c>
      <c r="AM15" s="11">
        <v>-3.3829999999999999E-8</v>
      </c>
      <c r="AN15" s="11">
        <v>0</v>
      </c>
      <c r="AO15" s="10">
        <v>-1</v>
      </c>
      <c r="AP15" s="11">
        <v>-5.3600000000000002E-4</v>
      </c>
      <c r="AQ15" s="10">
        <v>20</v>
      </c>
    </row>
    <row r="16" spans="1:43">
      <c r="A16" s="10">
        <v>4</v>
      </c>
      <c r="B16" s="10">
        <f t="shared" si="0"/>
        <v>0.395868</v>
      </c>
      <c r="C16" s="10">
        <f t="shared" si="1"/>
        <v>0.50678415133466559</v>
      </c>
      <c r="D16" s="10">
        <f t="shared" si="2"/>
        <v>0.99215646666991608</v>
      </c>
      <c r="E16" s="10">
        <f t="shared" si="3"/>
        <v>2.4884589610294E-5</v>
      </c>
      <c r="F16" s="10">
        <f t="shared" si="4"/>
        <v>2.4884589610293875E-5</v>
      </c>
      <c r="G16" s="10">
        <f t="shared" si="10"/>
        <v>0.39276299614768634</v>
      </c>
      <c r="I16" s="10">
        <v>4</v>
      </c>
      <c r="J16" s="10">
        <f t="shared" si="5"/>
        <v>0.395868</v>
      </c>
      <c r="K16" s="10">
        <f t="shared" si="6"/>
        <v>0.45703893859904288</v>
      </c>
      <c r="L16" s="10">
        <f t="shared" si="7"/>
        <v>0.99177482944178585</v>
      </c>
      <c r="M16" s="11">
        <f t="shared" si="11"/>
        <v>2.9611428840433923E-6</v>
      </c>
      <c r="N16" s="11">
        <f t="shared" si="8"/>
        <v>2.9611428840433702E-6</v>
      </c>
      <c r="O16" s="10">
        <f t="shared" si="9"/>
        <v>0.39261191818146091</v>
      </c>
      <c r="R16" s="10">
        <v>1</v>
      </c>
      <c r="S16" s="10">
        <v>0</v>
      </c>
      <c r="T16" s="10">
        <v>-369.80399999999997</v>
      </c>
      <c r="U16" s="10">
        <v>0.1565</v>
      </c>
      <c r="V16" s="11">
        <v>9.2859999999999998E-10</v>
      </c>
      <c r="W16" s="11">
        <v>8.5740000000000002E-5</v>
      </c>
      <c r="X16" s="11">
        <v>1.5109999999999999E-12</v>
      </c>
      <c r="Y16" s="11">
        <v>0</v>
      </c>
      <c r="Z16" s="10">
        <v>-1</v>
      </c>
      <c r="AA16" s="11">
        <v>3.6899999999999999E-9</v>
      </c>
      <c r="AB16" s="10">
        <v>20</v>
      </c>
      <c r="AG16" s="10">
        <v>4</v>
      </c>
      <c r="AH16" s="10">
        <v>-0.34210000000000002</v>
      </c>
      <c r="AI16" s="10">
        <v>-333.29899999999998</v>
      </c>
      <c r="AJ16" s="10">
        <v>0.15459999999999999</v>
      </c>
      <c r="AK16" s="11">
        <v>6.5590000000000002E-9</v>
      </c>
      <c r="AL16" s="11">
        <v>2.1579999999999999E-4</v>
      </c>
      <c r="AM16" s="11">
        <v>-5.03E-8</v>
      </c>
      <c r="AN16" s="11">
        <v>0</v>
      </c>
      <c r="AO16" s="10">
        <v>-1</v>
      </c>
      <c r="AP16" s="11">
        <v>-7.9799999999999999E-4</v>
      </c>
      <c r="AQ16" s="10">
        <v>20</v>
      </c>
    </row>
    <row r="17" spans="1:43">
      <c r="A17" s="10">
        <v>5</v>
      </c>
      <c r="B17" s="10">
        <f t="shared" si="0"/>
        <v>0.49483500000000002</v>
      </c>
      <c r="C17" s="10">
        <f t="shared" si="1"/>
        <v>0.50568231635543637</v>
      </c>
      <c r="D17" s="10">
        <f t="shared" si="2"/>
        <v>0.98946906428155212</v>
      </c>
      <c r="E17" s="10">
        <f t="shared" si="3"/>
        <v>2.2297411858024051E-5</v>
      </c>
      <c r="F17" s="10">
        <f t="shared" si="4"/>
        <v>2.2297411858023767E-5</v>
      </c>
      <c r="G17" s="10">
        <f t="shared" si="10"/>
        <v>0.48962392442376185</v>
      </c>
      <c r="I17" s="10">
        <v>5</v>
      </c>
      <c r="J17" s="10">
        <f t="shared" si="5"/>
        <v>0.49483500000000002</v>
      </c>
      <c r="K17" s="11">
        <f t="shared" si="6"/>
        <v>0.45598928108792636</v>
      </c>
      <c r="L17" s="10">
        <f t="shared" si="7"/>
        <v>0.98885911413312888</v>
      </c>
      <c r="M17" s="11">
        <f t="shared" si="11"/>
        <v>2.6595454641536017E-6</v>
      </c>
      <c r="N17" s="11">
        <f t="shared" si="8"/>
        <v>2.6595454641535974E-6</v>
      </c>
      <c r="O17" s="10">
        <f t="shared" si="9"/>
        <v>0.48932209974206686</v>
      </c>
      <c r="R17" s="10">
        <v>2</v>
      </c>
      <c r="S17" s="10">
        <v>-0.13420000000000001</v>
      </c>
      <c r="T17" s="10">
        <v>-369.92700000000002</v>
      </c>
      <c r="U17" s="10">
        <v>0.1565</v>
      </c>
      <c r="V17" s="11">
        <v>9.2729999999999999E-10</v>
      </c>
      <c r="W17" s="11">
        <v>8.5699999999999996E-5</v>
      </c>
      <c r="X17" s="11">
        <v>-3.5360000000000002E-9</v>
      </c>
      <c r="Y17" s="11">
        <v>0</v>
      </c>
      <c r="Z17" s="10">
        <v>-1</v>
      </c>
      <c r="AA17" s="11">
        <v>-8.6500000000000002E-6</v>
      </c>
      <c r="AB17" s="10">
        <v>20</v>
      </c>
      <c r="AG17" s="10">
        <v>5</v>
      </c>
      <c r="AH17" s="10">
        <v>-0.45150000000000001</v>
      </c>
      <c r="AI17" s="10">
        <v>-334.17099999999999</v>
      </c>
      <c r="AJ17" s="10">
        <v>0.15440000000000001</v>
      </c>
      <c r="AK17" s="11">
        <v>6.5000000000000003E-9</v>
      </c>
      <c r="AL17" s="11">
        <v>2.1489999999999999E-4</v>
      </c>
      <c r="AM17" s="11">
        <v>-6.6399999999999999E-8</v>
      </c>
      <c r="AN17" s="11">
        <v>0</v>
      </c>
      <c r="AO17" s="10">
        <v>-1</v>
      </c>
      <c r="AP17" s="11">
        <v>-1.0499999999999999E-3</v>
      </c>
      <c r="AQ17" s="10">
        <v>20</v>
      </c>
    </row>
    <row r="18" spans="1:43">
      <c r="A18" s="10">
        <v>6</v>
      </c>
      <c r="B18" s="10">
        <f t="shared" si="0"/>
        <v>0.59380199999999994</v>
      </c>
      <c r="C18" s="10">
        <f t="shared" si="1"/>
        <v>0.50451607278891286</v>
      </c>
      <c r="D18" s="10">
        <f t="shared" si="2"/>
        <v>0.98662456777783625</v>
      </c>
      <c r="E18" s="10">
        <f t="shared" si="3"/>
        <v>2.0170750780928555E-5</v>
      </c>
      <c r="F18" s="10">
        <f t="shared" si="4"/>
        <v>2.0170750780928561E-5</v>
      </c>
      <c r="G18" s="10">
        <f t="shared" si="10"/>
        <v>0.58585964159561466</v>
      </c>
      <c r="I18" s="10">
        <v>6</v>
      </c>
      <c r="J18" s="10">
        <f t="shared" si="5"/>
        <v>0.59380199999999994</v>
      </c>
      <c r="K18" s="10">
        <f t="shared" si="6"/>
        <v>0.4548696714401218</v>
      </c>
      <c r="L18" s="10">
        <f t="shared" si="7"/>
        <v>0.98574908733367173</v>
      </c>
      <c r="M18" s="11">
        <f t="shared" si="11"/>
        <v>2.409415300330188E-6</v>
      </c>
      <c r="N18" s="11">
        <f t="shared" si="8"/>
        <v>2.4094153003301766E-6</v>
      </c>
      <c r="O18" s="10">
        <f t="shared" si="9"/>
        <v>0.58533977955690886</v>
      </c>
      <c r="R18" s="10">
        <v>3</v>
      </c>
      <c r="S18" s="10">
        <v>-0.26579999999999998</v>
      </c>
      <c r="T18" s="10">
        <v>-370.55399999999997</v>
      </c>
      <c r="U18" s="10">
        <v>0.15640000000000001</v>
      </c>
      <c r="V18" s="11">
        <v>9.2079999999999996E-10</v>
      </c>
      <c r="W18" s="11">
        <v>8.5439999999999995E-5</v>
      </c>
      <c r="X18" s="11">
        <v>-7.0569999999999999E-9</v>
      </c>
      <c r="Y18" s="11">
        <v>0</v>
      </c>
      <c r="Z18" s="10">
        <v>-1</v>
      </c>
      <c r="AA18" s="11">
        <v>-1.73E-5</v>
      </c>
      <c r="AB18" s="10">
        <v>20</v>
      </c>
      <c r="AG18" s="10">
        <v>6</v>
      </c>
      <c r="AH18" s="10">
        <v>-0.55879999999999996</v>
      </c>
      <c r="AI18" s="10">
        <v>-335.3</v>
      </c>
      <c r="AJ18" s="10">
        <v>0.1542</v>
      </c>
      <c r="AK18" s="11">
        <v>6.4240000000000002E-9</v>
      </c>
      <c r="AL18" s="11">
        <v>2.1359999999999999E-4</v>
      </c>
      <c r="AM18" s="11">
        <v>-8.2140000000000006E-8</v>
      </c>
      <c r="AN18" s="11">
        <v>0</v>
      </c>
      <c r="AO18" s="10">
        <v>-1</v>
      </c>
      <c r="AP18" s="11">
        <v>-1.2999999999999999E-3</v>
      </c>
      <c r="AQ18" s="10">
        <v>20</v>
      </c>
    </row>
    <row r="19" spans="1:43">
      <c r="A19" s="10">
        <v>8</v>
      </c>
      <c r="B19" s="10">
        <f t="shared" si="0"/>
        <v>0.791736</v>
      </c>
      <c r="C19" s="10">
        <f t="shared" si="1"/>
        <v>0.50203442034808332</v>
      </c>
      <c r="D19" s="10">
        <f t="shared" si="2"/>
        <v>0.98057175694654464</v>
      </c>
      <c r="E19" s="10">
        <f t="shared" si="3"/>
        <v>1.6838039469636944E-5</v>
      </c>
      <c r="F19" s="10">
        <f t="shared" si="4"/>
        <v>1.6838039469636944E-5</v>
      </c>
      <c r="G19" s="10">
        <f t="shared" si="10"/>
        <v>0.77635396055782946</v>
      </c>
      <c r="I19" s="10">
        <v>8</v>
      </c>
      <c r="J19" s="10">
        <f t="shared" si="5"/>
        <v>0.791736</v>
      </c>
      <c r="K19" s="10">
        <f t="shared" si="6"/>
        <v>0.45246604158107362</v>
      </c>
      <c r="L19" s="10">
        <f t="shared" si="7"/>
        <v>0.97907233772520463</v>
      </c>
      <c r="M19" s="11">
        <f t="shared" si="11"/>
        <v>2.0136585248439182E-6</v>
      </c>
      <c r="N19" s="11">
        <f t="shared" si="8"/>
        <v>2.0136585248439139E-6</v>
      </c>
      <c r="O19" s="10">
        <f t="shared" si="9"/>
        <v>0.77516681638120266</v>
      </c>
      <c r="R19" s="10">
        <v>4</v>
      </c>
      <c r="S19" s="10">
        <v>-0.39479999999999998</v>
      </c>
      <c r="T19" s="10">
        <v>-371.66899999999998</v>
      </c>
      <c r="U19" s="10">
        <v>0.15629999999999999</v>
      </c>
      <c r="V19" s="11">
        <v>9.0920000000000002E-10</v>
      </c>
      <c r="W19" s="11">
        <v>8.5000000000000006E-5</v>
      </c>
      <c r="X19" s="11">
        <v>-1.054E-8</v>
      </c>
      <c r="Y19" s="11">
        <v>0</v>
      </c>
      <c r="Z19" s="10">
        <v>-1</v>
      </c>
      <c r="AA19" s="11">
        <v>-2.58E-5</v>
      </c>
      <c r="AB19" s="10">
        <v>20</v>
      </c>
      <c r="AG19" s="10">
        <v>7</v>
      </c>
      <c r="AH19" s="10">
        <v>-0.66369999999999996</v>
      </c>
      <c r="AI19" s="10">
        <v>-336.67599999999999</v>
      </c>
      <c r="AJ19" s="10">
        <v>0.15390000000000001</v>
      </c>
      <c r="AK19" s="11">
        <v>6.3309999999999997E-9</v>
      </c>
      <c r="AL19" s="11">
        <v>2.1210000000000001E-4</v>
      </c>
      <c r="AM19" s="11">
        <v>-9.7510000000000004E-8</v>
      </c>
      <c r="AN19" s="11">
        <v>0</v>
      </c>
      <c r="AO19" s="10">
        <v>-1</v>
      </c>
      <c r="AP19" s="11">
        <v>-1.5499999999999999E-3</v>
      </c>
      <c r="AQ19" s="10">
        <v>20</v>
      </c>
    </row>
    <row r="20" spans="1:43">
      <c r="A20" s="10">
        <v>10</v>
      </c>
      <c r="B20" s="10">
        <f t="shared" si="0"/>
        <v>0.98967000000000005</v>
      </c>
      <c r="C20" s="10">
        <f t="shared" si="1"/>
        <v>0.49940617516203523</v>
      </c>
      <c r="D20" s="10">
        <f t="shared" si="2"/>
        <v>0.97416140283423225</v>
      </c>
      <c r="E20" s="10">
        <f t="shared" si="3"/>
        <v>1.4319225718378482E-5</v>
      </c>
      <c r="F20" s="10">
        <f t="shared" si="4"/>
        <v>1.4319225718378423E-5</v>
      </c>
      <c r="G20" s="10">
        <f t="shared" si="10"/>
        <v>0.96409831554295466</v>
      </c>
      <c r="I20" s="10">
        <v>10</v>
      </c>
      <c r="J20" s="10">
        <f t="shared" si="5"/>
        <v>0.98967000000000005</v>
      </c>
      <c r="K20" s="10">
        <f t="shared" si="6"/>
        <v>0.44989807482432875</v>
      </c>
      <c r="L20" s="10">
        <f t="shared" si="7"/>
        <v>0.97193909673424661</v>
      </c>
      <c r="M20" s="11">
        <f t="shared" si="11"/>
        <v>1.7117647494148473E-6</v>
      </c>
      <c r="N20" s="11">
        <f t="shared" si="8"/>
        <v>1.7117647494148481E-6</v>
      </c>
      <c r="O20" s="10">
        <f t="shared" si="9"/>
        <v>0.96189896586498191</v>
      </c>
      <c r="R20" s="10">
        <v>5</v>
      </c>
      <c r="S20" s="10">
        <v>-0.5212</v>
      </c>
      <c r="T20" s="10">
        <v>-373.26900000000001</v>
      </c>
      <c r="U20" s="10">
        <v>0.15620000000000001</v>
      </c>
      <c r="V20" s="11">
        <v>8.9249999999999997E-10</v>
      </c>
      <c r="W20" s="11">
        <v>8.4350000000000004E-5</v>
      </c>
      <c r="X20" s="11">
        <v>-1.4009999999999999E-8</v>
      </c>
      <c r="Y20" s="11">
        <v>0</v>
      </c>
      <c r="Z20" s="10">
        <v>-1</v>
      </c>
      <c r="AA20" s="11">
        <v>-3.43E-5</v>
      </c>
      <c r="AB20" s="10">
        <v>20</v>
      </c>
      <c r="AG20" s="10">
        <v>8</v>
      </c>
      <c r="AH20" s="10">
        <v>-0.76649999999999996</v>
      </c>
      <c r="AI20" s="10">
        <v>-338.29500000000002</v>
      </c>
      <c r="AJ20" s="10">
        <v>0.15359999999999999</v>
      </c>
      <c r="AK20" s="11">
        <v>6.2209999999999999E-9</v>
      </c>
      <c r="AL20" s="11">
        <v>2.1029999999999999E-4</v>
      </c>
      <c r="AM20" s="11">
        <v>-1.1249999999999999E-7</v>
      </c>
      <c r="AN20" s="11">
        <v>0</v>
      </c>
      <c r="AO20" s="10">
        <v>-1</v>
      </c>
      <c r="AP20" s="11">
        <v>-1.7799999999999999E-3</v>
      </c>
      <c r="AQ20" s="10">
        <v>20</v>
      </c>
    </row>
    <row r="21" spans="1:43">
      <c r="A21" s="10">
        <v>11</v>
      </c>
      <c r="B21" s="10">
        <f t="shared" si="0"/>
        <v>1.0886370000000001</v>
      </c>
      <c r="C21" s="10">
        <f t="shared" si="1"/>
        <v>0.49805179245896203</v>
      </c>
      <c r="D21" s="10">
        <f t="shared" si="2"/>
        <v>0.97085803038771223</v>
      </c>
      <c r="E21" s="10">
        <f t="shared" si="3"/>
        <v>1.3273356481166839E-5</v>
      </c>
      <c r="F21" s="10">
        <f t="shared" si="4"/>
        <v>1.3273356481166875E-5</v>
      </c>
      <c r="G21" s="10">
        <f t="shared" si="10"/>
        <v>1.0569119736271879</v>
      </c>
      <c r="I21" s="10">
        <v>11</v>
      </c>
      <c r="J21" s="10">
        <f t="shared" si="5"/>
        <v>1.0886370000000001</v>
      </c>
      <c r="K21" s="10">
        <f t="shared" si="6"/>
        <v>0.44856814213825225</v>
      </c>
      <c r="L21" s="10">
        <f t="shared" si="7"/>
        <v>0.96824483927292304</v>
      </c>
      <c r="M21" s="11">
        <f t="shared" si="11"/>
        <v>1.5857882976270652E-6</v>
      </c>
      <c r="N21" s="11">
        <f t="shared" si="8"/>
        <v>1.5857882976270574E-6</v>
      </c>
      <c r="O21" s="10">
        <f t="shared" si="9"/>
        <v>1.0540671570915572</v>
      </c>
      <c r="R21" s="10">
        <v>6</v>
      </c>
      <c r="S21" s="10">
        <v>-0.64500000000000002</v>
      </c>
      <c r="T21" s="10">
        <v>-375.358</v>
      </c>
      <c r="U21" s="10">
        <v>0.156</v>
      </c>
      <c r="V21" s="11">
        <v>8.707E-10</v>
      </c>
      <c r="W21" s="11">
        <v>8.352E-5</v>
      </c>
      <c r="X21" s="11">
        <v>-1.7479999999999998E-8</v>
      </c>
      <c r="Y21" s="11">
        <v>0</v>
      </c>
      <c r="Z21" s="10">
        <v>-1</v>
      </c>
      <c r="AA21" s="11">
        <v>-4.2700000000000001E-5</v>
      </c>
      <c r="AB21" s="10">
        <v>20</v>
      </c>
      <c r="AG21" s="10">
        <v>9</v>
      </c>
      <c r="AH21" s="10">
        <v>-0.8669</v>
      </c>
      <c r="AI21" s="10">
        <v>-340.15199999999999</v>
      </c>
      <c r="AJ21" s="10">
        <v>0.1532</v>
      </c>
      <c r="AK21" s="11">
        <v>6.0950000000000001E-9</v>
      </c>
      <c r="AL21" s="11">
        <v>2.0819999999999999E-4</v>
      </c>
      <c r="AM21" s="11">
        <v>-1.2709999999999999E-7</v>
      </c>
      <c r="AN21" s="11">
        <v>0</v>
      </c>
      <c r="AO21" s="10">
        <v>-1</v>
      </c>
      <c r="AP21" s="11">
        <v>-2.0200000000000001E-3</v>
      </c>
      <c r="AQ21" s="10">
        <v>20</v>
      </c>
    </row>
    <row r="22" spans="1:43">
      <c r="A22" s="10">
        <v>13</v>
      </c>
      <c r="B22" s="10">
        <f t="shared" si="0"/>
        <v>1.2865709999999999</v>
      </c>
      <c r="C22" s="10">
        <f t="shared" si="1"/>
        <v>0.49528458571586997</v>
      </c>
      <c r="D22" s="10">
        <f t="shared" si="2"/>
        <v>0.96410874564846338</v>
      </c>
      <c r="E22" s="10">
        <f t="shared" si="3"/>
        <v>1.1498953319535626E-5</v>
      </c>
      <c r="F22" s="10">
        <f t="shared" si="4"/>
        <v>1.1498953319535591E-5</v>
      </c>
      <c r="G22" s="10">
        <f t="shared" si="10"/>
        <v>1.2403943529976891</v>
      </c>
      <c r="I22" s="10">
        <v>13</v>
      </c>
      <c r="J22" s="10">
        <f t="shared" si="5"/>
        <v>1.2865709999999999</v>
      </c>
      <c r="K22" s="10">
        <f t="shared" si="6"/>
        <v>0.44584026416335676</v>
      </c>
      <c r="L22" s="10">
        <f t="shared" si="7"/>
        <v>0.96066740045376886</v>
      </c>
      <c r="M22" s="11">
        <f t="shared" si="11"/>
        <v>1.371343043612443E-6</v>
      </c>
      <c r="N22" s="11">
        <f t="shared" si="8"/>
        <v>1.3713430436124468E-6</v>
      </c>
      <c r="O22" s="10">
        <f t="shared" si="9"/>
        <v>1.2359668180692058</v>
      </c>
      <c r="R22" s="10">
        <v>7</v>
      </c>
      <c r="S22" s="10">
        <v>-0.76629999999999998</v>
      </c>
      <c r="T22" s="10">
        <v>-377.95800000000003</v>
      </c>
      <c r="U22" s="10">
        <v>0.15570000000000001</v>
      </c>
      <c r="V22" s="11">
        <v>8.4359999999999996E-10</v>
      </c>
      <c r="W22" s="11">
        <v>8.2470000000000002E-5</v>
      </c>
      <c r="X22" s="11">
        <v>-2.096E-8</v>
      </c>
      <c r="Y22" s="11">
        <v>0</v>
      </c>
      <c r="Z22" s="10">
        <v>-1</v>
      </c>
      <c r="AA22" s="11">
        <v>-5.1199999999999998E-5</v>
      </c>
      <c r="AB22" s="10">
        <v>20</v>
      </c>
      <c r="AG22" s="10">
        <v>10</v>
      </c>
      <c r="AH22" s="10">
        <v>-0.96509999999999996</v>
      </c>
      <c r="AI22" s="10">
        <v>-342.245</v>
      </c>
      <c r="AJ22" s="10">
        <v>0.15279999999999999</v>
      </c>
      <c r="AK22" s="11">
        <v>5.9539999999999999E-9</v>
      </c>
      <c r="AL22" s="11">
        <v>2.0589999999999999E-4</v>
      </c>
      <c r="AM22" s="11">
        <v>-1.4140000000000001E-7</v>
      </c>
      <c r="AN22" s="11">
        <v>0</v>
      </c>
      <c r="AO22" s="10">
        <v>-1</v>
      </c>
      <c r="AP22" s="11">
        <v>-2.2399999999999998E-3</v>
      </c>
      <c r="AQ22" s="10">
        <v>20</v>
      </c>
    </row>
    <row r="23" spans="1:43">
      <c r="A23" s="10">
        <v>15</v>
      </c>
      <c r="B23" s="10">
        <f t="shared" si="0"/>
        <v>1.484505</v>
      </c>
      <c r="C23" s="10">
        <f t="shared" si="1"/>
        <v>0.4924623871764322</v>
      </c>
      <c r="D23" s="10">
        <f t="shared" si="2"/>
        <v>0.95722533457666392</v>
      </c>
      <c r="E23" s="10">
        <f t="shared" si="3"/>
        <v>1.005183075915122E-5</v>
      </c>
      <c r="F23" s="10">
        <f t="shared" si="4"/>
        <v>1.0051830759151203E-5</v>
      </c>
      <c r="G23" s="10">
        <f t="shared" si="10"/>
        <v>1.4210057953057305</v>
      </c>
      <c r="I23" s="10">
        <v>15</v>
      </c>
      <c r="J23" s="10">
        <f t="shared" si="5"/>
        <v>1.484505</v>
      </c>
      <c r="K23" s="10">
        <f t="shared" si="6"/>
        <v>0.44304681535482682</v>
      </c>
      <c r="L23" s="10">
        <f t="shared" si="7"/>
        <v>0.9529078204300746</v>
      </c>
      <c r="M23" s="11">
        <f t="shared" si="11"/>
        <v>1.1959078432293554E-6</v>
      </c>
      <c r="N23" s="11">
        <f t="shared" si="8"/>
        <v>1.195907843229352E-6</v>
      </c>
      <c r="O23" s="10">
        <f t="shared" si="9"/>
        <v>1.4145964239675479</v>
      </c>
      <c r="R23" s="10">
        <v>8</v>
      </c>
      <c r="S23" s="10">
        <v>-0.88490000000000002</v>
      </c>
      <c r="T23" s="10">
        <v>-381.09899999999999</v>
      </c>
      <c r="U23" s="10">
        <v>0.1555</v>
      </c>
      <c r="V23" s="11">
        <v>8.1089999999999996E-10</v>
      </c>
      <c r="W23" s="11">
        <v>8.1210000000000003E-5</v>
      </c>
      <c r="X23" s="11">
        <v>-2.4480000000000001E-8</v>
      </c>
      <c r="Y23" s="11">
        <v>0</v>
      </c>
      <c r="Z23" s="10">
        <v>-1</v>
      </c>
      <c r="AA23" s="11">
        <v>-5.9799999999999997E-5</v>
      </c>
      <c r="AB23" s="10">
        <v>20</v>
      </c>
      <c r="AG23" s="10">
        <v>11</v>
      </c>
      <c r="AH23" s="10">
        <v>-1.0609999999999999</v>
      </c>
      <c r="AI23" s="10">
        <v>-344.57499999999999</v>
      </c>
      <c r="AJ23" s="10">
        <v>0.15229999999999999</v>
      </c>
      <c r="AK23" s="11">
        <v>5.7960000000000003E-9</v>
      </c>
      <c r="AL23" s="11">
        <v>2.0330000000000001E-4</v>
      </c>
      <c r="AM23" s="11">
        <v>-1.554E-7</v>
      </c>
      <c r="AN23" s="11">
        <v>0</v>
      </c>
      <c r="AO23" s="10">
        <v>-1</v>
      </c>
      <c r="AP23" s="11">
        <v>-2.4599999999999999E-3</v>
      </c>
      <c r="AQ23" s="10">
        <v>20</v>
      </c>
    </row>
    <row r="24" spans="1:43">
      <c r="A24" s="10">
        <v>17</v>
      </c>
      <c r="B24" s="10">
        <f t="shared" si="0"/>
        <v>1.682439</v>
      </c>
      <c r="C24" s="10">
        <f t="shared" si="1"/>
        <v>0.48960712950637453</v>
      </c>
      <c r="D24" s="10">
        <f t="shared" si="2"/>
        <v>0.95026129147896221</v>
      </c>
      <c r="E24" s="10">
        <f t="shared" si="3"/>
        <v>8.8519109947222537E-6</v>
      </c>
      <c r="F24" s="10">
        <f t="shared" si="4"/>
        <v>8.8519109947222199E-6</v>
      </c>
      <c r="G24" s="10">
        <f t="shared" si="10"/>
        <v>1.5987566569745737</v>
      </c>
      <c r="I24" s="10">
        <v>17</v>
      </c>
      <c r="J24" s="10">
        <f t="shared" si="5"/>
        <v>1.682439</v>
      </c>
      <c r="K24" s="10">
        <f t="shared" si="6"/>
        <v>0.44021205731274193</v>
      </c>
      <c r="L24" s="10">
        <f t="shared" si="7"/>
        <v>0.94503349253539437</v>
      </c>
      <c r="M24" s="11">
        <f t="shared" si="11"/>
        <v>1.050187038622686E-6</v>
      </c>
      <c r="N24" s="11">
        <f t="shared" si="8"/>
        <v>1.0501870386226809E-6</v>
      </c>
      <c r="O24" s="10">
        <f t="shared" si="9"/>
        <v>1.5899612041477564</v>
      </c>
      <c r="R24" s="10">
        <v>9</v>
      </c>
      <c r="S24" s="10">
        <v>-1.0009999999999999</v>
      </c>
      <c r="T24" s="10">
        <v>-384.83499999999998</v>
      </c>
      <c r="U24" s="10">
        <v>0.15509999999999999</v>
      </c>
      <c r="V24" s="11">
        <v>7.7200000000000002E-10</v>
      </c>
      <c r="W24" s="11">
        <v>7.9709999999999994E-5</v>
      </c>
      <c r="X24" s="11">
        <v>-2.805E-8</v>
      </c>
      <c r="Y24" s="11">
        <v>0</v>
      </c>
      <c r="Z24" s="10">
        <v>-1</v>
      </c>
      <c r="AA24" s="11">
        <v>-6.86E-5</v>
      </c>
      <c r="AB24" s="10">
        <v>20</v>
      </c>
      <c r="AG24" s="10">
        <v>12</v>
      </c>
      <c r="AH24" s="10">
        <v>-1.1547000000000001</v>
      </c>
      <c r="AI24" s="10">
        <v>-347.14400000000001</v>
      </c>
      <c r="AJ24" s="10">
        <v>0.15179999999999999</v>
      </c>
      <c r="AK24" s="11">
        <v>5.6219999999999998E-9</v>
      </c>
      <c r="AL24" s="11">
        <v>2.0049999999999999E-4</v>
      </c>
      <c r="AM24" s="11">
        <v>-1.6899999999999999E-7</v>
      </c>
      <c r="AN24" s="11">
        <v>0</v>
      </c>
      <c r="AO24" s="10">
        <v>-1</v>
      </c>
      <c r="AP24" s="11">
        <v>-2.6800000000000001E-3</v>
      </c>
      <c r="AQ24" s="10">
        <v>20</v>
      </c>
    </row>
    <row r="25" spans="1:43">
      <c r="A25" s="10">
        <v>19</v>
      </c>
      <c r="B25" s="10">
        <f t="shared" si="0"/>
        <v>1.8803730000000001</v>
      </c>
      <c r="C25" s="10">
        <f t="shared" si="1"/>
        <v>0.48673595818208393</v>
      </c>
      <c r="D25" s="10">
        <f t="shared" si="2"/>
        <v>0.94325843459044856</v>
      </c>
      <c r="E25" s="10">
        <f t="shared" si="3"/>
        <v>7.8440201113929127E-6</v>
      </c>
      <c r="F25" s="10">
        <f t="shared" si="4"/>
        <v>7.8440201113928992E-6</v>
      </c>
      <c r="G25" s="10">
        <f t="shared" si="10"/>
        <v>1.7736776924261457</v>
      </c>
      <c r="I25" s="10">
        <v>19</v>
      </c>
      <c r="J25" s="10">
        <f t="shared" si="5"/>
        <v>1.8803730000000001</v>
      </c>
      <c r="K25" s="10">
        <f t="shared" si="6"/>
        <v>0.43735514033699863</v>
      </c>
      <c r="L25" s="10">
        <f t="shared" si="7"/>
        <v>0.93709761204721853</v>
      </c>
      <c r="M25" s="11">
        <f t="shared" si="11"/>
        <v>9.2770015389033841E-7</v>
      </c>
      <c r="N25" s="11">
        <f t="shared" si="8"/>
        <v>9.2770015389033703E-7</v>
      </c>
      <c r="O25" s="10">
        <f t="shared" si="9"/>
        <v>1.7620930480580645</v>
      </c>
      <c r="R25" s="10">
        <v>10</v>
      </c>
      <c r="S25" s="10">
        <v>-1.1145</v>
      </c>
      <c r="T25" s="10">
        <v>-389.17099999999999</v>
      </c>
      <c r="U25" s="10">
        <v>0.15479999999999999</v>
      </c>
      <c r="V25" s="11">
        <v>7.5140000000000001E-10</v>
      </c>
      <c r="W25" s="11">
        <v>7.8640000000000006E-5</v>
      </c>
      <c r="X25" s="11">
        <v>-3.114E-8</v>
      </c>
      <c r="Y25" s="11">
        <v>0</v>
      </c>
      <c r="Z25" s="10">
        <v>-1</v>
      </c>
      <c r="AA25" s="11">
        <v>-7.6100000000000007E-5</v>
      </c>
      <c r="AB25" s="10">
        <v>20</v>
      </c>
      <c r="AG25" s="10">
        <v>13</v>
      </c>
      <c r="AH25" s="10">
        <v>-1.2461</v>
      </c>
      <c r="AI25" s="10">
        <v>-349.959</v>
      </c>
      <c r="AJ25" s="10">
        <v>0.15129999999999999</v>
      </c>
      <c r="AK25" s="11">
        <v>5.431E-9</v>
      </c>
      <c r="AL25" s="11">
        <v>1.973E-4</v>
      </c>
      <c r="AM25" s="11">
        <v>-1.822E-7</v>
      </c>
      <c r="AN25" s="11">
        <v>0</v>
      </c>
      <c r="AO25" s="10">
        <v>-1</v>
      </c>
      <c r="AP25" s="11">
        <v>-2.8900000000000002E-3</v>
      </c>
      <c r="AQ25" s="10">
        <v>20</v>
      </c>
    </row>
    <row r="26" spans="1:43">
      <c r="A26" s="10">
        <v>21</v>
      </c>
      <c r="B26" s="10">
        <f t="shared" si="0"/>
        <v>2.0783070000000001</v>
      </c>
      <c r="C26" s="10">
        <f t="shared" si="1"/>
        <v>0.48386242481716157</v>
      </c>
      <c r="D26" s="10">
        <f t="shared" si="2"/>
        <v>0.93624981662722329</v>
      </c>
      <c r="E26" s="10">
        <f t="shared" si="3"/>
        <v>6.9885238679930593E-6</v>
      </c>
      <c r="F26" s="10">
        <f t="shared" si="4"/>
        <v>6.9885238679930584E-6</v>
      </c>
      <c r="G26" s="10">
        <f t="shared" si="10"/>
        <v>1.9458145476450746</v>
      </c>
      <c r="I26" s="10">
        <v>21</v>
      </c>
      <c r="J26" s="10">
        <f t="shared" si="5"/>
        <v>2.0783070000000001</v>
      </c>
      <c r="K26" s="10">
        <f t="shared" si="6"/>
        <v>0.43449131942607977</v>
      </c>
      <c r="L26" s="10">
        <f t="shared" si="7"/>
        <v>0.92914255396133283</v>
      </c>
      <c r="M26" s="11">
        <f t="shared" si="11"/>
        <v>8.2374448493215876E-7</v>
      </c>
      <c r="N26" s="11">
        <f t="shared" si="8"/>
        <v>8.2374448493215865E-7</v>
      </c>
      <c r="O26" s="10">
        <f t="shared" si="9"/>
        <v>1.9310434738957158</v>
      </c>
      <c r="R26" s="10">
        <v>11</v>
      </c>
      <c r="S26" s="10">
        <v>-1.2254</v>
      </c>
      <c r="T26" s="10">
        <v>-393.90699999999998</v>
      </c>
      <c r="U26" s="10">
        <v>0.1545</v>
      </c>
      <c r="V26" s="11">
        <v>7.3269999999999996E-10</v>
      </c>
      <c r="W26" s="11">
        <v>7.7559999999999996E-5</v>
      </c>
      <c r="X26" s="11">
        <v>-3.3689999999999999E-8</v>
      </c>
      <c r="Y26" s="11">
        <v>0</v>
      </c>
      <c r="Z26" s="10">
        <v>-1</v>
      </c>
      <c r="AA26" s="11">
        <v>-8.2299999999999995E-5</v>
      </c>
      <c r="AB26" s="10">
        <v>20</v>
      </c>
      <c r="AG26" s="10">
        <v>14</v>
      </c>
      <c r="AH26" s="10">
        <v>-1.3351999999999999</v>
      </c>
      <c r="AI26" s="10">
        <v>-353.03</v>
      </c>
      <c r="AJ26" s="10">
        <v>0.1507</v>
      </c>
      <c r="AK26" s="11">
        <v>5.2240000000000002E-9</v>
      </c>
      <c r="AL26" s="11">
        <v>1.939E-4</v>
      </c>
      <c r="AM26" s="11">
        <v>-1.952E-7</v>
      </c>
      <c r="AN26" s="11">
        <v>0</v>
      </c>
      <c r="AO26" s="10">
        <v>-1</v>
      </c>
      <c r="AP26" s="11">
        <v>-3.0999999999999999E-3</v>
      </c>
      <c r="AQ26" s="10">
        <v>20</v>
      </c>
    </row>
    <row r="27" spans="1:43">
      <c r="A27" s="10">
        <v>23</v>
      </c>
      <c r="B27" s="10">
        <f t="shared" si="0"/>
        <v>2.2762410000000002</v>
      </c>
      <c r="C27" s="10">
        <f t="shared" si="1"/>
        <v>0.48099730464200208</v>
      </c>
      <c r="D27" s="10">
        <f t="shared" si="2"/>
        <v>0.9292617186390294</v>
      </c>
      <c r="E27" s="10">
        <f t="shared" si="3"/>
        <v>6.2560274529019935E-6</v>
      </c>
      <c r="F27" s="10">
        <f t="shared" si="4"/>
        <v>6.2560274529019935E-6</v>
      </c>
      <c r="G27" s="10">
        <f t="shared" si="10"/>
        <v>2.1152236236966231</v>
      </c>
      <c r="I27" s="10">
        <v>23</v>
      </c>
      <c r="J27" s="10">
        <f t="shared" si="5"/>
        <v>2.2762410000000002</v>
      </c>
      <c r="K27" s="10">
        <f t="shared" si="6"/>
        <v>0.43163280117281866</v>
      </c>
      <c r="L27" s="10">
        <f t="shared" si="7"/>
        <v>0.92120222548005193</v>
      </c>
      <c r="M27" s="11">
        <f t="shared" si="11"/>
        <v>7.3480184824110303E-7</v>
      </c>
      <c r="N27" s="11">
        <f t="shared" si="8"/>
        <v>7.348018482411025E-7</v>
      </c>
      <c r="O27" s="10">
        <f t="shared" si="9"/>
        <v>2.096878274928939</v>
      </c>
      <c r="R27" s="10">
        <v>12</v>
      </c>
      <c r="S27" s="10">
        <v>-1.3335999999999999</v>
      </c>
      <c r="T27" s="10">
        <v>-399.03899999999999</v>
      </c>
      <c r="U27" s="10">
        <v>0.15409999999999999</v>
      </c>
      <c r="V27" s="11">
        <v>7.1240000000000004E-10</v>
      </c>
      <c r="W27" s="11">
        <v>7.64E-5</v>
      </c>
      <c r="X27" s="11">
        <v>-3.6190000000000002E-8</v>
      </c>
      <c r="Y27" s="11">
        <v>0</v>
      </c>
      <c r="Z27" s="10">
        <v>-1</v>
      </c>
      <c r="AA27" s="11">
        <v>-8.8499999999999996E-5</v>
      </c>
      <c r="AB27" s="10">
        <v>20</v>
      </c>
      <c r="AG27" s="10">
        <v>15</v>
      </c>
      <c r="AH27" s="10">
        <v>-1.4220999999999999</v>
      </c>
      <c r="AI27" s="10">
        <v>-356.37299999999999</v>
      </c>
      <c r="AJ27" s="10">
        <v>0.15</v>
      </c>
      <c r="AK27" s="11">
        <v>4.997E-9</v>
      </c>
      <c r="AL27" s="11">
        <v>1.9019999999999999E-4</v>
      </c>
      <c r="AM27" s="11">
        <v>-2.0800000000000001E-7</v>
      </c>
      <c r="AN27" s="11">
        <v>0</v>
      </c>
      <c r="AO27" s="10">
        <v>-1</v>
      </c>
      <c r="AP27" s="11">
        <v>-3.3E-3</v>
      </c>
      <c r="AQ27" s="10">
        <v>20</v>
      </c>
    </row>
    <row r="28" spans="1:43">
      <c r="A28" s="10">
        <v>25</v>
      </c>
      <c r="B28" s="10">
        <f t="shared" si="0"/>
        <v>2.4741749999999998</v>
      </c>
      <c r="C28" s="10">
        <f t="shared" si="1"/>
        <v>0.47814918438573906</v>
      </c>
      <c r="D28" s="10">
        <f t="shared" si="2"/>
        <v>0.92231508386765626</v>
      </c>
      <c r="E28" s="10">
        <f t="shared" si="3"/>
        <v>5.6241752426680007E-6</v>
      </c>
      <c r="F28" s="10">
        <f t="shared" si="4"/>
        <v>5.6241752426679965E-6</v>
      </c>
      <c r="G28" s="10">
        <f t="shared" si="10"/>
        <v>2.2819689226282582</v>
      </c>
      <c r="I28" s="10">
        <v>25</v>
      </c>
      <c r="J28" s="10">
        <f t="shared" si="5"/>
        <v>2.4741749999999998</v>
      </c>
      <c r="K28" s="10">
        <f t="shared" si="6"/>
        <v>0.42878936290803571</v>
      </c>
      <c r="L28" s="10">
        <f t="shared" si="7"/>
        <v>0.91330378585565486</v>
      </c>
      <c r="M28" s="11">
        <f t="shared" si="11"/>
        <v>6.5817678615644071E-7</v>
      </c>
      <c r="N28" s="11">
        <f t="shared" si="8"/>
        <v>6.5817678615644018E-7</v>
      </c>
      <c r="O28" s="10">
        <f t="shared" si="9"/>
        <v>2.2596733943694147</v>
      </c>
      <c r="R28" s="10">
        <v>13</v>
      </c>
      <c r="S28" s="10">
        <v>-1.4393</v>
      </c>
      <c r="T28" s="10">
        <v>-404.57600000000002</v>
      </c>
      <c r="U28" s="10">
        <v>0.15379999999999999</v>
      </c>
      <c r="V28" s="11">
        <v>6.9040000000000001E-10</v>
      </c>
      <c r="W28" s="11">
        <v>7.5140000000000002E-5</v>
      </c>
      <c r="X28" s="11">
        <v>-3.8640000000000001E-8</v>
      </c>
      <c r="Y28" s="11">
        <v>0</v>
      </c>
      <c r="Z28" s="10">
        <v>-1</v>
      </c>
      <c r="AA28" s="11">
        <v>-9.4400000000000004E-5</v>
      </c>
      <c r="AB28" s="10">
        <v>20</v>
      </c>
      <c r="AG28" s="10">
        <v>16</v>
      </c>
      <c r="AH28" s="10">
        <v>-1.5066999999999999</v>
      </c>
      <c r="AI28" s="10">
        <v>-360.01</v>
      </c>
      <c r="AJ28" s="10">
        <v>0.14929999999999999</v>
      </c>
      <c r="AK28" s="11">
        <v>4.7509999999999998E-9</v>
      </c>
      <c r="AL28" s="11">
        <v>1.862E-4</v>
      </c>
      <c r="AM28" s="11">
        <v>-2.205E-7</v>
      </c>
      <c r="AN28" s="11">
        <v>0</v>
      </c>
      <c r="AO28" s="10">
        <v>-1</v>
      </c>
      <c r="AP28" s="11">
        <v>-3.5000000000000001E-3</v>
      </c>
      <c r="AQ28" s="10">
        <v>20</v>
      </c>
    </row>
    <row r="29" spans="1:43">
      <c r="A29" s="10">
        <v>27</v>
      </c>
      <c r="B29" s="10">
        <f t="shared" si="0"/>
        <v>2.6721089999999998</v>
      </c>
      <c r="C29" s="10">
        <f t="shared" si="1"/>
        <v>0.47532490062850297</v>
      </c>
      <c r="D29" s="10">
        <f t="shared" si="2"/>
        <v>0.91542658689878775</v>
      </c>
      <c r="E29" s="10">
        <f t="shared" si="3"/>
        <v>5.0756171270268206E-6</v>
      </c>
      <c r="F29" s="10">
        <f t="shared" si="4"/>
        <v>5.075617127026807E-6</v>
      </c>
      <c r="G29" s="10">
        <f t="shared" si="10"/>
        <v>2.4461196216915329</v>
      </c>
      <c r="I29" s="10">
        <v>27</v>
      </c>
      <c r="J29" s="10">
        <f t="shared" si="5"/>
        <v>2.6721089999999998</v>
      </c>
      <c r="K29" s="10">
        <f t="shared" si="6"/>
        <v>0.42596882164603322</v>
      </c>
      <c r="L29" s="10">
        <f t="shared" si="7"/>
        <v>0.90546894901675901</v>
      </c>
      <c r="M29" s="11">
        <f t="shared" si="11"/>
        <v>5.9176440753475334E-7</v>
      </c>
      <c r="N29" s="11">
        <f t="shared" si="8"/>
        <v>5.9176440753475143E-7</v>
      </c>
      <c r="O29" s="10">
        <f t="shared" si="9"/>
        <v>2.4195117278882226</v>
      </c>
      <c r="R29" s="10">
        <v>14</v>
      </c>
      <c r="S29" s="10">
        <v>-1.5425</v>
      </c>
      <c r="T29" s="10">
        <v>-410.529</v>
      </c>
      <c r="U29" s="10">
        <v>0.15340000000000001</v>
      </c>
      <c r="V29" s="11">
        <v>6.6680000000000001E-10</v>
      </c>
      <c r="W29" s="11">
        <v>7.3789999999999997E-5</v>
      </c>
      <c r="X29" s="11">
        <v>-4.1040000000000002E-8</v>
      </c>
      <c r="Y29" s="11">
        <v>0</v>
      </c>
      <c r="Z29" s="10">
        <v>-1</v>
      </c>
      <c r="AA29" s="11">
        <v>-1E-4</v>
      </c>
      <c r="AB29" s="10">
        <v>20</v>
      </c>
      <c r="AG29" s="10">
        <v>17</v>
      </c>
      <c r="AH29" s="10">
        <v>-1.589</v>
      </c>
      <c r="AI29" s="10">
        <v>-363.97199999999998</v>
      </c>
      <c r="AJ29" s="10">
        <v>0.14849999999999999</v>
      </c>
      <c r="AK29" s="11">
        <v>4.4830000000000003E-9</v>
      </c>
      <c r="AL29" s="11">
        <v>1.818E-4</v>
      </c>
      <c r="AM29" s="11">
        <v>-2.3279999999999999E-7</v>
      </c>
      <c r="AN29" s="11">
        <v>0</v>
      </c>
      <c r="AO29" s="10">
        <v>-1</v>
      </c>
      <c r="AP29" s="11">
        <v>-3.6900000000000001E-3</v>
      </c>
      <c r="AQ29" s="10">
        <v>20</v>
      </c>
    </row>
    <row r="30" spans="1:43">
      <c r="A30" s="10">
        <v>30</v>
      </c>
      <c r="B30" s="10">
        <f t="shared" si="0"/>
        <v>2.9690099999999999</v>
      </c>
      <c r="C30" s="10">
        <f t="shared" si="1"/>
        <v>0.47114470883212189</v>
      </c>
      <c r="D30" s="10">
        <f t="shared" si="2"/>
        <v>0.90523099715151678</v>
      </c>
      <c r="E30" s="10">
        <f t="shared" si="3"/>
        <v>4.3797731712997922E-6</v>
      </c>
      <c r="F30" s="10">
        <f t="shared" si="4"/>
        <v>4.3797731712997846E-6</v>
      </c>
      <c r="G30" s="10">
        <f t="shared" si="10"/>
        <v>2.687639882852825</v>
      </c>
      <c r="I30" s="10">
        <v>30</v>
      </c>
      <c r="J30" s="10">
        <f t="shared" si="5"/>
        <v>2.9690099999999999</v>
      </c>
      <c r="K30" s="10">
        <f t="shared" si="6"/>
        <v>0.42179418647535227</v>
      </c>
      <c r="L30" s="10">
        <f t="shared" si="7"/>
        <v>0.89387274020931196</v>
      </c>
      <c r="M30" s="11">
        <f t="shared" si="11"/>
        <v>5.0773440728002317E-7</v>
      </c>
      <c r="N30" s="11">
        <f t="shared" si="8"/>
        <v>5.0773440728002317E-7</v>
      </c>
      <c r="O30" s="10">
        <f t="shared" si="9"/>
        <v>2.6539171044088494</v>
      </c>
      <c r="R30" s="10">
        <v>15</v>
      </c>
      <c r="S30" s="10">
        <v>-1.643</v>
      </c>
      <c r="T30" s="10">
        <v>-416.91899999999998</v>
      </c>
      <c r="U30" s="10">
        <v>0.15290000000000001</v>
      </c>
      <c r="V30" s="11">
        <v>6.4150000000000001E-10</v>
      </c>
      <c r="W30" s="11">
        <v>7.2340000000000002E-5</v>
      </c>
      <c r="X30" s="11">
        <v>-4.3380000000000002E-8</v>
      </c>
      <c r="Y30" s="11">
        <v>0</v>
      </c>
      <c r="Z30" s="10">
        <v>-1</v>
      </c>
      <c r="AA30" s="11">
        <v>-1.06E-4</v>
      </c>
      <c r="AB30" s="10">
        <v>20</v>
      </c>
      <c r="AG30" s="10">
        <v>18</v>
      </c>
      <c r="AH30" s="10">
        <v>-1.6691</v>
      </c>
      <c r="AI30" s="10">
        <v>-368.30700000000002</v>
      </c>
      <c r="AJ30" s="10">
        <v>0.14760000000000001</v>
      </c>
      <c r="AK30" s="11">
        <v>4.1890000000000003E-9</v>
      </c>
      <c r="AL30" s="11">
        <v>1.7699999999999999E-4</v>
      </c>
      <c r="AM30" s="11">
        <v>-2.4499999999999998E-7</v>
      </c>
      <c r="AN30" s="11">
        <v>0</v>
      </c>
      <c r="AO30" s="10">
        <v>-1</v>
      </c>
      <c r="AP30" s="11">
        <v>-3.8899999999999998E-3</v>
      </c>
      <c r="AQ30" s="10">
        <v>20</v>
      </c>
    </row>
    <row r="31" spans="1:43">
      <c r="A31" s="10">
        <v>40</v>
      </c>
      <c r="B31" s="10">
        <f t="shared" si="0"/>
        <v>3.9586800000000002</v>
      </c>
      <c r="C31" s="10">
        <f t="shared" si="1"/>
        <v>0.45782916054848255</v>
      </c>
      <c r="D31" s="10">
        <f t="shared" si="2"/>
        <v>0.87275405011825014</v>
      </c>
      <c r="E31" s="10">
        <f t="shared" si="3"/>
        <v>2.8068814812923338E-6</v>
      </c>
      <c r="F31" s="10">
        <f t="shared" si="4"/>
        <v>2.8068814812923274E-6</v>
      </c>
      <c r="G31" s="10">
        <f t="shared" si="10"/>
        <v>3.4549540031221144</v>
      </c>
      <c r="I31" s="10">
        <v>40</v>
      </c>
      <c r="J31" s="10">
        <f t="shared" si="5"/>
        <v>3.9586800000000002</v>
      </c>
      <c r="K31" s="10">
        <f t="shared" si="6"/>
        <v>0.40851677495061589</v>
      </c>
      <c r="L31" s="10">
        <f t="shared" si="7"/>
        <v>0.85699104152948868</v>
      </c>
      <c r="M31" s="11">
        <f t="shared" si="11"/>
        <v>3.192612679850971E-7</v>
      </c>
      <c r="N31" s="11">
        <f t="shared" si="8"/>
        <v>3.192612679850971E-7</v>
      </c>
      <c r="O31" s="10">
        <f t="shared" si="9"/>
        <v>3.3925532962819562</v>
      </c>
      <c r="R31" s="10">
        <v>16</v>
      </c>
      <c r="S31" s="10">
        <v>-1.7408999999999999</v>
      </c>
      <c r="T31" s="10">
        <v>-423.77</v>
      </c>
      <c r="U31" s="10">
        <v>0.1525</v>
      </c>
      <c r="V31" s="11">
        <v>6.1439999999999997E-10</v>
      </c>
      <c r="W31" s="11">
        <v>7.0779999999999997E-5</v>
      </c>
      <c r="X31" s="11">
        <v>-4.5680000000000003E-8</v>
      </c>
      <c r="Y31" s="11">
        <v>0</v>
      </c>
      <c r="Z31" s="10">
        <v>-1</v>
      </c>
      <c r="AA31" s="11">
        <v>-1.12E-4</v>
      </c>
      <c r="AB31" s="10">
        <v>20</v>
      </c>
      <c r="AG31" s="10">
        <v>19</v>
      </c>
      <c r="AH31" s="10">
        <v>-1.7470000000000001</v>
      </c>
      <c r="AI31" s="10">
        <v>-373.08300000000003</v>
      </c>
      <c r="AJ31" s="10">
        <v>0.1467</v>
      </c>
      <c r="AK31" s="11">
        <v>3.8659999999999997E-9</v>
      </c>
      <c r="AL31" s="11">
        <v>1.717E-4</v>
      </c>
      <c r="AM31" s="11">
        <v>-2.572E-7</v>
      </c>
      <c r="AN31" s="11">
        <v>0</v>
      </c>
      <c r="AO31" s="10">
        <v>-1</v>
      </c>
      <c r="AP31" s="11">
        <v>-4.0800000000000003E-3</v>
      </c>
      <c r="AQ31" s="10">
        <v>20</v>
      </c>
    </row>
    <row r="32" spans="1:43">
      <c r="A32" s="10">
        <v>50</v>
      </c>
      <c r="B32" s="10">
        <f t="shared" si="0"/>
        <v>4.9483499999999996</v>
      </c>
      <c r="C32" s="10">
        <f t="shared" si="1"/>
        <v>0.44559698022072025</v>
      </c>
      <c r="D32" s="10">
        <f t="shared" si="2"/>
        <v>0.84291946395297623</v>
      </c>
      <c r="E32" s="10">
        <f t="shared" si="3"/>
        <v>1.9030164394340723E-6</v>
      </c>
      <c r="F32" s="10">
        <f t="shared" si="4"/>
        <v>1.9030164394340693E-6</v>
      </c>
      <c r="G32" s="10">
        <f t="shared" si="10"/>
        <v>4.1710605294517098</v>
      </c>
      <c r="I32" s="10">
        <v>50</v>
      </c>
      <c r="J32" s="10">
        <f t="shared" si="5"/>
        <v>4.9483499999999996</v>
      </c>
      <c r="K32" s="10">
        <f t="shared" si="6"/>
        <v>0.39637450887108228</v>
      </c>
      <c r="L32" s="10">
        <f t="shared" si="7"/>
        <v>0.82326252464189531</v>
      </c>
      <c r="M32" s="11">
        <f t="shared" si="11"/>
        <v>2.1256302921382107E-7</v>
      </c>
      <c r="N32" s="11">
        <f t="shared" si="8"/>
        <v>2.1256302921382107E-7</v>
      </c>
      <c r="O32" s="10">
        <f t="shared" si="9"/>
        <v>4.0737911138117227</v>
      </c>
      <c r="R32" s="10">
        <v>17</v>
      </c>
      <c r="S32" s="10">
        <v>-1.8363</v>
      </c>
      <c r="T32" s="10">
        <v>-431.12</v>
      </c>
      <c r="U32" s="10">
        <v>0.152</v>
      </c>
      <c r="V32" s="11">
        <v>5.8530000000000004E-10</v>
      </c>
      <c r="W32" s="11">
        <v>6.9109999999999994E-5</v>
      </c>
      <c r="X32" s="11">
        <v>-4.7939999999999998E-8</v>
      </c>
      <c r="Y32" s="11">
        <v>0</v>
      </c>
      <c r="Z32" s="10">
        <v>-1</v>
      </c>
      <c r="AA32" s="11">
        <v>-1.17E-4</v>
      </c>
      <c r="AB32" s="10">
        <v>20</v>
      </c>
      <c r="AG32" s="10">
        <v>20</v>
      </c>
      <c r="AH32" s="10">
        <v>-1.8225</v>
      </c>
      <c r="AI32" s="10">
        <v>-378.40699999999998</v>
      </c>
      <c r="AJ32" s="10">
        <v>0.1457</v>
      </c>
      <c r="AK32" s="11">
        <v>3.5060000000000001E-9</v>
      </c>
      <c r="AL32" s="11">
        <v>1.6579999999999999E-4</v>
      </c>
      <c r="AM32" s="11">
        <v>-2.6950000000000002E-7</v>
      </c>
      <c r="AN32" s="11">
        <v>0</v>
      </c>
      <c r="AO32" s="10">
        <v>-1</v>
      </c>
      <c r="AP32" s="11">
        <v>-4.2700000000000004E-3</v>
      </c>
      <c r="AQ32" s="10">
        <v>20</v>
      </c>
    </row>
    <row r="33" spans="1:43">
      <c r="A33" s="10">
        <v>60</v>
      </c>
      <c r="B33" s="10">
        <f t="shared" si="0"/>
        <v>5.9380199999999999</v>
      </c>
      <c r="C33" s="10">
        <f t="shared" si="1"/>
        <v>0.43445746096338078</v>
      </c>
      <c r="D33" s="10">
        <f t="shared" si="2"/>
        <v>0.81574990478873366</v>
      </c>
      <c r="E33" s="10">
        <f t="shared" si="3"/>
        <v>1.3470903191954763E-6</v>
      </c>
      <c r="F33" s="10">
        <f t="shared" si="4"/>
        <v>1.3470903191954739E-6</v>
      </c>
      <c r="G33" s="10">
        <f t="shared" si="10"/>
        <v>4.8439392496335962</v>
      </c>
      <c r="I33" s="10">
        <v>60</v>
      </c>
      <c r="J33" s="10">
        <f t="shared" si="5"/>
        <v>5.9380199999999999</v>
      </c>
      <c r="K33" s="10">
        <f t="shared" si="6"/>
        <v>0.38538087237531837</v>
      </c>
      <c r="L33" s="10">
        <f t="shared" si="7"/>
        <v>0.79272464548699562</v>
      </c>
      <c r="M33" s="11">
        <f t="shared" si="11"/>
        <v>1.4796366585859952E-7</v>
      </c>
      <c r="N33" s="11">
        <f t="shared" si="8"/>
        <v>1.4796366585859907E-7</v>
      </c>
      <c r="O33" s="10">
        <f t="shared" si="9"/>
        <v>4.7072147993946896</v>
      </c>
      <c r="R33" s="10">
        <v>18</v>
      </c>
      <c r="S33" s="10">
        <v>-1.929</v>
      </c>
      <c r="T33" s="10">
        <v>-439.01799999999997</v>
      </c>
      <c r="U33" s="10">
        <v>0.1515</v>
      </c>
      <c r="V33" s="11">
        <v>5.5400000000000005E-10</v>
      </c>
      <c r="W33" s="11">
        <v>6.7319999999999999E-5</v>
      </c>
      <c r="X33" s="11">
        <v>-5.0169999999999999E-8</v>
      </c>
      <c r="Y33" s="11">
        <v>0</v>
      </c>
      <c r="Z33" s="10">
        <v>-1</v>
      </c>
      <c r="AA33" s="11">
        <v>-1.2300000000000001E-4</v>
      </c>
      <c r="AB33" s="10">
        <v>20</v>
      </c>
      <c r="AG33" s="10">
        <v>21</v>
      </c>
      <c r="AH33" s="10">
        <v>-1.8957999999999999</v>
      </c>
      <c r="AI33" s="10">
        <v>-384.459</v>
      </c>
      <c r="AJ33" s="10">
        <v>0.14449999999999999</v>
      </c>
      <c r="AK33" s="11">
        <v>3.0960000000000001E-9</v>
      </c>
      <c r="AL33" s="11">
        <v>1.5909999999999999E-4</v>
      </c>
      <c r="AM33" s="11">
        <v>-2.8210000000000002E-7</v>
      </c>
      <c r="AN33" s="11">
        <v>0</v>
      </c>
      <c r="AO33" s="10">
        <v>-1</v>
      </c>
      <c r="AP33" s="11">
        <v>-4.47E-3</v>
      </c>
      <c r="AQ33" s="10">
        <v>20</v>
      </c>
    </row>
    <row r="34" spans="1:43">
      <c r="A34" s="10">
        <v>70</v>
      </c>
      <c r="B34" s="10">
        <f t="shared" si="0"/>
        <v>6.9276900000000001</v>
      </c>
      <c r="C34" s="10">
        <f t="shared" si="1"/>
        <v>0.42433340590017099</v>
      </c>
      <c r="D34" s="10">
        <f t="shared" si="2"/>
        <v>0.7910570875613927</v>
      </c>
      <c r="E34" s="10">
        <f t="shared" si="3"/>
        <v>9.8701986010902317E-7</v>
      </c>
      <c r="F34" s="10">
        <f t="shared" si="4"/>
        <v>9.8701986010901957E-7</v>
      </c>
      <c r="G34" s="10">
        <f t="shared" si="10"/>
        <v>5.4801982749281848</v>
      </c>
      <c r="I34" s="10">
        <v>70</v>
      </c>
      <c r="J34" s="10">
        <f t="shared" si="5"/>
        <v>6.9276900000000001</v>
      </c>
      <c r="K34" s="10">
        <f t="shared" si="6"/>
        <v>0.37545081546347758</v>
      </c>
      <c r="L34" s="10">
        <f t="shared" si="7"/>
        <v>0.76514115406521555</v>
      </c>
      <c r="M34" s="11">
        <f t="shared" si="11"/>
        <v>1.0676202051673678E-7</v>
      </c>
      <c r="N34" s="11">
        <f t="shared" si="8"/>
        <v>1.0676202051673661E-7</v>
      </c>
      <c r="O34" s="10">
        <f t="shared" si="9"/>
        <v>5.3006607216060528</v>
      </c>
      <c r="R34" s="10">
        <v>19</v>
      </c>
      <c r="S34" s="10">
        <v>-2.0192000000000001</v>
      </c>
      <c r="T34" s="10">
        <v>-447.53800000000001</v>
      </c>
      <c r="U34" s="10">
        <v>0.15090000000000001</v>
      </c>
      <c r="V34" s="11">
        <v>5.2020000000000002E-10</v>
      </c>
      <c r="W34" s="11">
        <v>6.5389999999999996E-5</v>
      </c>
      <c r="X34" s="11">
        <v>-5.2369999999999998E-8</v>
      </c>
      <c r="Y34" s="11">
        <v>0</v>
      </c>
      <c r="Z34" s="10">
        <v>-1</v>
      </c>
      <c r="AA34" s="11">
        <v>-1.2799999999999999E-4</v>
      </c>
      <c r="AB34" s="10">
        <v>20</v>
      </c>
      <c r="AG34" s="10">
        <v>22</v>
      </c>
      <c r="AH34" s="10">
        <v>-1.9669000000000001</v>
      </c>
      <c r="AI34" s="10">
        <v>-391.202</v>
      </c>
      <c r="AJ34" s="10">
        <v>0.14349999999999999</v>
      </c>
      <c r="AK34" s="11">
        <v>2.922E-9</v>
      </c>
      <c r="AL34" s="11">
        <v>1.5469999999999999E-4</v>
      </c>
      <c r="AM34" s="11">
        <v>-2.9270000000000002E-7</v>
      </c>
      <c r="AN34" s="11">
        <v>0</v>
      </c>
      <c r="AO34" s="10">
        <v>-1</v>
      </c>
      <c r="AP34" s="11">
        <v>-4.64E-3</v>
      </c>
      <c r="AQ34" s="10">
        <v>20</v>
      </c>
    </row>
    <row r="35" spans="1:43">
      <c r="A35" s="10">
        <v>80</v>
      </c>
      <c r="B35" s="10">
        <f t="shared" si="0"/>
        <v>7.9173600000000004</v>
      </c>
      <c r="C35" s="10">
        <f t="shared" si="1"/>
        <v>0.4151214987646652</v>
      </c>
      <c r="D35" s="10">
        <f t="shared" si="2"/>
        <v>0.76858902137723217</v>
      </c>
      <c r="E35" s="10">
        <f t="shared" si="3"/>
        <v>7.4395805169957126E-7</v>
      </c>
      <c r="F35" s="10">
        <f t="shared" si="4"/>
        <v>7.4395805169956988E-7</v>
      </c>
      <c r="G35" s="10">
        <f t="shared" si="10"/>
        <v>6.0851959742912429</v>
      </c>
      <c r="I35" s="10">
        <v>80</v>
      </c>
      <c r="J35" s="10">
        <f t="shared" si="5"/>
        <v>7.9173600000000004</v>
      </c>
      <c r="K35" s="10">
        <f t="shared" si="6"/>
        <v>0.36647037590901255</v>
      </c>
      <c r="L35" s="10">
        <f t="shared" si="7"/>
        <v>0.74019548863614604</v>
      </c>
      <c r="M35" s="11">
        <f t="shared" si="11"/>
        <v>7.9351586265618311E-8</v>
      </c>
      <c r="N35" s="11">
        <f t="shared" si="8"/>
        <v>7.9351586265618152E-8</v>
      </c>
      <c r="O35" s="10">
        <f t="shared" si="9"/>
        <v>5.8603941539082776</v>
      </c>
      <c r="R35" s="10">
        <v>20</v>
      </c>
      <c r="S35" s="10">
        <v>-2.1067999999999998</v>
      </c>
      <c r="T35" s="10">
        <v>-456.78300000000002</v>
      </c>
      <c r="U35" s="10">
        <v>0.15029999999999999</v>
      </c>
      <c r="V35" s="11">
        <v>4.8359999999999996E-10</v>
      </c>
      <c r="W35" s="11">
        <v>6.3289999999999999E-5</v>
      </c>
      <c r="X35" s="11">
        <v>-5.4569999999999998E-8</v>
      </c>
      <c r="Y35" s="11">
        <v>0</v>
      </c>
      <c r="Z35" s="10">
        <v>-1</v>
      </c>
      <c r="AA35" s="11">
        <v>-1.3300000000000001E-4</v>
      </c>
      <c r="AB35" s="10">
        <v>20</v>
      </c>
      <c r="AG35" s="10">
        <v>23</v>
      </c>
      <c r="AH35" s="10">
        <v>-2.0356000000000001</v>
      </c>
      <c r="AI35" s="10">
        <v>-398.29</v>
      </c>
      <c r="AJ35" s="10">
        <v>0.14269999999999999</v>
      </c>
      <c r="AK35" s="11">
        <v>2.7850000000000002E-9</v>
      </c>
      <c r="AL35" s="11">
        <v>1.507E-4</v>
      </c>
      <c r="AM35" s="11">
        <v>-3.0079999999999999E-7</v>
      </c>
      <c r="AN35" s="11">
        <v>0</v>
      </c>
      <c r="AO35" s="10">
        <v>-1</v>
      </c>
      <c r="AP35" s="11">
        <v>-4.7699999999999999E-3</v>
      </c>
      <c r="AQ35" s="10">
        <v>20</v>
      </c>
    </row>
    <row r="36" spans="1:43">
      <c r="A36" s="10">
        <v>90</v>
      </c>
      <c r="B36" s="10">
        <f t="shared" si="0"/>
        <v>8.9070300000000007</v>
      </c>
      <c r="C36" s="10">
        <f t="shared" si="1"/>
        <v>0.40671696456894812</v>
      </c>
      <c r="D36" s="10">
        <f t="shared" si="2"/>
        <v>0.74809015748523933</v>
      </c>
      <c r="E36" s="10">
        <f t="shared" si="3"/>
        <v>5.7419385022385903E-7</v>
      </c>
      <c r="F36" s="10">
        <f t="shared" si="4"/>
        <v>5.7419385022386019E-7</v>
      </c>
      <c r="G36" s="10">
        <f t="shared" si="10"/>
        <v>6.6632614754257515</v>
      </c>
      <c r="I36" s="10">
        <v>90</v>
      </c>
      <c r="J36" s="10">
        <f t="shared" si="5"/>
        <v>8.9070300000000007</v>
      </c>
      <c r="K36" s="10">
        <f t="shared" si="6"/>
        <v>0.35832476714395844</v>
      </c>
      <c r="L36" s="10">
        <f t="shared" si="7"/>
        <v>0.7175687976221069</v>
      </c>
      <c r="M36" s="11">
        <f t="shared" si="11"/>
        <v>6.0465706081124103E-8</v>
      </c>
      <c r="N36" s="11">
        <f t="shared" si="8"/>
        <v>6.0465706081124103E-8</v>
      </c>
      <c r="O36" s="10">
        <f t="shared" si="9"/>
        <v>6.3914068074840351</v>
      </c>
      <c r="R36" s="10">
        <v>21</v>
      </c>
      <c r="S36" s="10">
        <v>-2.1917</v>
      </c>
      <c r="T36" s="10">
        <v>-466.90600000000001</v>
      </c>
      <c r="U36" s="10">
        <v>0.14960000000000001</v>
      </c>
      <c r="V36" s="11">
        <v>4.4350000000000002E-10</v>
      </c>
      <c r="W36" s="11">
        <v>6.0989999999999997E-5</v>
      </c>
      <c r="X36" s="11">
        <v>-5.6780000000000003E-8</v>
      </c>
      <c r="Y36" s="11">
        <v>0</v>
      </c>
      <c r="Z36" s="10">
        <v>-1</v>
      </c>
      <c r="AA36" s="11">
        <v>-1.3899999999999999E-4</v>
      </c>
      <c r="AB36" s="10">
        <v>20</v>
      </c>
      <c r="AG36" s="10">
        <v>24</v>
      </c>
      <c r="AH36" s="10">
        <v>-2.1021999999999998</v>
      </c>
      <c r="AI36" s="10">
        <v>-405.69499999999999</v>
      </c>
      <c r="AJ36" s="10">
        <v>0.14169999999999999</v>
      </c>
      <c r="AK36" s="11">
        <v>2.6409999999999999E-9</v>
      </c>
      <c r="AL36" s="11">
        <v>1.4650000000000001E-4</v>
      </c>
      <c r="AM36" s="11">
        <v>-3.0839999999999998E-7</v>
      </c>
      <c r="AN36" s="11">
        <v>0</v>
      </c>
      <c r="AO36" s="10">
        <v>-1</v>
      </c>
      <c r="AP36" s="11">
        <v>-4.8900000000000002E-3</v>
      </c>
      <c r="AQ36" s="10">
        <v>20</v>
      </c>
    </row>
    <row r="37" spans="1:43">
      <c r="A37" s="10">
        <v>100</v>
      </c>
      <c r="B37" s="10">
        <f t="shared" si="0"/>
        <v>9.8966999999999992</v>
      </c>
      <c r="C37" s="10">
        <f t="shared" si="1"/>
        <v>0.39902306671186272</v>
      </c>
      <c r="D37" s="10">
        <f t="shared" si="2"/>
        <v>0.72932455295576271</v>
      </c>
      <c r="E37" s="10">
        <f t="shared" si="3"/>
        <v>4.5217537292862626E-7</v>
      </c>
      <c r="F37" s="10">
        <f t="shared" si="4"/>
        <v>4.5217537292862626E-7</v>
      </c>
      <c r="G37" s="10">
        <f t="shared" si="10"/>
        <v>7.2179063032372959</v>
      </c>
      <c r="I37" s="10">
        <v>100</v>
      </c>
      <c r="J37" s="10">
        <f t="shared" si="5"/>
        <v>9.8966999999999992</v>
      </c>
      <c r="K37" s="10">
        <f t="shared" si="6"/>
        <v>0.35090889647333245</v>
      </c>
      <c r="L37" s="10">
        <f t="shared" si="7"/>
        <v>0.69696915687036798</v>
      </c>
      <c r="M37" s="11">
        <f t="shared" si="11"/>
        <v>4.706177567249437E-8</v>
      </c>
      <c r="N37" s="11">
        <f t="shared" si="8"/>
        <v>4.7061775672494244E-8</v>
      </c>
      <c r="O37" s="10">
        <f t="shared" si="9"/>
        <v>6.8976946547989701</v>
      </c>
      <c r="R37" s="10">
        <v>22</v>
      </c>
      <c r="S37" s="10">
        <v>-2.2740999999999998</v>
      </c>
      <c r="T37" s="10">
        <v>-478.15</v>
      </c>
      <c r="U37" s="10">
        <v>0.14879999999999999</v>
      </c>
      <c r="V37" s="11">
        <v>3.9900000000000002E-10</v>
      </c>
      <c r="W37" s="11">
        <v>5.8440000000000003E-5</v>
      </c>
      <c r="X37" s="11">
        <v>-5.903E-8</v>
      </c>
      <c r="Y37" s="11">
        <v>0</v>
      </c>
      <c r="Z37" s="10">
        <v>-1</v>
      </c>
      <c r="AA37" s="11">
        <v>-1.44E-4</v>
      </c>
      <c r="AB37" s="10">
        <v>20</v>
      </c>
      <c r="AG37" s="10">
        <v>25</v>
      </c>
      <c r="AH37" s="10">
        <v>-2.1663999999999999</v>
      </c>
      <c r="AI37" s="10">
        <v>-413.44900000000001</v>
      </c>
      <c r="AJ37" s="10">
        <v>0.14069999999999999</v>
      </c>
      <c r="AK37" s="11">
        <v>2.4910000000000002E-9</v>
      </c>
      <c r="AL37" s="11">
        <v>1.4200000000000001E-4</v>
      </c>
      <c r="AM37" s="11">
        <v>-3.1580000000000001E-7</v>
      </c>
      <c r="AN37" s="11">
        <v>0</v>
      </c>
      <c r="AO37" s="10">
        <v>-1</v>
      </c>
      <c r="AP37" s="11">
        <v>-5.0099999999999997E-3</v>
      </c>
      <c r="AQ37" s="10">
        <v>20</v>
      </c>
    </row>
    <row r="38" spans="1:43">
      <c r="A38" s="10">
        <v>110</v>
      </c>
      <c r="B38" s="10">
        <f t="shared" si="0"/>
        <v>10.886369999999999</v>
      </c>
      <c r="C38" s="10">
        <f t="shared" si="1"/>
        <v>0.39195406501335461</v>
      </c>
      <c r="D38" s="10">
        <f t="shared" si="2"/>
        <v>0.71208308539842591</v>
      </c>
      <c r="E38" s="10">
        <f t="shared" si="3"/>
        <v>3.6230019781622803E-7</v>
      </c>
      <c r="F38" s="10">
        <f t="shared" si="4"/>
        <v>3.6230019781622798E-7</v>
      </c>
      <c r="G38" s="10">
        <f t="shared" si="10"/>
        <v>7.7519999383888614</v>
      </c>
      <c r="I38" s="10">
        <v>150</v>
      </c>
      <c r="J38" s="10">
        <f t="shared" si="5"/>
        <v>14.845050000000001</v>
      </c>
      <c r="K38" s="10">
        <f t="shared" si="6"/>
        <v>0.32196150455220118</v>
      </c>
      <c r="L38" s="10">
        <f t="shared" si="7"/>
        <v>0.61655973486722548</v>
      </c>
      <c r="M38" s="11">
        <f t="shared" si="11"/>
        <v>1.6949814015874876E-8</v>
      </c>
      <c r="N38" s="11">
        <f t="shared" si="8"/>
        <v>1.6949814015874876E-8</v>
      </c>
      <c r="O38" s="10">
        <f t="shared" si="9"/>
        <v>9.1528600920907053</v>
      </c>
      <c r="R38" s="10">
        <v>23</v>
      </c>
      <c r="S38" s="10">
        <v>-2.3540000000000001</v>
      </c>
      <c r="T38" s="10">
        <v>-490.72500000000002</v>
      </c>
      <c r="U38" s="10">
        <v>0.14810000000000001</v>
      </c>
      <c r="V38" s="11">
        <v>3.6009999999999998E-10</v>
      </c>
      <c r="W38" s="11">
        <v>5.6020000000000002E-5</v>
      </c>
      <c r="X38" s="11">
        <v>-6.0990000000000005E-8</v>
      </c>
      <c r="Y38" s="11">
        <v>0</v>
      </c>
      <c r="Z38" s="10">
        <v>-1</v>
      </c>
      <c r="AA38" s="11">
        <v>-1.4899999999999999E-4</v>
      </c>
      <c r="AB38" s="10">
        <v>20</v>
      </c>
      <c r="AG38" s="10">
        <v>26</v>
      </c>
      <c r="AH38" s="10">
        <v>-2.2284000000000002</v>
      </c>
      <c r="AI38" s="10">
        <v>-421.59500000000003</v>
      </c>
      <c r="AJ38" s="10">
        <v>0.13969999999999999</v>
      </c>
      <c r="AK38" s="11">
        <v>2.334E-9</v>
      </c>
      <c r="AL38" s="11">
        <v>1.3740000000000001E-4</v>
      </c>
      <c r="AM38" s="11">
        <v>-3.2280000000000001E-7</v>
      </c>
      <c r="AN38" s="11">
        <v>0</v>
      </c>
      <c r="AO38" s="10">
        <v>-1</v>
      </c>
      <c r="AP38" s="11">
        <v>-5.1200000000000004E-3</v>
      </c>
      <c r="AQ38" s="10">
        <v>20</v>
      </c>
    </row>
    <row r="39" spans="1:43">
      <c r="A39" s="10">
        <v>130</v>
      </c>
      <c r="B39" s="10">
        <f t="shared" si="0"/>
        <v>12.86571</v>
      </c>
      <c r="C39" s="10">
        <f t="shared" si="1"/>
        <v>0.37940280068257837</v>
      </c>
      <c r="D39" s="10">
        <f t="shared" si="2"/>
        <v>0.68147024556726432</v>
      </c>
      <c r="E39" s="10">
        <f t="shared" si="3"/>
        <v>2.4286552322521019E-7</v>
      </c>
      <c r="F39" s="10">
        <f t="shared" si="4"/>
        <v>2.4286552322521014E-7</v>
      </c>
      <c r="G39" s="10">
        <f t="shared" si="10"/>
        <v>8.7675985530972085</v>
      </c>
      <c r="I39" s="10">
        <v>200</v>
      </c>
      <c r="J39" s="10">
        <f t="shared" si="5"/>
        <v>19.793399999999998</v>
      </c>
      <c r="K39" s="10">
        <f t="shared" si="6"/>
        <v>0.3018072525910076</v>
      </c>
      <c r="L39" s="10">
        <f t="shared" si="7"/>
        <v>0.5605757016416878</v>
      </c>
      <c r="M39" s="11">
        <f t="shared" si="11"/>
        <v>7.8621832760744692E-9</v>
      </c>
      <c r="N39" s="11">
        <f t="shared" si="8"/>
        <v>7.8621832760745155E-9</v>
      </c>
      <c r="O39" s="10">
        <f t="shared" si="9"/>
        <v>11.095699092874582</v>
      </c>
      <c r="R39" s="10">
        <v>24</v>
      </c>
      <c r="S39" s="10">
        <v>-2.4312</v>
      </c>
      <c r="T39" s="10">
        <v>-504.28899999999999</v>
      </c>
      <c r="U39" s="10">
        <v>0.1474</v>
      </c>
      <c r="V39" s="11">
        <v>3.3980000000000001E-10</v>
      </c>
      <c r="W39" s="11">
        <v>5.4280000000000002E-5</v>
      </c>
      <c r="X39" s="11">
        <v>-6.2600000000000005E-8</v>
      </c>
      <c r="Y39" s="11">
        <v>0</v>
      </c>
      <c r="Z39" s="10">
        <v>-1</v>
      </c>
      <c r="AA39" s="11">
        <v>-1.5300000000000001E-4</v>
      </c>
      <c r="AB39" s="10">
        <v>20</v>
      </c>
      <c r="AG39" s="10">
        <v>27</v>
      </c>
      <c r="AH39" s="10">
        <v>-2.2881</v>
      </c>
      <c r="AI39" s="10">
        <v>-430.19600000000003</v>
      </c>
      <c r="AJ39" s="10">
        <v>0.1386</v>
      </c>
      <c r="AK39" s="11">
        <v>2.1670000000000001E-9</v>
      </c>
      <c r="AL39" s="11">
        <v>1.325E-4</v>
      </c>
      <c r="AM39" s="11">
        <v>-3.2949999999999998E-7</v>
      </c>
      <c r="AN39" s="11">
        <v>0</v>
      </c>
      <c r="AO39" s="10">
        <v>-1</v>
      </c>
      <c r="AP39" s="11">
        <v>-5.2300000000000003E-3</v>
      </c>
      <c r="AQ39" s="10">
        <v>20</v>
      </c>
    </row>
    <row r="40" spans="1:43">
      <c r="A40" s="10">
        <v>150</v>
      </c>
      <c r="B40" s="10">
        <f t="shared" si="0"/>
        <v>14.845050000000001</v>
      </c>
      <c r="C40" s="10">
        <f t="shared" si="1"/>
        <v>0.3685825143945326</v>
      </c>
      <c r="D40" s="10">
        <f t="shared" si="2"/>
        <v>0.65507930340129905</v>
      </c>
      <c r="E40" s="10">
        <f t="shared" si="3"/>
        <v>1.7060145516158677E-7</v>
      </c>
      <c r="F40" s="10">
        <f t="shared" si="4"/>
        <v>1.7060145516158606E-7</v>
      </c>
      <c r="G40" s="10">
        <f t="shared" si="10"/>
        <v>9.7246850129574547</v>
      </c>
      <c r="I40" s="10">
        <v>250</v>
      </c>
      <c r="J40" s="10">
        <f t="shared" si="5"/>
        <v>24.74175</v>
      </c>
      <c r="K40" s="10">
        <f t="shared" si="6"/>
        <v>0.2867855395573804</v>
      </c>
      <c r="L40" s="10">
        <f t="shared" si="7"/>
        <v>0.51884872099272328</v>
      </c>
      <c r="M40" s="11">
        <f t="shared" si="11"/>
        <v>4.2538770361216117E-9</v>
      </c>
      <c r="N40" s="11">
        <f t="shared" si="8"/>
        <v>4.2538770361216457E-9</v>
      </c>
      <c r="O40" s="10">
        <f t="shared" si="9"/>
        <v>12.837225342621711</v>
      </c>
      <c r="R40" s="10">
        <v>25</v>
      </c>
      <c r="S40" s="10">
        <v>-2.5057999999999998</v>
      </c>
      <c r="T40" s="10">
        <v>-518.596</v>
      </c>
      <c r="U40" s="10">
        <v>0.14680000000000001</v>
      </c>
      <c r="V40" s="11">
        <v>3.182E-10</v>
      </c>
      <c r="W40" s="11">
        <v>5.2439999999999999E-5</v>
      </c>
      <c r="X40" s="11">
        <v>-6.416E-8</v>
      </c>
      <c r="Y40" s="11">
        <v>0</v>
      </c>
      <c r="Z40" s="10">
        <v>-1</v>
      </c>
      <c r="AA40" s="11">
        <v>-1.5699999999999999E-4</v>
      </c>
      <c r="AB40" s="10">
        <v>20</v>
      </c>
      <c r="AG40" s="10">
        <v>28</v>
      </c>
      <c r="AH40" s="10">
        <v>-2.3456000000000001</v>
      </c>
      <c r="AI40" s="10">
        <v>-439.34199999999998</v>
      </c>
      <c r="AJ40" s="10">
        <v>0.13750000000000001</v>
      </c>
      <c r="AK40" s="11">
        <v>1.99E-9</v>
      </c>
      <c r="AL40" s="11">
        <v>1.273E-4</v>
      </c>
      <c r="AM40" s="11">
        <v>-3.3589999999999998E-7</v>
      </c>
      <c r="AN40" s="11">
        <v>0</v>
      </c>
      <c r="AO40" s="10">
        <v>-1</v>
      </c>
      <c r="AP40" s="11">
        <v>-5.3299999999999997E-3</v>
      </c>
      <c r="AQ40" s="10">
        <v>20</v>
      </c>
    </row>
    <row r="41" spans="1:43">
      <c r="A41" s="10">
        <v>170</v>
      </c>
      <c r="B41" s="10">
        <f t="shared" si="0"/>
        <v>16.824390000000001</v>
      </c>
      <c r="C41" s="10">
        <f t="shared" si="1"/>
        <v>0.35913735151432358</v>
      </c>
      <c r="D41" s="10">
        <f t="shared" si="2"/>
        <v>0.63204232076664291</v>
      </c>
      <c r="E41" s="10">
        <f t="shared" si="3"/>
        <v>1.2438131292882502E-7</v>
      </c>
      <c r="F41" s="10">
        <f t="shared" si="4"/>
        <v>1.2438131292882502E-7</v>
      </c>
      <c r="G41" s="10">
        <f t="shared" si="10"/>
        <v>10.6337265010831</v>
      </c>
      <c r="I41" s="10">
        <v>300</v>
      </c>
      <c r="J41" s="10">
        <f t="shared" si="5"/>
        <v>29.690100000000001</v>
      </c>
      <c r="K41" s="10">
        <f t="shared" si="6"/>
        <v>0.27503416818069087</v>
      </c>
      <c r="L41" s="10">
        <f t="shared" si="7"/>
        <v>0.48620602272414132</v>
      </c>
      <c r="M41" s="11">
        <f t="shared" si="11"/>
        <v>2.5516692239525175E-9</v>
      </c>
      <c r="N41" s="11">
        <f t="shared" si="8"/>
        <v>2.5516692239524915E-9</v>
      </c>
      <c r="O41" s="10">
        <f t="shared" si="9"/>
        <v>14.435505435282028</v>
      </c>
      <c r="R41" s="10">
        <v>26</v>
      </c>
      <c r="S41" s="10">
        <v>-2.5777999999999999</v>
      </c>
      <c r="T41" s="10">
        <v>-533.77</v>
      </c>
      <c r="U41" s="10">
        <v>0.14599999999999999</v>
      </c>
      <c r="V41" s="11">
        <v>2.9539999999999998E-10</v>
      </c>
      <c r="W41" s="11">
        <v>5.0500000000000001E-5</v>
      </c>
      <c r="X41" s="11">
        <v>-6.5670000000000005E-8</v>
      </c>
      <c r="Y41" s="11">
        <v>0</v>
      </c>
      <c r="Z41" s="10">
        <v>-1</v>
      </c>
      <c r="AA41" s="11">
        <v>-1.6100000000000001E-4</v>
      </c>
      <c r="AB41" s="10">
        <v>20</v>
      </c>
      <c r="AG41" s="10">
        <v>29</v>
      </c>
      <c r="AH41" s="10">
        <v>-2.4007999999999998</v>
      </c>
      <c r="AI41" s="10">
        <v>-449.16800000000001</v>
      </c>
      <c r="AJ41" s="10">
        <v>0.13619999999999999</v>
      </c>
      <c r="AK41" s="11">
        <v>1.8E-9</v>
      </c>
      <c r="AL41" s="11">
        <v>1.217E-4</v>
      </c>
      <c r="AM41" s="11">
        <v>-3.4210000000000003E-7</v>
      </c>
      <c r="AN41" s="11">
        <v>0</v>
      </c>
      <c r="AO41" s="10">
        <v>-1</v>
      </c>
      <c r="AP41" s="11">
        <v>-5.4299999999999999E-3</v>
      </c>
      <c r="AQ41" s="10">
        <v>20</v>
      </c>
    </row>
    <row r="42" spans="1:43">
      <c r="A42" s="10">
        <v>200</v>
      </c>
      <c r="B42" s="10">
        <f t="shared" si="0"/>
        <v>19.793399999999998</v>
      </c>
      <c r="C42" s="10">
        <f t="shared" si="1"/>
        <v>0.34698525631774646</v>
      </c>
      <c r="D42" s="10">
        <f t="shared" si="2"/>
        <v>0.60240306418962541</v>
      </c>
      <c r="E42" s="10">
        <f t="shared" si="3"/>
        <v>8.1812669473552586E-8</v>
      </c>
      <c r="F42" s="10">
        <f t="shared" si="4"/>
        <v>8.1812669473552122E-8</v>
      </c>
      <c r="G42" s="10">
        <f t="shared" si="10"/>
        <v>11.92360481073093</v>
      </c>
      <c r="I42" s="10">
        <v>350</v>
      </c>
      <c r="J42" s="10">
        <f t="shared" si="5"/>
        <v>34.638449999999999</v>
      </c>
      <c r="K42" s="10">
        <f t="shared" si="6"/>
        <v>0.26551044859080009</v>
      </c>
      <c r="L42" s="10">
        <f t="shared" si="7"/>
        <v>0.45975124608555579</v>
      </c>
      <c r="M42" s="11">
        <f t="shared" si="11"/>
        <v>1.6478000833010702E-9</v>
      </c>
      <c r="N42" s="11">
        <f t="shared" si="8"/>
        <v>1.6478000833010294E-9</v>
      </c>
      <c r="O42" s="10">
        <f t="shared" si="9"/>
        <v>15.925070549972219</v>
      </c>
      <c r="R42" s="10">
        <v>27</v>
      </c>
      <c r="S42" s="10">
        <v>-2.6473</v>
      </c>
      <c r="T42" s="10">
        <v>-549.98900000000003</v>
      </c>
      <c r="U42" s="10">
        <v>0.14530000000000001</v>
      </c>
      <c r="V42" s="11">
        <v>2.7110000000000003E-10</v>
      </c>
      <c r="W42" s="11">
        <v>4.8420000000000001E-5</v>
      </c>
      <c r="X42" s="11">
        <v>-6.7150000000000002E-8</v>
      </c>
      <c r="Y42" s="11">
        <v>0</v>
      </c>
      <c r="Z42" s="10">
        <v>-1</v>
      </c>
      <c r="AA42" s="11">
        <v>-1.64E-4</v>
      </c>
      <c r="AB42" s="10">
        <v>20</v>
      </c>
      <c r="AG42" s="10">
        <v>30</v>
      </c>
      <c r="AH42" s="10">
        <v>-2.4538000000000002</v>
      </c>
      <c r="AI42" s="10">
        <v>-459.89499999999998</v>
      </c>
      <c r="AJ42" s="10">
        <v>0.13489999999999999</v>
      </c>
      <c r="AK42" s="11">
        <v>1.5920000000000001E-9</v>
      </c>
      <c r="AL42" s="11">
        <v>1.155E-4</v>
      </c>
      <c r="AM42" s="11">
        <v>-3.4820000000000001E-7</v>
      </c>
      <c r="AN42" s="11">
        <v>0</v>
      </c>
      <c r="AO42" s="10">
        <v>-1</v>
      </c>
      <c r="AP42" s="11">
        <v>-5.5199999999999997E-3</v>
      </c>
      <c r="AQ42" s="10">
        <v>20</v>
      </c>
    </row>
    <row r="43" spans="1:43">
      <c r="A43" s="10">
        <v>230</v>
      </c>
      <c r="B43" s="10">
        <f t="shared" si="0"/>
        <v>22.762409999999999</v>
      </c>
      <c r="C43" s="10">
        <f t="shared" si="1"/>
        <v>0.33670187091172665</v>
      </c>
      <c r="D43" s="10">
        <f t="shared" si="2"/>
        <v>0.57732163637006495</v>
      </c>
      <c r="E43" s="10">
        <f t="shared" si="3"/>
        <v>5.667783739271071E-8</v>
      </c>
      <c r="F43" s="10">
        <f t="shared" si="4"/>
        <v>5.6677837392709942E-8</v>
      </c>
      <c r="G43" s="10">
        <f t="shared" si="10"/>
        <v>13.14123178892633</v>
      </c>
      <c r="I43" s="10">
        <v>400</v>
      </c>
      <c r="J43" s="10">
        <f t="shared" si="5"/>
        <v>39.586799999999997</v>
      </c>
      <c r="K43" s="10">
        <f t="shared" si="6"/>
        <v>0.25758305586002606</v>
      </c>
      <c r="L43" s="10">
        <f t="shared" si="7"/>
        <v>0.43773071072229458</v>
      </c>
      <c r="M43" s="11">
        <f t="shared" si="11"/>
        <v>1.1246282043865865E-9</v>
      </c>
      <c r="N43" s="11">
        <f t="shared" si="8"/>
        <v>1.1246282043865532E-9</v>
      </c>
      <c r="O43" s="10">
        <f t="shared" si="9"/>
        <v>17.32835809922133</v>
      </c>
      <c r="R43" s="10">
        <v>28</v>
      </c>
      <c r="S43" s="10">
        <v>-2.7141000000000002</v>
      </c>
      <c r="T43" s="10">
        <v>-567.52599999999995</v>
      </c>
      <c r="U43" s="10">
        <v>0.1444</v>
      </c>
      <c r="V43" s="11">
        <v>2.4469999999999999E-10</v>
      </c>
      <c r="W43" s="11">
        <v>4.617E-5</v>
      </c>
      <c r="X43" s="11">
        <v>-6.8610000000000004E-8</v>
      </c>
      <c r="Y43" s="11">
        <v>0</v>
      </c>
      <c r="Z43" s="10">
        <v>-1</v>
      </c>
      <c r="AA43" s="11">
        <v>-1.6799999999999999E-4</v>
      </c>
      <c r="AB43" s="10">
        <v>20</v>
      </c>
      <c r="AG43" s="10">
        <v>31</v>
      </c>
      <c r="AH43" s="10">
        <v>-2.5044</v>
      </c>
      <c r="AI43" s="10">
        <v>-471.91</v>
      </c>
      <c r="AJ43" s="10">
        <v>0.13339999999999999</v>
      </c>
      <c r="AK43" s="11">
        <v>1.359E-9</v>
      </c>
      <c r="AL43" s="11">
        <v>1.087E-4</v>
      </c>
      <c r="AM43" s="11">
        <v>-3.5419999999999998E-7</v>
      </c>
      <c r="AN43" s="11">
        <v>0</v>
      </c>
      <c r="AO43" s="10">
        <v>-1</v>
      </c>
      <c r="AP43" s="11">
        <v>-5.62E-3</v>
      </c>
      <c r="AQ43" s="10">
        <v>20</v>
      </c>
    </row>
    <row r="44" spans="1:43">
      <c r="A44" s="10">
        <v>260</v>
      </c>
      <c r="B44" s="10">
        <f t="shared" si="0"/>
        <v>25.73142</v>
      </c>
      <c r="C44" s="10">
        <f t="shared" si="1"/>
        <v>0.32784981235616978</v>
      </c>
      <c r="D44" s="10">
        <f t="shared" si="2"/>
        <v>0.55573124964919451</v>
      </c>
      <c r="E44" s="10">
        <f t="shared" si="3"/>
        <v>4.0892078997152562E-8</v>
      </c>
      <c r="F44" s="10">
        <f t="shared" si="4"/>
        <v>4.0892078997152568E-8</v>
      </c>
      <c r="G44" s="10">
        <f t="shared" si="10"/>
        <v>14.299754191848276</v>
      </c>
      <c r="I44" s="10">
        <v>500</v>
      </c>
      <c r="J44" s="10">
        <f t="shared" si="5"/>
        <v>49.483499999999999</v>
      </c>
      <c r="K44" s="10">
        <f t="shared" si="6"/>
        <v>0.24502301222488587</v>
      </c>
      <c r="L44" s="10">
        <f t="shared" si="7"/>
        <v>0.402841700624683</v>
      </c>
      <c r="M44" s="11">
        <f t="shared" si="11"/>
        <v>5.9083732601767677E-10</v>
      </c>
      <c r="N44" s="11">
        <f t="shared" si="8"/>
        <v>5.9083732601766487E-10</v>
      </c>
      <c r="O44" s="10">
        <f t="shared" si="9"/>
        <v>19.934017292861501</v>
      </c>
      <c r="R44" s="10">
        <v>29</v>
      </c>
      <c r="S44" s="10">
        <v>-2.7784</v>
      </c>
      <c r="T44" s="10">
        <v>-586.82299999999998</v>
      </c>
      <c r="U44" s="10">
        <v>0.14349999999999999</v>
      </c>
      <c r="V44" s="11">
        <v>2.1569999999999999E-10</v>
      </c>
      <c r="W44" s="11">
        <v>4.3689999999999997E-5</v>
      </c>
      <c r="X44" s="11">
        <v>-7.0059999999999993E-8</v>
      </c>
      <c r="Y44" s="11">
        <v>0</v>
      </c>
      <c r="Z44" s="10">
        <v>-1</v>
      </c>
      <c r="AA44" s="11">
        <v>-1.7100000000000001E-4</v>
      </c>
      <c r="AB44" s="10">
        <v>20</v>
      </c>
      <c r="AG44" s="10">
        <v>32</v>
      </c>
      <c r="AH44" s="10">
        <v>-2.5529000000000002</v>
      </c>
      <c r="AI44" s="10">
        <v>-486.01</v>
      </c>
      <c r="AJ44" s="10">
        <v>0.13159999999999999</v>
      </c>
      <c r="AK44" s="11">
        <v>1.086E-9</v>
      </c>
      <c r="AL44" s="11">
        <v>1.0069999999999999E-4</v>
      </c>
      <c r="AM44" s="11">
        <v>-3.6040000000000002E-7</v>
      </c>
      <c r="AN44" s="11">
        <v>0</v>
      </c>
      <c r="AO44" s="10">
        <v>-1</v>
      </c>
      <c r="AP44" s="11">
        <v>-5.7200000000000003E-3</v>
      </c>
      <c r="AQ44" s="10">
        <v>20</v>
      </c>
    </row>
    <row r="45" spans="1:43">
      <c r="A45" s="10">
        <v>290</v>
      </c>
      <c r="B45" s="10">
        <f t="shared" si="0"/>
        <v>28.700430000000001</v>
      </c>
      <c r="C45" s="10">
        <f t="shared" si="1"/>
        <v>0.3201214806317616</v>
      </c>
      <c r="D45" s="10">
        <f t="shared" si="2"/>
        <v>0.53688166007746729</v>
      </c>
      <c r="E45" s="10">
        <f t="shared" si="3"/>
        <v>3.0481055609062344E-8</v>
      </c>
      <c r="F45" s="10">
        <f t="shared" si="4"/>
        <v>3.0481055609062344E-8</v>
      </c>
      <c r="G45" s="10">
        <f t="shared" si="10"/>
        <v>15.408734503337145</v>
      </c>
      <c r="I45" s="10">
        <v>600</v>
      </c>
      <c r="J45" s="10">
        <f t="shared" si="5"/>
        <v>59.380200000000002</v>
      </c>
      <c r="K45" s="10">
        <f t="shared" si="6"/>
        <v>0.23540313116105879</v>
      </c>
      <c r="L45" s="10">
        <f t="shared" si="7"/>
        <v>0.37611980878071888</v>
      </c>
      <c r="M45" s="11">
        <f t="shared" si="11"/>
        <v>3.478209019230702E-10</v>
      </c>
      <c r="N45" s="11">
        <f t="shared" si="8"/>
        <v>3.4782090192305241E-10</v>
      </c>
      <c r="O45" s="10">
        <f t="shared" si="9"/>
        <v>22.334069469360845</v>
      </c>
      <c r="R45" s="10">
        <v>30</v>
      </c>
      <c r="S45" s="10">
        <v>-2.8401000000000001</v>
      </c>
      <c r="T45" s="10">
        <v>-608.67899999999997</v>
      </c>
      <c r="U45" s="10">
        <v>0.14249999999999999</v>
      </c>
      <c r="V45" s="11">
        <v>1.828E-10</v>
      </c>
      <c r="W45" s="11">
        <v>4.0890000000000003E-5</v>
      </c>
      <c r="X45" s="11">
        <v>-7.1530000000000006E-8</v>
      </c>
      <c r="Y45" s="11">
        <v>0</v>
      </c>
      <c r="Z45" s="10">
        <v>-1</v>
      </c>
      <c r="AA45" s="11">
        <v>-1.75E-4</v>
      </c>
      <c r="AB45" s="10">
        <v>20</v>
      </c>
      <c r="AG45" s="10">
        <v>33</v>
      </c>
      <c r="AH45" s="10">
        <v>-2.5990000000000002</v>
      </c>
      <c r="AI45" s="10">
        <v>-502.1</v>
      </c>
      <c r="AJ45" s="10">
        <v>0.1303</v>
      </c>
      <c r="AK45" s="11">
        <v>9.9450000000000003E-10</v>
      </c>
      <c r="AL45" s="11">
        <v>9.5920000000000003E-5</v>
      </c>
      <c r="AM45" s="11">
        <v>-3.657E-7</v>
      </c>
      <c r="AN45" s="11">
        <v>0</v>
      </c>
      <c r="AO45" s="10">
        <v>-1</v>
      </c>
      <c r="AP45" s="11">
        <v>-5.7999999999999996E-3</v>
      </c>
      <c r="AQ45" s="10">
        <v>20</v>
      </c>
    </row>
    <row r="46" spans="1:43">
      <c r="A46" s="10">
        <v>320</v>
      </c>
      <c r="B46" s="10">
        <f t="shared" si="0"/>
        <v>31.669440000000002</v>
      </c>
      <c r="C46" s="10">
        <f t="shared" si="1"/>
        <v>0.31329406663446113</v>
      </c>
      <c r="D46" s="10">
        <f t="shared" si="2"/>
        <v>0.52022943081575879</v>
      </c>
      <c r="E46" s="10">
        <f t="shared" si="3"/>
        <v>2.3336806256970589E-8</v>
      </c>
      <c r="F46" s="10">
        <f t="shared" si="4"/>
        <v>2.3336806256970831E-8</v>
      </c>
      <c r="G46" s="10">
        <f t="shared" si="10"/>
        <v>16.475374745453824</v>
      </c>
      <c r="I46" s="10">
        <v>700</v>
      </c>
      <c r="J46" s="10">
        <f t="shared" si="5"/>
        <v>69.276899999999998</v>
      </c>
      <c r="K46" s="10">
        <f t="shared" si="6"/>
        <v>0.2277149979971006</v>
      </c>
      <c r="L46" s="10">
        <f t="shared" si="7"/>
        <v>0.35476388332527942</v>
      </c>
      <c r="M46" s="11">
        <f t="shared" si="11"/>
        <v>2.2174744790041594E-10</v>
      </c>
      <c r="N46" s="11">
        <f t="shared" si="8"/>
        <v>2.2174744790039498E-10</v>
      </c>
      <c r="O46" s="10">
        <f t="shared" si="9"/>
        <v>24.576942068737051</v>
      </c>
      <c r="R46" s="10">
        <v>31</v>
      </c>
      <c r="S46" s="10">
        <v>-2.8992</v>
      </c>
      <c r="T46" s="10">
        <v>-633.24199999999996</v>
      </c>
      <c r="U46" s="10">
        <v>0.1416</v>
      </c>
      <c r="V46" s="11">
        <v>1.6420000000000001E-10</v>
      </c>
      <c r="W46" s="11">
        <v>3.8829999999999999E-5</v>
      </c>
      <c r="X46" s="11">
        <v>-7.2839999999999996E-8</v>
      </c>
      <c r="Y46" s="11">
        <v>0</v>
      </c>
      <c r="Z46" s="10">
        <v>-1</v>
      </c>
      <c r="AA46" s="11">
        <v>-1.7799999999999999E-4</v>
      </c>
      <c r="AB46" s="10">
        <v>20</v>
      </c>
      <c r="AG46" s="10">
        <v>34</v>
      </c>
      <c r="AH46" s="10">
        <v>-2.6429</v>
      </c>
      <c r="AI46" s="10">
        <v>-519.08799999999997</v>
      </c>
      <c r="AJ46" s="10">
        <v>0.12889999999999999</v>
      </c>
      <c r="AK46" s="11">
        <v>9.0140000000000001E-10</v>
      </c>
      <c r="AL46" s="11">
        <v>9.1000000000000003E-5</v>
      </c>
      <c r="AM46" s="11">
        <v>-3.6959999999999997E-7</v>
      </c>
      <c r="AN46" s="11">
        <v>0</v>
      </c>
      <c r="AO46" s="10">
        <v>-1</v>
      </c>
      <c r="AP46" s="11">
        <v>-5.8599999999999998E-3</v>
      </c>
      <c r="AQ46" s="10">
        <v>20</v>
      </c>
    </row>
    <row r="47" spans="1:43">
      <c r="A47" s="10">
        <v>350</v>
      </c>
      <c r="B47" s="10">
        <f t="shared" si="0"/>
        <v>34.638449999999999</v>
      </c>
      <c r="C47" s="10">
        <f t="shared" si="1"/>
        <v>0.30720196482646234</v>
      </c>
      <c r="D47" s="10">
        <f t="shared" si="2"/>
        <v>0.5053706459182008</v>
      </c>
      <c r="E47" s="10">
        <f t="shared" si="3"/>
        <v>1.8270627072734007E-8</v>
      </c>
      <c r="F47" s="10">
        <f t="shared" si="4"/>
        <v>1.8270627072733798E-8</v>
      </c>
      <c r="G47" s="10">
        <f t="shared" si="10"/>
        <v>17.505255850105303</v>
      </c>
      <c r="I47" s="10">
        <v>800</v>
      </c>
      <c r="J47" s="10">
        <f t="shared" si="5"/>
        <v>79.173599999999993</v>
      </c>
      <c r="K47" s="10">
        <f t="shared" si="6"/>
        <v>0.22137795132899801</v>
      </c>
      <c r="L47" s="10">
        <f t="shared" si="7"/>
        <v>0.33716097591388339</v>
      </c>
      <c r="M47" s="11">
        <f t="shared" si="11"/>
        <v>1.4994980193079723E-10</v>
      </c>
      <c r="N47" s="11">
        <f t="shared" si="8"/>
        <v>1.4994980193078588E-10</v>
      </c>
      <c r="O47" s="10">
        <f t="shared" si="9"/>
        <v>26.694248242615437</v>
      </c>
      <c r="R47" s="10">
        <v>32</v>
      </c>
      <c r="S47" s="10">
        <v>-2.9557000000000002</v>
      </c>
      <c r="T47" s="10">
        <v>-659.64700000000005</v>
      </c>
      <c r="U47" s="10">
        <v>0.14069999999999999</v>
      </c>
      <c r="V47" s="11">
        <v>1.4920000000000001E-10</v>
      </c>
      <c r="W47" s="11">
        <v>3.6919999999999999E-5</v>
      </c>
      <c r="X47" s="11">
        <v>-7.3900000000000007E-8</v>
      </c>
      <c r="Y47" s="11">
        <v>0</v>
      </c>
      <c r="Z47" s="10">
        <v>-1</v>
      </c>
      <c r="AA47" s="11">
        <v>-1.8100000000000001E-4</v>
      </c>
      <c r="AB47" s="10">
        <v>20</v>
      </c>
      <c r="AG47" s="10">
        <v>35</v>
      </c>
      <c r="AH47" s="10">
        <v>-2.6846000000000001</v>
      </c>
      <c r="AI47" s="10">
        <v>-537.21299999999997</v>
      </c>
      <c r="AJ47" s="10">
        <v>0.1275</v>
      </c>
      <c r="AK47" s="11">
        <v>8.0200000000000002E-10</v>
      </c>
      <c r="AL47" s="11">
        <v>8.5749999999999997E-5</v>
      </c>
      <c r="AM47" s="11">
        <v>-3.7329999999999999E-7</v>
      </c>
      <c r="AN47" s="11">
        <v>0</v>
      </c>
      <c r="AO47" s="10">
        <v>-1</v>
      </c>
      <c r="AP47" s="11">
        <v>-5.9199999999999999E-3</v>
      </c>
      <c r="AQ47" s="10">
        <v>20</v>
      </c>
    </row>
    <row r="48" spans="1:43">
      <c r="A48" s="10">
        <v>380</v>
      </c>
      <c r="B48" s="10">
        <f t="shared" si="0"/>
        <v>37.607460000000003</v>
      </c>
      <c r="C48" s="10">
        <f t="shared" si="1"/>
        <v>0.30171929693206018</v>
      </c>
      <c r="D48" s="10">
        <f t="shared" si="2"/>
        <v>0.49199828520014671</v>
      </c>
      <c r="E48" s="10">
        <f t="shared" si="3"/>
        <v>1.4577485466962118E-8</v>
      </c>
      <c r="F48" s="10">
        <f t="shared" si="4"/>
        <v>1.4577485466961739E-8</v>
      </c>
      <c r="G48" s="10">
        <f t="shared" si="10"/>
        <v>18.502805830733109</v>
      </c>
      <c r="I48" s="10">
        <v>900</v>
      </c>
      <c r="J48" s="10">
        <f t="shared" si="5"/>
        <v>89.070300000000003</v>
      </c>
      <c r="K48" s="10">
        <f t="shared" si="6"/>
        <v>0.21603069383297435</v>
      </c>
      <c r="L48" s="10">
        <f t="shared" si="7"/>
        <v>0.32230748286937322</v>
      </c>
      <c r="M48" s="11">
        <f t="shared" si="11"/>
        <v>1.0609833742910195E-10</v>
      </c>
      <c r="N48" s="11">
        <f t="shared" si="8"/>
        <v>1.0609833742909249E-10</v>
      </c>
      <c r="O48" s="10">
        <f t="shared" si="9"/>
        <v>28.708024191419934</v>
      </c>
      <c r="R48" s="10">
        <v>33</v>
      </c>
      <c r="S48" s="10">
        <v>-3.0095999999999998</v>
      </c>
      <c r="T48" s="10">
        <v>-688.03300000000002</v>
      </c>
      <c r="U48" s="10">
        <v>0.13969999999999999</v>
      </c>
      <c r="V48" s="11">
        <v>1.3300000000000001E-10</v>
      </c>
      <c r="W48" s="11">
        <v>3.4860000000000002E-5</v>
      </c>
      <c r="X48" s="11">
        <v>-7.4919999999999999E-8</v>
      </c>
      <c r="Y48" s="11">
        <v>0</v>
      </c>
      <c r="Z48" s="10">
        <v>-1</v>
      </c>
      <c r="AA48" s="11">
        <v>-1.83E-4</v>
      </c>
      <c r="AB48" s="10">
        <v>20</v>
      </c>
      <c r="AG48" s="10">
        <v>36</v>
      </c>
      <c r="AH48" s="10">
        <v>-2.7239</v>
      </c>
      <c r="AI48" s="10">
        <v>-556.92100000000005</v>
      </c>
      <c r="AJ48" s="10">
        <v>0.12590000000000001</v>
      </c>
      <c r="AK48" s="11">
        <v>6.9389999999999995E-10</v>
      </c>
      <c r="AL48" s="11">
        <v>8.0039999999999999E-5</v>
      </c>
      <c r="AM48" s="11">
        <v>-3.7669999999999998E-7</v>
      </c>
      <c r="AN48" s="11">
        <v>0</v>
      </c>
      <c r="AO48" s="10">
        <v>-1</v>
      </c>
      <c r="AP48" s="11">
        <v>-5.9699999999999996E-3</v>
      </c>
      <c r="AQ48" s="10">
        <v>20</v>
      </c>
    </row>
    <row r="49" spans="1:43">
      <c r="A49" s="10">
        <v>390</v>
      </c>
      <c r="B49" s="10">
        <f t="shared" si="0"/>
        <v>38.59713</v>
      </c>
      <c r="C49" s="10">
        <f t="shared" si="1"/>
        <v>0.3000096536288715</v>
      </c>
      <c r="D49" s="10">
        <f t="shared" si="2"/>
        <v>0.4878284234850524</v>
      </c>
      <c r="E49" s="10">
        <f t="shared" si="3"/>
        <v>1.3570909287300856E-8</v>
      </c>
      <c r="F49" s="10">
        <f t="shared" si="4"/>
        <v>1.3570909287300854E-8</v>
      </c>
      <c r="G49" s="10">
        <f t="shared" si="10"/>
        <v>18.828777078947621</v>
      </c>
      <c r="I49" s="10">
        <v>950</v>
      </c>
      <c r="J49" s="10">
        <f t="shared" si="5"/>
        <v>94.018649999999994</v>
      </c>
      <c r="K49" s="10">
        <f t="shared" si="6"/>
        <v>0.21365049032478373</v>
      </c>
      <c r="L49" s="10">
        <f t="shared" si="7"/>
        <v>0.31569580645773254</v>
      </c>
      <c r="M49" s="11">
        <f t="shared" si="11"/>
        <v>9.0499056139610312E-11</v>
      </c>
      <c r="N49" s="11">
        <f t="shared" si="8"/>
        <v>9.0499056139597309E-11</v>
      </c>
      <c r="O49" s="10">
        <f t="shared" si="9"/>
        <v>29.681293533817293</v>
      </c>
      <c r="R49" s="10">
        <v>34</v>
      </c>
      <c r="S49" s="10">
        <v>-3.0609000000000002</v>
      </c>
      <c r="T49" s="10">
        <v>-719.17</v>
      </c>
      <c r="U49" s="10">
        <v>0.1386</v>
      </c>
      <c r="V49" s="11">
        <v>1.152E-10</v>
      </c>
      <c r="W49" s="11">
        <v>3.2610000000000001E-5</v>
      </c>
      <c r="X49" s="11">
        <v>-7.5909999999999996E-8</v>
      </c>
      <c r="Y49" s="11">
        <v>0</v>
      </c>
      <c r="Z49" s="10">
        <v>-1</v>
      </c>
      <c r="AA49" s="11">
        <v>-1.8599999999999999E-4</v>
      </c>
      <c r="AB49" s="10">
        <v>20</v>
      </c>
      <c r="AG49" s="10">
        <v>37</v>
      </c>
      <c r="AH49" s="10">
        <v>-2.7610000000000001</v>
      </c>
      <c r="AI49" s="10">
        <v>-579.06299999999999</v>
      </c>
      <c r="AJ49" s="10">
        <v>0.1241</v>
      </c>
      <c r="AK49" s="11">
        <v>5.7250000000000004E-10</v>
      </c>
      <c r="AL49" s="11">
        <v>7.3629999999999998E-5</v>
      </c>
      <c r="AM49" s="11">
        <v>-3.8000000000000001E-7</v>
      </c>
      <c r="AN49" s="11">
        <v>0</v>
      </c>
      <c r="AO49" s="10">
        <v>-1</v>
      </c>
      <c r="AP49" s="11">
        <v>-6.0299999999999998E-3</v>
      </c>
      <c r="AQ49" s="10">
        <v>20</v>
      </c>
    </row>
    <row r="50" spans="1:43">
      <c r="A50" s="10">
        <v>400</v>
      </c>
      <c r="B50" s="10">
        <f t="shared" si="0"/>
        <v>39.586799999999997</v>
      </c>
      <c r="C50" s="10">
        <f t="shared" si="1"/>
        <v>0.29835366214696946</v>
      </c>
      <c r="D50" s="10">
        <f t="shared" si="2"/>
        <v>0.48378941987065716</v>
      </c>
      <c r="E50" s="10">
        <f t="shared" si="3"/>
        <v>1.265550343213327E-8</v>
      </c>
      <c r="F50" s="10">
        <f t="shared" si="4"/>
        <v>1.265550343213327E-8</v>
      </c>
      <c r="G50" s="10">
        <f t="shared" si="10"/>
        <v>19.151675006535729</v>
      </c>
      <c r="I50" s="10">
        <v>1000</v>
      </c>
      <c r="J50" s="10">
        <f t="shared" si="5"/>
        <v>98.966999999999999</v>
      </c>
      <c r="K50" s="10">
        <f t="shared" si="6"/>
        <v>0.21143491211022883</v>
      </c>
      <c r="L50" s="10">
        <f t="shared" si="7"/>
        <v>0.30954142252841343</v>
      </c>
      <c r="M50" s="11">
        <f t="shared" si="11"/>
        <v>7.781630169842279E-11</v>
      </c>
      <c r="N50" s="11">
        <f t="shared" si="8"/>
        <v>7.7816301698426783E-11</v>
      </c>
      <c r="O50" s="10">
        <f t="shared" si="9"/>
        <v>30.634385963369493</v>
      </c>
      <c r="R50" s="10">
        <v>35</v>
      </c>
      <c r="S50" s="10">
        <v>-3.1097000000000001</v>
      </c>
      <c r="T50" s="10">
        <v>-754.53</v>
      </c>
      <c r="U50" s="10">
        <v>0.13750000000000001</v>
      </c>
      <c r="V50" s="11">
        <v>9.5090000000000005E-11</v>
      </c>
      <c r="W50" s="11">
        <v>3.0049999999999999E-5</v>
      </c>
      <c r="X50" s="11">
        <v>-7.6910000000000005E-8</v>
      </c>
      <c r="Y50" s="11">
        <v>0</v>
      </c>
      <c r="Z50" s="10">
        <v>-1</v>
      </c>
      <c r="AA50" s="11">
        <v>-1.8799999999999999E-4</v>
      </c>
      <c r="AB50" s="10">
        <v>20</v>
      </c>
      <c r="AG50" s="10">
        <v>38</v>
      </c>
      <c r="AH50" s="10">
        <v>-2.7959000000000001</v>
      </c>
      <c r="AI50" s="10">
        <v>-605.64400000000001</v>
      </c>
      <c r="AJ50" s="10">
        <v>0.122</v>
      </c>
      <c r="AK50" s="11">
        <v>4.2680000000000002E-10</v>
      </c>
      <c r="AL50" s="11">
        <v>6.5930000000000001E-5</v>
      </c>
      <c r="AM50" s="11">
        <v>-3.8319999999999999E-7</v>
      </c>
      <c r="AN50" s="11">
        <v>0</v>
      </c>
      <c r="AO50" s="10">
        <v>-1</v>
      </c>
      <c r="AP50" s="11">
        <v>-6.0800000000000003E-3</v>
      </c>
      <c r="AQ50" s="10">
        <v>20</v>
      </c>
    </row>
    <row r="51" spans="1:43">
      <c r="A51" s="10">
        <v>500</v>
      </c>
      <c r="B51" s="10">
        <f t="shared" si="0"/>
        <v>49.483499999999999</v>
      </c>
      <c r="C51" s="10">
        <f t="shared" si="1"/>
        <v>0.28421101548007055</v>
      </c>
      <c r="D51" s="10">
        <f t="shared" si="2"/>
        <v>0.44929515970748912</v>
      </c>
      <c r="E51" s="10">
        <f t="shared" si="3"/>
        <v>6.8129008017007828E-9</v>
      </c>
      <c r="F51" s="10">
        <f t="shared" si="4"/>
        <v>6.8129008017005313E-9</v>
      </c>
      <c r="G51" s="10">
        <f t="shared" si="10"/>
        <v>22.232697035385538</v>
      </c>
      <c r="I51" s="10">
        <v>1050</v>
      </c>
      <c r="J51" s="10">
        <f t="shared" si="5"/>
        <v>103.91535</v>
      </c>
      <c r="K51" s="10">
        <f t="shared" si="6"/>
        <v>0.20936536437978362</v>
      </c>
      <c r="L51" s="10">
        <f t="shared" si="7"/>
        <v>0.30379267883273225</v>
      </c>
      <c r="M51" s="11">
        <f t="shared" si="11"/>
        <v>6.7398936626952732E-11</v>
      </c>
      <c r="N51" s="11">
        <f t="shared" si="8"/>
        <v>6.7398936626952732E-11</v>
      </c>
      <c r="O51" s="10">
        <f t="shared" si="9"/>
        <v>31.568722548340965</v>
      </c>
      <c r="R51" s="10">
        <v>36</v>
      </c>
      <c r="S51" s="10">
        <v>-3.1558000000000002</v>
      </c>
      <c r="T51" s="10">
        <v>-795.46600000000001</v>
      </c>
      <c r="U51" s="10">
        <v>0.1363</v>
      </c>
      <c r="V51" s="11">
        <v>7.9260000000000006E-11</v>
      </c>
      <c r="W51" s="11">
        <v>2.775E-5</v>
      </c>
      <c r="X51" s="11">
        <v>-7.7779999999999999E-8</v>
      </c>
      <c r="Y51" s="11">
        <v>0</v>
      </c>
      <c r="Z51" s="10">
        <v>-1</v>
      </c>
      <c r="AA51" s="11">
        <v>-1.9000000000000001E-4</v>
      </c>
      <c r="AB51" s="10">
        <v>20</v>
      </c>
      <c r="AG51" s="10">
        <v>39</v>
      </c>
      <c r="AH51" s="10">
        <v>-2.8285</v>
      </c>
      <c r="AI51" s="10">
        <v>-638.096</v>
      </c>
      <c r="AJ51" s="10">
        <v>0.1201</v>
      </c>
      <c r="AK51" s="11">
        <v>3.4540000000000002E-10</v>
      </c>
      <c r="AL51" s="11">
        <v>6.0040000000000001E-5</v>
      </c>
      <c r="AM51" s="11">
        <v>-3.8589999999999998E-7</v>
      </c>
      <c r="AN51" s="11">
        <v>0</v>
      </c>
      <c r="AO51" s="10">
        <v>-1</v>
      </c>
      <c r="AP51" s="11">
        <v>-6.1199999999999996E-3</v>
      </c>
      <c r="AQ51" s="10">
        <v>20</v>
      </c>
    </row>
    <row r="52" spans="1:43">
      <c r="A52" s="10">
        <v>600</v>
      </c>
      <c r="B52" s="10">
        <f t="shared" si="0"/>
        <v>59.380200000000002</v>
      </c>
      <c r="C52" s="10">
        <f t="shared" si="1"/>
        <v>0.27327267432184699</v>
      </c>
      <c r="D52" s="10">
        <f t="shared" si="2"/>
        <v>0.42261627883377312</v>
      </c>
      <c r="E52" s="10">
        <f t="shared" si="3"/>
        <v>4.0903139041489714E-9</v>
      </c>
      <c r="F52" s="10">
        <f t="shared" si="4"/>
        <v>4.0903139041488746E-9</v>
      </c>
      <c r="G52" s="10">
        <f t="shared" si="10"/>
        <v>25.095039160405214</v>
      </c>
      <c r="I52" s="10">
        <v>1100</v>
      </c>
      <c r="J52" s="10">
        <f t="shared" si="5"/>
        <v>108.86369999999999</v>
      </c>
      <c r="K52" s="10">
        <f t="shared" si="6"/>
        <v>0.20742609053826083</v>
      </c>
      <c r="L52" s="10">
        <f t="shared" si="7"/>
        <v>0.2984058070507245</v>
      </c>
      <c r="M52" s="11">
        <f t="shared" si="11"/>
        <v>5.8762768614583363E-11</v>
      </c>
      <c r="N52" s="11">
        <f t="shared" si="8"/>
        <v>5.8762768614579925E-11</v>
      </c>
      <c r="O52" s="10">
        <f t="shared" si="9"/>
        <v>32.485560257027956</v>
      </c>
      <c r="R52" s="10">
        <v>37</v>
      </c>
      <c r="S52" s="10">
        <v>-3.1993</v>
      </c>
      <c r="T52" s="10">
        <v>-841.21600000000001</v>
      </c>
      <c r="U52" s="10">
        <v>0.13519999999999999</v>
      </c>
      <c r="V52" s="11">
        <v>6.9379999999999997E-11</v>
      </c>
      <c r="W52" s="11">
        <v>2.5890000000000001E-5</v>
      </c>
      <c r="X52" s="11">
        <v>-7.8470000000000001E-8</v>
      </c>
      <c r="Y52" s="11">
        <v>0</v>
      </c>
      <c r="Z52" s="10">
        <v>-1</v>
      </c>
      <c r="AA52" s="11">
        <v>-1.92E-4</v>
      </c>
      <c r="AB52" s="10">
        <v>20</v>
      </c>
      <c r="AG52" s="10">
        <v>40</v>
      </c>
      <c r="AH52" s="10">
        <v>-2.8588</v>
      </c>
      <c r="AI52" s="10">
        <v>-675.101</v>
      </c>
      <c r="AJ52" s="10">
        <v>0.1183</v>
      </c>
      <c r="AK52" s="11">
        <v>2.8829999999999998E-10</v>
      </c>
      <c r="AL52" s="11">
        <v>5.4639999999999999E-5</v>
      </c>
      <c r="AM52" s="11">
        <v>-3.8780000000000002E-7</v>
      </c>
      <c r="AN52" s="11">
        <v>0</v>
      </c>
      <c r="AO52" s="10">
        <v>-1</v>
      </c>
      <c r="AP52" s="11">
        <v>-6.1500000000000001E-3</v>
      </c>
      <c r="AQ52" s="10">
        <v>20</v>
      </c>
    </row>
    <row r="53" spans="1:43">
      <c r="A53" s="10">
        <v>700</v>
      </c>
      <c r="B53" s="10">
        <f t="shared" si="0"/>
        <v>69.276899999999998</v>
      </c>
      <c r="C53" s="10">
        <f t="shared" si="1"/>
        <v>0.26446157912805307</v>
      </c>
      <c r="D53" s="10">
        <f t="shared" si="2"/>
        <v>0.4011258027513489</v>
      </c>
      <c r="E53" s="10">
        <f t="shared" si="3"/>
        <v>2.6509539359760745E-9</v>
      </c>
      <c r="F53" s="10">
        <f t="shared" si="4"/>
        <v>2.650953935976074E-9</v>
      </c>
      <c r="G53" s="10">
        <f t="shared" si="10"/>
        <v>27.788752124624921</v>
      </c>
      <c r="I53" s="10">
        <v>1150</v>
      </c>
      <c r="J53" s="10">
        <f t="shared" si="5"/>
        <v>113.81205</v>
      </c>
      <c r="K53" s="10">
        <f t="shared" si="6"/>
        <v>0.2056036363722421</v>
      </c>
      <c r="L53" s="10">
        <f t="shared" si="7"/>
        <v>0.29334343436733917</v>
      </c>
      <c r="M53" s="11">
        <f t="shared" si="11"/>
        <v>5.1542676713327522E-11</v>
      </c>
      <c r="N53" s="11">
        <f t="shared" si="8"/>
        <v>5.1542676713317874E-11</v>
      </c>
      <c r="O53" s="10">
        <f t="shared" si="9"/>
        <v>33.386017619387324</v>
      </c>
      <c r="R53" s="10">
        <v>38</v>
      </c>
      <c r="S53" s="10">
        <v>-3.2403</v>
      </c>
      <c r="T53" s="10">
        <v>-891.68100000000004</v>
      </c>
      <c r="U53" s="10">
        <v>0.13400000000000001</v>
      </c>
      <c r="V53" s="11">
        <v>5.8480000000000001E-11</v>
      </c>
      <c r="W53" s="11">
        <v>2.3819999999999999E-5</v>
      </c>
      <c r="X53" s="11">
        <v>-7.9140000000000006E-8</v>
      </c>
      <c r="Y53" s="11">
        <v>0</v>
      </c>
      <c r="Z53" s="10">
        <v>-1</v>
      </c>
      <c r="AA53" s="11">
        <v>-1.93E-4</v>
      </c>
      <c r="AB53" s="10">
        <v>20</v>
      </c>
      <c r="AG53" s="10">
        <v>41</v>
      </c>
      <c r="AH53" s="10">
        <v>-2.8868999999999998</v>
      </c>
      <c r="AI53" s="10">
        <v>-717.79399999999998</v>
      </c>
      <c r="AJ53" s="10">
        <v>0.11609999999999999</v>
      </c>
      <c r="AK53" s="11">
        <v>2.224E-10</v>
      </c>
      <c r="AL53" s="11">
        <v>4.8399999999999997E-5</v>
      </c>
      <c r="AM53" s="11">
        <v>-3.8949999999999999E-7</v>
      </c>
      <c r="AN53" s="11">
        <v>0</v>
      </c>
      <c r="AO53" s="10">
        <v>-1</v>
      </c>
      <c r="AP53" s="11">
        <v>-6.1799999999999997E-3</v>
      </c>
      <c r="AQ53" s="10">
        <v>20</v>
      </c>
    </row>
    <row r="54" spans="1:43">
      <c r="A54" s="10">
        <v>850</v>
      </c>
      <c r="B54" s="10">
        <f t="shared" si="0"/>
        <v>84.121949999999998</v>
      </c>
      <c r="C54" s="10">
        <f t="shared" si="1"/>
        <v>0.25392904693869472</v>
      </c>
      <c r="D54" s="10">
        <f t="shared" si="2"/>
        <v>0.3754366998504749</v>
      </c>
      <c r="E54" s="10">
        <f t="shared" si="3"/>
        <v>1.531469925136056E-9</v>
      </c>
      <c r="F54" s="10">
        <f t="shared" si="4"/>
        <v>1.531469925136056E-9</v>
      </c>
      <c r="G54" s="10">
        <f t="shared" si="10"/>
        <v>31.582467292986657</v>
      </c>
      <c r="I54" s="10">
        <v>1200</v>
      </c>
      <c r="J54" s="10">
        <f t="shared" si="5"/>
        <v>118.7604</v>
      </c>
      <c r="K54" s="10">
        <f t="shared" si="6"/>
        <v>0.203886433113486</v>
      </c>
      <c r="L54" s="10">
        <f t="shared" si="7"/>
        <v>0.28857342531523889</v>
      </c>
      <c r="M54" s="11">
        <f t="shared" si="11"/>
        <v>4.5459804078592595E-11</v>
      </c>
      <c r="N54" s="11">
        <f t="shared" si="8"/>
        <v>4.545980407858959E-11</v>
      </c>
      <c r="O54" s="10">
        <f t="shared" si="9"/>
        <v>34.271095419807899</v>
      </c>
      <c r="R54" s="10">
        <v>39</v>
      </c>
      <c r="S54" s="10">
        <v>-3.2787000000000002</v>
      </c>
      <c r="T54" s="10">
        <v>-950.096</v>
      </c>
      <c r="U54" s="10">
        <v>0.13250000000000001</v>
      </c>
      <c r="V54" s="11">
        <v>4.5869999999999999E-11</v>
      </c>
      <c r="W54" s="11">
        <v>2.1440000000000001E-5</v>
      </c>
      <c r="X54" s="11">
        <v>-7.9790000000000002E-8</v>
      </c>
      <c r="Y54" s="11">
        <v>0</v>
      </c>
      <c r="Z54" s="10">
        <v>-1</v>
      </c>
      <c r="AA54" s="11">
        <v>-1.95E-4</v>
      </c>
      <c r="AB54" s="10">
        <v>20</v>
      </c>
      <c r="AG54" s="10">
        <v>42</v>
      </c>
      <c r="AH54" s="10">
        <v>-2.9127000000000001</v>
      </c>
      <c r="AI54" s="10">
        <v>-774.01</v>
      </c>
      <c r="AJ54" s="10">
        <v>0.1133</v>
      </c>
      <c r="AK54" s="11">
        <v>1.3570000000000001E-10</v>
      </c>
      <c r="AL54" s="11">
        <v>4.019E-5</v>
      </c>
      <c r="AM54" s="11">
        <v>-3.911E-7</v>
      </c>
      <c r="AN54" s="11">
        <v>0</v>
      </c>
      <c r="AO54" s="10">
        <v>-1</v>
      </c>
      <c r="AP54" s="11">
        <v>-6.1999999999999998E-3</v>
      </c>
      <c r="AQ54" s="10">
        <v>20</v>
      </c>
    </row>
    <row r="55" spans="1:43">
      <c r="A55" s="10">
        <v>900</v>
      </c>
      <c r="B55" s="10">
        <f t="shared" si="0"/>
        <v>89.070300000000003</v>
      </c>
      <c r="C55" s="10">
        <f t="shared" si="1"/>
        <v>0.25094668052859104</v>
      </c>
      <c r="D55" s="10">
        <f t="shared" si="2"/>
        <v>0.36816263543558786</v>
      </c>
      <c r="E55" s="10">
        <f t="shared" si="3"/>
        <v>1.3024699945879464E-9</v>
      </c>
      <c r="F55" s="10">
        <f t="shared" si="4"/>
        <v>1.3024699945879987E-9</v>
      </c>
      <c r="G55" s="10">
        <f t="shared" si="10"/>
        <v>32.792356387038446</v>
      </c>
      <c r="I55" s="10">
        <v>1250</v>
      </c>
      <c r="J55" s="10">
        <f t="shared" si="5"/>
        <v>123.70874999999999</v>
      </c>
      <c r="K55" s="10">
        <f t="shared" si="6"/>
        <v>0.20226446939953879</v>
      </c>
      <c r="L55" s="10">
        <f t="shared" si="7"/>
        <v>0.28406797055427441</v>
      </c>
      <c r="M55" s="11">
        <f t="shared" si="11"/>
        <v>4.0298686755819214E-11</v>
      </c>
      <c r="N55" s="11">
        <f t="shared" si="8"/>
        <v>4.0298686755816397E-11</v>
      </c>
      <c r="O55" s="10">
        <f t="shared" si="9"/>
        <v>35.141693552306094</v>
      </c>
      <c r="R55" s="10">
        <v>40</v>
      </c>
      <c r="S55" s="10">
        <v>-3.3144999999999998</v>
      </c>
      <c r="T55" s="10">
        <v>-1019.6319999999999</v>
      </c>
      <c r="U55" s="10">
        <v>0.13120000000000001</v>
      </c>
      <c r="V55" s="11">
        <v>3.6570000000000003E-11</v>
      </c>
      <c r="W55" s="11">
        <v>1.9360000000000001E-5</v>
      </c>
      <c r="X55" s="11">
        <v>-8.036E-8</v>
      </c>
      <c r="Y55" s="11">
        <v>0</v>
      </c>
      <c r="Z55" s="10">
        <v>-1</v>
      </c>
      <c r="AA55" s="11">
        <v>-1.9599999999999999E-4</v>
      </c>
      <c r="AB55" s="10">
        <v>20</v>
      </c>
      <c r="AG55" s="10">
        <v>43</v>
      </c>
      <c r="AH55" s="10">
        <v>-2.9361999999999999</v>
      </c>
      <c r="AI55" s="10">
        <v>-851.65800000000002</v>
      </c>
      <c r="AJ55" s="10">
        <v>0.1108</v>
      </c>
      <c r="AK55" s="11">
        <v>1.019E-10</v>
      </c>
      <c r="AL55" s="11">
        <v>3.4480000000000002E-5</v>
      </c>
      <c r="AM55" s="11">
        <v>-3.925E-7</v>
      </c>
      <c r="AN55" s="11">
        <v>0</v>
      </c>
      <c r="AO55" s="10">
        <v>-1</v>
      </c>
      <c r="AP55" s="11">
        <v>-6.2199999999999998E-3</v>
      </c>
      <c r="AQ55" s="10">
        <v>20</v>
      </c>
    </row>
    <row r="56" spans="1:43">
      <c r="A56" s="10">
        <v>950</v>
      </c>
      <c r="B56" s="10">
        <f t="shared" si="0"/>
        <v>94.018649999999994</v>
      </c>
      <c r="C56" s="10">
        <f t="shared" si="1"/>
        <v>0.2481744285917139</v>
      </c>
      <c r="D56" s="10">
        <f t="shared" si="2"/>
        <v>0.3614010453456436</v>
      </c>
      <c r="E56" s="10">
        <f t="shared" si="3"/>
        <v>1.1172801340811493E-9</v>
      </c>
      <c r="F56" s="10">
        <f t="shared" si="4"/>
        <v>1.1172801340812459E-9</v>
      </c>
      <c r="G56" s="10">
        <f t="shared" si="10"/>
        <v>33.978438391986195</v>
      </c>
      <c r="I56" s="10">
        <v>1300</v>
      </c>
      <c r="J56" s="10">
        <f t="shared" si="5"/>
        <v>128.65709999999999</v>
      </c>
      <c r="K56" s="10">
        <f t="shared" si="6"/>
        <v>0.20072903054363275</v>
      </c>
      <c r="L56" s="10">
        <f t="shared" si="7"/>
        <v>0.27980286262120208</v>
      </c>
      <c r="M56" s="11">
        <f t="shared" si="11"/>
        <v>3.5891057719970587E-11</v>
      </c>
      <c r="N56" s="11">
        <f t="shared" si="8"/>
        <v>3.5891057719973237E-11</v>
      </c>
      <c r="O56" s="10">
        <f t="shared" si="9"/>
        <v>35.998624876542252</v>
      </c>
      <c r="R56" s="10">
        <v>41</v>
      </c>
      <c r="S56" s="10">
        <v>-3.3477000000000001</v>
      </c>
      <c r="T56" s="10">
        <v>-1099.992</v>
      </c>
      <c r="U56" s="10">
        <v>0.1298</v>
      </c>
      <c r="V56" s="11">
        <v>3E-11</v>
      </c>
      <c r="W56" s="11">
        <v>1.751E-5</v>
      </c>
      <c r="X56" s="11">
        <v>-8.0809999999999994E-8</v>
      </c>
      <c r="Y56" s="11">
        <v>0</v>
      </c>
      <c r="Z56" s="10">
        <v>-1</v>
      </c>
      <c r="AA56" s="11">
        <v>-1.9799999999999999E-4</v>
      </c>
      <c r="AB56" s="10">
        <v>20</v>
      </c>
      <c r="AG56" s="10">
        <v>44</v>
      </c>
      <c r="AH56" s="10">
        <v>-2.9575</v>
      </c>
      <c r="AI56" s="10">
        <v>-957.51099999999997</v>
      </c>
      <c r="AJ56" s="10">
        <v>0.1074</v>
      </c>
      <c r="AK56" s="11">
        <v>5.6120000000000002E-11</v>
      </c>
      <c r="AL56" s="11">
        <v>2.673E-5</v>
      </c>
      <c r="AM56" s="11">
        <v>-3.9350000000000002E-7</v>
      </c>
      <c r="AN56" s="11">
        <v>0</v>
      </c>
      <c r="AO56" s="10">
        <v>-1</v>
      </c>
      <c r="AP56" s="11">
        <v>-6.2399999999999999E-3</v>
      </c>
      <c r="AQ56" s="10">
        <v>20</v>
      </c>
    </row>
    <row r="57" spans="1:43">
      <c r="A57" s="10">
        <v>1000</v>
      </c>
      <c r="B57" s="10">
        <f t="shared" si="0"/>
        <v>98.966999999999999</v>
      </c>
      <c r="C57" s="10">
        <f t="shared" si="1"/>
        <v>0.24558788501797385</v>
      </c>
      <c r="D57" s="10">
        <f t="shared" si="2"/>
        <v>0.355092402482863</v>
      </c>
      <c r="E57" s="10">
        <f t="shared" si="3"/>
        <v>9.6586369550361509E-10</v>
      </c>
      <c r="F57" s="10">
        <f t="shared" si="4"/>
        <v>9.6586369550365976E-10</v>
      </c>
      <c r="G57" s="10">
        <f t="shared" si="10"/>
        <v>35.142429796521505</v>
      </c>
      <c r="I57" s="10">
        <v>1350</v>
      </c>
      <c r="J57" s="10">
        <f t="shared" si="5"/>
        <v>133.60544999999999</v>
      </c>
      <c r="K57" s="10">
        <f t="shared" si="6"/>
        <v>0.19927248936018793</v>
      </c>
      <c r="L57" s="10">
        <f t="shared" si="7"/>
        <v>0.2757569148894109</v>
      </c>
      <c r="M57" s="11">
        <f t="shared" si="11"/>
        <v>3.2104212178463195E-11</v>
      </c>
      <c r="N57" s="11">
        <f t="shared" si="8"/>
        <v>3.2104212178463195E-11</v>
      </c>
      <c r="O57" s="10">
        <f t="shared" si="9"/>
        <v>36.842626704411444</v>
      </c>
      <c r="R57" s="10">
        <v>42</v>
      </c>
      <c r="S57" s="10">
        <v>-3.3782999999999999</v>
      </c>
      <c r="T57" s="10">
        <v>-1194.94</v>
      </c>
      <c r="U57" s="10">
        <v>0.12820000000000001</v>
      </c>
      <c r="V57" s="11">
        <v>2.223E-11</v>
      </c>
      <c r="W57" s="11">
        <v>1.5319999999999999E-5</v>
      </c>
      <c r="X57" s="11">
        <v>-8.1240000000000005E-8</v>
      </c>
      <c r="Y57" s="11">
        <v>0</v>
      </c>
      <c r="Z57" s="10">
        <v>-1</v>
      </c>
      <c r="AA57" s="11">
        <v>-1.9900000000000001E-4</v>
      </c>
      <c r="AB57" s="10">
        <v>20</v>
      </c>
      <c r="AG57" s="10">
        <v>45</v>
      </c>
      <c r="AH57" s="10">
        <v>-2.9765000000000001</v>
      </c>
      <c r="AI57" s="10">
        <v>-1134.1890000000001</v>
      </c>
      <c r="AJ57" s="10">
        <v>0.1036</v>
      </c>
      <c r="AK57" s="11">
        <v>2.8699999999999998E-11</v>
      </c>
      <c r="AL57" s="11">
        <v>1.9539999999999999E-5</v>
      </c>
      <c r="AM57" s="11">
        <v>-3.9439999999999998E-7</v>
      </c>
      <c r="AN57" s="11">
        <v>0</v>
      </c>
      <c r="AO57" s="10">
        <v>-1</v>
      </c>
      <c r="AP57" s="11">
        <v>-6.2500000000000003E-3</v>
      </c>
      <c r="AQ57" s="10">
        <v>20</v>
      </c>
    </row>
    <row r="58" spans="1:43">
      <c r="A58" s="10">
        <v>1050</v>
      </c>
      <c r="B58" s="10">
        <f t="shared" si="0"/>
        <v>103.91535</v>
      </c>
      <c r="C58" s="10">
        <f t="shared" si="1"/>
        <v>0.24316648455988729</v>
      </c>
      <c r="D58" s="10">
        <f t="shared" si="2"/>
        <v>0.34918654770704216</v>
      </c>
      <c r="E58" s="10">
        <f t="shared" si="3"/>
        <v>8.408280847902689E-10</v>
      </c>
      <c r="F58" s="10">
        <f t="shared" si="4"/>
        <v>8.4082808479018598E-10</v>
      </c>
      <c r="G58" s="10">
        <f t="shared" si="10"/>
        <v>36.285842320268983</v>
      </c>
      <c r="I58" s="10">
        <v>1400</v>
      </c>
      <c r="J58" s="10">
        <f t="shared" si="5"/>
        <v>138.5538</v>
      </c>
      <c r="K58" s="10">
        <f t="shared" si="6"/>
        <v>0.19788813690129436</v>
      </c>
      <c r="L58" s="10">
        <f t="shared" si="7"/>
        <v>0.27191149139248433</v>
      </c>
      <c r="M58" s="11">
        <f t="shared" si="11"/>
        <v>2.8832538508066608E-11</v>
      </c>
      <c r="N58" s="11">
        <f t="shared" si="8"/>
        <v>2.8832538508064249E-11</v>
      </c>
      <c r="O58" s="10">
        <f t="shared" si="9"/>
        <v>37.674370396095995</v>
      </c>
      <c r="R58" s="10">
        <v>43</v>
      </c>
      <c r="S58" s="10">
        <v>-3.4062999999999999</v>
      </c>
      <c r="T58" s="10">
        <v>-1312.251</v>
      </c>
      <c r="U58" s="10">
        <v>0.12659999999999999</v>
      </c>
      <c r="V58" s="11">
        <v>1.6669999999999999E-11</v>
      </c>
      <c r="W58" s="11">
        <v>1.342E-5</v>
      </c>
      <c r="X58" s="11">
        <v>-8.1610000000000001E-8</v>
      </c>
      <c r="Y58" s="11">
        <v>0</v>
      </c>
      <c r="Z58" s="10">
        <v>-1</v>
      </c>
      <c r="AA58" s="11">
        <v>-1.9900000000000001E-4</v>
      </c>
      <c r="AB58" s="10">
        <v>20</v>
      </c>
      <c r="AG58" s="10">
        <v>46</v>
      </c>
      <c r="AH58" s="10">
        <v>-2.9933000000000001</v>
      </c>
      <c r="AI58" s="10">
        <v>-1495.126</v>
      </c>
      <c r="AJ58" s="10">
        <v>9.8299999999999998E-2</v>
      </c>
      <c r="AK58" s="11">
        <v>7.9430000000000004E-12</v>
      </c>
      <c r="AL58" s="11">
        <v>1.112E-5</v>
      </c>
      <c r="AM58" s="11">
        <v>-3.9490000000000002E-7</v>
      </c>
      <c r="AN58" s="11">
        <v>0</v>
      </c>
      <c r="AO58" s="10">
        <v>-1</v>
      </c>
      <c r="AP58" s="11">
        <v>-6.2599999999999999E-3</v>
      </c>
      <c r="AQ58" s="10">
        <v>20</v>
      </c>
    </row>
    <row r="59" spans="1:43">
      <c r="A59" s="10">
        <v>1100</v>
      </c>
      <c r="B59" s="10">
        <f t="shared" si="0"/>
        <v>108.86369999999999</v>
      </c>
      <c r="C59" s="10">
        <f t="shared" si="1"/>
        <v>0.24089275475654423</v>
      </c>
      <c r="D59" s="10">
        <f t="shared" si="2"/>
        <v>0.34364086525986393</v>
      </c>
      <c r="E59" s="10">
        <f t="shared" si="3"/>
        <v>7.3664528721156345E-10</v>
      </c>
      <c r="F59" s="10">
        <f t="shared" si="4"/>
        <v>7.366452872114861E-10</v>
      </c>
      <c r="G59" s="10">
        <f t="shared" si="10"/>
        <v>37.410016063390245</v>
      </c>
      <c r="I59" s="10">
        <v>1450</v>
      </c>
      <c r="J59" s="10">
        <f t="shared" si="5"/>
        <v>143.50215</v>
      </c>
      <c r="K59" s="10">
        <f t="shared" si="6"/>
        <v>0.19657004439442977</v>
      </c>
      <c r="L59" s="10">
        <f t="shared" si="7"/>
        <v>0.26825012331786047</v>
      </c>
      <c r="M59" s="11">
        <f t="shared" si="11"/>
        <v>2.5991277940892039E-11</v>
      </c>
      <c r="N59" s="11">
        <f t="shared" si="8"/>
        <v>2.5991277940894268E-11</v>
      </c>
      <c r="O59" s="10">
        <f t="shared" si="9"/>
        <v>38.494469433878109</v>
      </c>
      <c r="R59" s="10">
        <v>44</v>
      </c>
      <c r="S59" s="10">
        <v>-3.4317000000000002</v>
      </c>
      <c r="T59" s="10">
        <v>-1456.165</v>
      </c>
      <c r="U59" s="10">
        <v>0.12479999999999999</v>
      </c>
      <c r="V59" s="11">
        <v>1.2219999999999999E-11</v>
      </c>
      <c r="W59" s="11">
        <v>1.1559999999999999E-5</v>
      </c>
      <c r="X59" s="11">
        <v>-8.1890000000000001E-8</v>
      </c>
      <c r="Y59" s="11">
        <v>0</v>
      </c>
      <c r="Z59" s="10">
        <v>-1</v>
      </c>
      <c r="AA59" s="11">
        <v>-2.0000000000000001E-4</v>
      </c>
      <c r="AB59" s="10">
        <v>20</v>
      </c>
      <c r="AG59" s="10">
        <v>47</v>
      </c>
      <c r="AH59" s="10">
        <v>-3.0078</v>
      </c>
      <c r="AI59" s="10">
        <v>-2859.73</v>
      </c>
      <c r="AJ59" s="10">
        <v>9.06E-2</v>
      </c>
      <c r="AK59" s="11">
        <v>4.4980000000000001E-13</v>
      </c>
      <c r="AL59" s="11">
        <v>3.0860000000000002E-6</v>
      </c>
      <c r="AM59" s="11">
        <v>-3.953E-7</v>
      </c>
      <c r="AN59" s="11">
        <v>0</v>
      </c>
      <c r="AO59" s="10">
        <v>-1</v>
      </c>
      <c r="AP59" s="11">
        <v>-6.2700000000000004E-3</v>
      </c>
      <c r="AQ59" s="10">
        <v>20</v>
      </c>
    </row>
    <row r="60" spans="1:43">
      <c r="A60" s="10">
        <v>1150</v>
      </c>
      <c r="B60" s="10">
        <f t="shared" si="0"/>
        <v>113.81205</v>
      </c>
      <c r="C60" s="10">
        <f t="shared" si="1"/>
        <v>0.23875173906775682</v>
      </c>
      <c r="D60" s="10">
        <f t="shared" si="2"/>
        <v>0.33841887577501661</v>
      </c>
      <c r="E60" s="10">
        <f t="shared" si="3"/>
        <v>6.491246001236561E-10</v>
      </c>
      <c r="F60" s="10">
        <f t="shared" si="4"/>
        <v>6.4912460012361992E-10</v>
      </c>
      <c r="G60" s="10">
        <f t="shared" si="10"/>
        <v>38.516146010649976</v>
      </c>
      <c r="I60" s="10">
        <v>1500</v>
      </c>
      <c r="J60" s="10">
        <f t="shared" si="5"/>
        <v>148.45050000000001</v>
      </c>
      <c r="K60" s="10">
        <f t="shared" si="6"/>
        <v>0.19531294979519032</v>
      </c>
      <c r="L60" s="10">
        <f t="shared" si="7"/>
        <v>0.26475819387552862</v>
      </c>
      <c r="M60" s="11">
        <f t="shared" si="11"/>
        <v>2.3511874313742082E-11</v>
      </c>
      <c r="N60" s="11">
        <f t="shared" si="8"/>
        <v>2.3511874313737852E-11</v>
      </c>
      <c r="O60" s="10">
        <f t="shared" si="9"/>
        <v>39.303486259919161</v>
      </c>
      <c r="R60" s="10">
        <v>45</v>
      </c>
      <c r="S60" s="10">
        <v>-3.4546000000000001</v>
      </c>
      <c r="T60" s="10">
        <v>-1640.1780000000001</v>
      </c>
      <c r="U60" s="10">
        <v>0.1229</v>
      </c>
      <c r="V60" s="11">
        <v>8.1439999999999992E-12</v>
      </c>
      <c r="W60" s="11">
        <v>9.6490000000000003E-6</v>
      </c>
      <c r="X60" s="11">
        <v>-8.2119999999999997E-8</v>
      </c>
      <c r="Y60" s="11">
        <v>0</v>
      </c>
      <c r="Z60" s="10">
        <v>-1</v>
      </c>
      <c r="AA60" s="11">
        <v>-2.0100000000000001E-4</v>
      </c>
      <c r="AB60" s="10">
        <v>20</v>
      </c>
      <c r="AG60" s="10">
        <v>48</v>
      </c>
      <c r="AH60" s="10">
        <v>-3.02</v>
      </c>
      <c r="AI60" s="10">
        <v>-2859.7579999999998</v>
      </c>
      <c r="AJ60" s="10">
        <v>0.3392</v>
      </c>
      <c r="AK60" s="11">
        <v>2.4600000000000001E-7</v>
      </c>
      <c r="AL60" s="11">
        <v>1.7710000000000001E-6</v>
      </c>
      <c r="AM60" s="11">
        <v>-3.953E-7</v>
      </c>
      <c r="AN60" s="11">
        <v>0</v>
      </c>
      <c r="AO60" s="10">
        <v>-1</v>
      </c>
      <c r="AP60" s="11">
        <v>-6.2700000000000004E-3</v>
      </c>
      <c r="AQ60" s="10">
        <v>20</v>
      </c>
    </row>
    <row r="61" spans="1:43">
      <c r="A61" s="10">
        <v>1200</v>
      </c>
      <c r="B61" s="10">
        <f t="shared" si="0"/>
        <v>118.7604</v>
      </c>
      <c r="C61" s="10">
        <f t="shared" si="1"/>
        <v>0.23673054668657875</v>
      </c>
      <c r="D61" s="10">
        <f t="shared" si="2"/>
        <v>0.33348913825994814</v>
      </c>
      <c r="E61" s="10">
        <f t="shared" si="3"/>
        <v>5.7504929320387093E-10</v>
      </c>
      <c r="F61" s="10">
        <f t="shared" si="4"/>
        <v>5.7504929320393866E-10</v>
      </c>
      <c r="G61" s="10">
        <f t="shared" si="10"/>
        <v>39.605303455406748</v>
      </c>
      <c r="I61" s="10">
        <v>1550</v>
      </c>
      <c r="J61" s="10">
        <f t="shared" si="5"/>
        <v>153.39885000000001</v>
      </c>
      <c r="K61" s="10">
        <f t="shared" si="6"/>
        <v>0.19411216392380937</v>
      </c>
      <c r="L61" s="10">
        <f t="shared" si="7"/>
        <v>0.26142267756613713</v>
      </c>
      <c r="M61" s="11">
        <f t="shared" si="11"/>
        <v>2.1338472236184878E-11</v>
      </c>
      <c r="N61" s="11">
        <f t="shared" si="8"/>
        <v>2.1338472236178855E-11</v>
      </c>
      <c r="O61" s="10">
        <f t="shared" si="9"/>
        <v>40.101938102566237</v>
      </c>
      <c r="R61" s="10">
        <v>46</v>
      </c>
      <c r="S61" s="10">
        <v>-3.4748000000000001</v>
      </c>
      <c r="T61" s="10">
        <v>-1889.1189999999999</v>
      </c>
      <c r="U61" s="10">
        <v>0.1207</v>
      </c>
      <c r="V61" s="11">
        <v>5.2270000000000002E-12</v>
      </c>
      <c r="W61" s="11">
        <v>7.8320000000000006E-6</v>
      </c>
      <c r="X61" s="11">
        <v>-8.2269999999999995E-8</v>
      </c>
      <c r="Y61" s="11">
        <v>0</v>
      </c>
      <c r="Z61" s="10">
        <v>-1</v>
      </c>
      <c r="AA61" s="11">
        <v>-2.0100000000000001E-4</v>
      </c>
      <c r="AB61" s="10">
        <v>20</v>
      </c>
      <c r="AG61" s="10">
        <v>49</v>
      </c>
      <c r="AH61" s="10">
        <v>-3.1257999999999999</v>
      </c>
      <c r="AI61" s="10">
        <v>-2859.8220000000001</v>
      </c>
      <c r="AJ61" s="10">
        <v>0.3392</v>
      </c>
      <c r="AK61" s="11">
        <v>2.4600000000000001E-7</v>
      </c>
      <c r="AL61" s="11">
        <v>1.7710000000000001E-6</v>
      </c>
      <c r="AM61" s="11">
        <v>-3.9499999999999998E-7</v>
      </c>
      <c r="AN61" s="11">
        <v>0</v>
      </c>
      <c r="AO61" s="10">
        <v>-1</v>
      </c>
      <c r="AP61" s="11">
        <v>-6.2599999999999999E-3</v>
      </c>
      <c r="AQ61" s="10">
        <v>20</v>
      </c>
    </row>
    <row r="62" spans="1:43">
      <c r="A62" s="10">
        <v>1250</v>
      </c>
      <c r="B62" s="10">
        <f t="shared" si="0"/>
        <v>123.70874999999999</v>
      </c>
      <c r="C62" s="10">
        <f t="shared" si="1"/>
        <v>0.23481799736007961</v>
      </c>
      <c r="D62" s="10">
        <f t="shared" si="2"/>
        <v>0.32882438380507217</v>
      </c>
      <c r="E62" s="10">
        <f t="shared" si="3"/>
        <v>5.1192197474779536E-10</v>
      </c>
      <c r="F62" s="10">
        <f t="shared" si="4"/>
        <v>5.1192197474769992E-10</v>
      </c>
      <c r="G62" s="10">
        <f t="shared" si="10"/>
        <v>40.678453490045719</v>
      </c>
      <c r="I62" s="10">
        <v>1600</v>
      </c>
      <c r="J62" s="10">
        <f t="shared" si="5"/>
        <v>158.34719999999999</v>
      </c>
      <c r="K62" s="10">
        <f t="shared" si="6"/>
        <v>0.19296349230566306</v>
      </c>
      <c r="L62" s="10">
        <f t="shared" si="7"/>
        <v>0.25823192307128628</v>
      </c>
      <c r="M62" s="11">
        <f t="shared" si="11"/>
        <v>1.9425254222225847E-11</v>
      </c>
      <c r="N62" s="11">
        <f t="shared" si="8"/>
        <v>1.9425254222223937E-11</v>
      </c>
      <c r="O62" s="10">
        <f t="shared" si="9"/>
        <v>40.89030196895358</v>
      </c>
      <c r="R62" s="10">
        <v>47</v>
      </c>
      <c r="S62" s="10">
        <v>-3.4925000000000002</v>
      </c>
      <c r="T62" s="10">
        <v>-2236.2339999999999</v>
      </c>
      <c r="U62" s="10">
        <v>0.11840000000000001</v>
      </c>
      <c r="V62" s="11">
        <v>3.1500000000000001E-12</v>
      </c>
      <c r="W62" s="11">
        <v>6.1689999999999997E-6</v>
      </c>
      <c r="X62" s="11">
        <v>-8.2370000000000002E-8</v>
      </c>
      <c r="Y62" s="11">
        <v>0</v>
      </c>
      <c r="Z62" s="10">
        <v>-1</v>
      </c>
      <c r="AA62" s="11">
        <v>-2.0100000000000001E-4</v>
      </c>
      <c r="AB62" s="10">
        <v>20</v>
      </c>
      <c r="AG62" s="10">
        <v>50</v>
      </c>
      <c r="AH62" s="10">
        <v>-3.2317</v>
      </c>
      <c r="AI62" s="10">
        <v>-2859.886</v>
      </c>
      <c r="AJ62" s="10">
        <v>0.3392</v>
      </c>
      <c r="AK62" s="11">
        <v>2.4600000000000001E-7</v>
      </c>
      <c r="AL62" s="11">
        <v>1.7710000000000001E-6</v>
      </c>
      <c r="AM62" s="11">
        <v>-3.9499999999999998E-7</v>
      </c>
      <c r="AN62" s="11">
        <v>0</v>
      </c>
      <c r="AO62" s="10">
        <v>-1</v>
      </c>
      <c r="AP62" s="11">
        <v>-6.2599999999999999E-3</v>
      </c>
      <c r="AQ62" s="10">
        <v>20</v>
      </c>
    </row>
    <row r="63" spans="1:43">
      <c r="A63" s="10">
        <v>1300</v>
      </c>
      <c r="B63" s="10">
        <f t="shared" si="0"/>
        <v>128.65709999999999</v>
      </c>
      <c r="C63" s="10">
        <f t="shared" si="1"/>
        <v>0.23300433835435325</v>
      </c>
      <c r="D63" s="10">
        <f t="shared" si="2"/>
        <v>0.32440082525452008</v>
      </c>
      <c r="E63" s="10">
        <f t="shared" si="3"/>
        <v>4.5778337291213475E-10</v>
      </c>
      <c r="F63" s="10">
        <f t="shared" si="4"/>
        <v>4.5778337291213465E-10</v>
      </c>
      <c r="G63" s="10">
        <f t="shared" si="10"/>
        <v>41.73646941485331</v>
      </c>
      <c r="I63" s="10">
        <v>1650</v>
      </c>
      <c r="J63" s="10">
        <f t="shared" si="5"/>
        <v>163.29554999999999</v>
      </c>
      <c r="K63" s="10">
        <f t="shared" si="6"/>
        <v>0.19186316969743189</v>
      </c>
      <c r="L63" s="10">
        <f t="shared" si="7"/>
        <v>0.25517547138175523</v>
      </c>
      <c r="M63" s="11">
        <f t="shared" si="11"/>
        <v>1.773439727138713E-11</v>
      </c>
      <c r="N63" s="11">
        <f t="shared" si="8"/>
        <v>1.7734397271381666E-11</v>
      </c>
      <c r="O63" s="10">
        <f t="shared" si="9"/>
        <v>41.669018945792978</v>
      </c>
      <c r="R63" s="10">
        <v>48</v>
      </c>
      <c r="S63" s="10">
        <v>-3.5074999999999998</v>
      </c>
      <c r="T63" s="10">
        <v>-2757.93</v>
      </c>
      <c r="U63" s="10">
        <v>0.1157</v>
      </c>
      <c r="V63" s="11">
        <v>1.6109999999999999E-12</v>
      </c>
      <c r="W63" s="11">
        <v>4.5290000000000002E-6</v>
      </c>
      <c r="X63" s="11">
        <v>-8.2609999999999997E-8</v>
      </c>
      <c r="Y63" s="11">
        <v>0</v>
      </c>
      <c r="Z63" s="10">
        <v>-1</v>
      </c>
      <c r="AA63" s="11">
        <v>-2.02E-4</v>
      </c>
      <c r="AB63" s="10">
        <v>20</v>
      </c>
      <c r="AG63" s="10">
        <v>51</v>
      </c>
      <c r="AH63" s="10">
        <v>-3.3374999999999999</v>
      </c>
      <c r="AI63" s="10">
        <v>-2859.95</v>
      </c>
      <c r="AJ63" s="10">
        <v>0.3392</v>
      </c>
      <c r="AK63" s="11">
        <v>2.4600000000000001E-7</v>
      </c>
      <c r="AL63" s="11">
        <v>1.7710000000000001E-6</v>
      </c>
      <c r="AM63" s="11">
        <v>-3.953E-7</v>
      </c>
      <c r="AN63" s="11">
        <v>0</v>
      </c>
      <c r="AO63" s="10">
        <v>-1</v>
      </c>
      <c r="AP63" s="11">
        <v>-6.2700000000000004E-3</v>
      </c>
      <c r="AQ63" s="10">
        <v>20</v>
      </c>
    </row>
    <row r="64" spans="1:43">
      <c r="A64" s="10">
        <v>1350</v>
      </c>
      <c r="B64" s="10">
        <f t="shared" si="0"/>
        <v>133.60544999999999</v>
      </c>
      <c r="C64" s="10">
        <f t="shared" si="1"/>
        <v>0.23128101682857577</v>
      </c>
      <c r="D64" s="10">
        <f t="shared" si="2"/>
        <v>0.32019760202091646</v>
      </c>
      <c r="E64" s="10">
        <f t="shared" si="3"/>
        <v>4.1108153260565986E-10</v>
      </c>
      <c r="F64" s="10">
        <f t="shared" si="4"/>
        <v>4.1108153260563153E-10</v>
      </c>
      <c r="G64" s="10">
        <f t="shared" si="10"/>
        <v>42.780144706925448</v>
      </c>
      <c r="I64" s="10">
        <v>1700</v>
      </c>
      <c r="J64" s="10">
        <f t="shared" si="5"/>
        <v>168.2439</v>
      </c>
      <c r="K64" s="10">
        <f t="shared" si="6"/>
        <v>0.19080780493138944</v>
      </c>
      <c r="L64" s="10">
        <f t="shared" si="7"/>
        <v>0.25224390258719287</v>
      </c>
      <c r="M64" s="11">
        <f t="shared" si="11"/>
        <v>1.623449138889638E-11</v>
      </c>
      <c r="N64" s="11">
        <f t="shared" si="8"/>
        <v>1.6234491388892909E-11</v>
      </c>
      <c r="O64" s="10">
        <f t="shared" si="9"/>
        <v>42.438497922489418</v>
      </c>
      <c r="R64" s="10">
        <v>49</v>
      </c>
      <c r="S64" s="10">
        <v>-3.52</v>
      </c>
      <c r="T64" s="10">
        <v>-2757.933</v>
      </c>
      <c r="U64" s="10">
        <v>0.33939999999999998</v>
      </c>
      <c r="V64" s="11">
        <v>1.342E-7</v>
      </c>
      <c r="W64" s="11">
        <v>1.469E-6</v>
      </c>
      <c r="X64" s="11">
        <v>-8.2430000000000004E-8</v>
      </c>
      <c r="Y64" s="11">
        <v>0</v>
      </c>
      <c r="Z64" s="10">
        <v>-1</v>
      </c>
      <c r="AA64" s="11">
        <v>-2.02E-4</v>
      </c>
      <c r="AB64" s="10">
        <v>20</v>
      </c>
      <c r="AG64" s="10" t="s">
        <v>111</v>
      </c>
    </row>
    <row r="65" spans="1:28">
      <c r="A65" s="10">
        <v>1400</v>
      </c>
      <c r="B65" s="10">
        <f t="shared" si="0"/>
        <v>138.5538</v>
      </c>
      <c r="C65" s="10">
        <f t="shared" si="1"/>
        <v>0.22964049521299401</v>
      </c>
      <c r="D65" s="10">
        <f t="shared" si="2"/>
        <v>0.31619632978779022</v>
      </c>
      <c r="E65" s="10">
        <f t="shared" si="3"/>
        <v>3.7057616856656349E-10</v>
      </c>
      <c r="F65" s="10">
        <f t="shared" si="4"/>
        <v>3.7057616856659038E-10</v>
      </c>
      <c r="G65" s="10">
        <f t="shared" si="10"/>
        <v>43.810203038151528</v>
      </c>
      <c r="I65" s="10">
        <v>1750</v>
      </c>
      <c r="J65" s="10">
        <f t="shared" si="5"/>
        <v>173.19225</v>
      </c>
      <c r="K65" s="10">
        <f t="shared" si="6"/>
        <v>0.18979433420640662</v>
      </c>
      <c r="L65" s="10">
        <f t="shared" si="7"/>
        <v>0.24942870612890727</v>
      </c>
      <c r="M65" s="11">
        <f t="shared" si="11"/>
        <v>1.4899305806214147E-11</v>
      </c>
      <c r="N65" s="11">
        <f t="shared" si="8"/>
        <v>1.4899305806214147E-11</v>
      </c>
      <c r="O65" s="10">
        <f t="shared" si="9"/>
        <v>43.199118829054242</v>
      </c>
      <c r="R65" s="10">
        <v>50</v>
      </c>
      <c r="S65" s="10">
        <v>-3.6787999999999998</v>
      </c>
      <c r="T65" s="10">
        <v>-2757.8710000000001</v>
      </c>
      <c r="U65" s="10">
        <v>0.33939999999999998</v>
      </c>
      <c r="V65" s="11">
        <v>1.342E-7</v>
      </c>
      <c r="W65" s="11">
        <v>1.469E-6</v>
      </c>
      <c r="X65" s="11">
        <v>-8.2399999999999997E-8</v>
      </c>
      <c r="Y65" s="11">
        <v>0</v>
      </c>
      <c r="Z65" s="10">
        <v>-1</v>
      </c>
      <c r="AA65" s="11">
        <v>-2.0100000000000001E-4</v>
      </c>
      <c r="AB65" s="10">
        <v>20</v>
      </c>
    </row>
    <row r="66" spans="1:28">
      <c r="A66" s="10">
        <v>1450</v>
      </c>
      <c r="B66" s="10">
        <f t="shared" si="0"/>
        <v>143.50215</v>
      </c>
      <c r="C66" s="10">
        <f t="shared" si="1"/>
        <v>0.22807610028754305</v>
      </c>
      <c r="D66" s="10">
        <f t="shared" si="2"/>
        <v>0.31238073240864156</v>
      </c>
      <c r="E66" s="10">
        <f t="shared" si="3"/>
        <v>3.3526788237011465E-10</v>
      </c>
      <c r="F66" s="10">
        <f t="shared" si="4"/>
        <v>3.352678823701146E-10</v>
      </c>
      <c r="G66" s="10">
        <f t="shared" si="10"/>
        <v>44.827306719214739</v>
      </c>
      <c r="I66" s="10">
        <v>1800</v>
      </c>
      <c r="J66" s="10">
        <f t="shared" si="5"/>
        <v>178.14060000000001</v>
      </c>
      <c r="K66" s="10">
        <f t="shared" si="6"/>
        <v>0.18881998133568012</v>
      </c>
      <c r="L66" s="10">
        <f t="shared" si="7"/>
        <v>0.2467221703768892</v>
      </c>
      <c r="M66" s="11">
        <f t="shared" si="11"/>
        <v>1.3706819210055339E-11</v>
      </c>
      <c r="N66" s="11">
        <f t="shared" si="8"/>
        <v>1.3706819210055338E-11</v>
      </c>
      <c r="O66" s="10">
        <f t="shared" si="9"/>
        <v>43.951235464241272</v>
      </c>
      <c r="R66" s="10">
        <v>51</v>
      </c>
      <c r="S66" s="10">
        <v>-3.8374999999999999</v>
      </c>
      <c r="T66" s="10">
        <v>-2757.81</v>
      </c>
      <c r="U66" s="10">
        <v>0.33939999999999998</v>
      </c>
      <c r="V66" s="11">
        <v>1.342E-7</v>
      </c>
      <c r="W66" s="11">
        <v>1.469E-6</v>
      </c>
      <c r="X66" s="11">
        <v>-8.2399999999999997E-8</v>
      </c>
      <c r="Y66" s="11">
        <v>0</v>
      </c>
      <c r="Z66" s="10">
        <v>-1</v>
      </c>
      <c r="AA66" s="11">
        <v>-2.0100000000000001E-4</v>
      </c>
      <c r="AB66" s="10">
        <v>20</v>
      </c>
    </row>
    <row r="67" spans="1:28">
      <c r="A67" s="10">
        <v>1500</v>
      </c>
      <c r="B67" s="10">
        <f t="shared" si="0"/>
        <v>148.45050000000001</v>
      </c>
      <c r="C67" s="10">
        <f t="shared" si="1"/>
        <v>0.2265818989083121</v>
      </c>
      <c r="D67" s="10">
        <f t="shared" si="2"/>
        <v>0.30873633880076118</v>
      </c>
      <c r="E67" s="10">
        <f t="shared" si="3"/>
        <v>3.0434519523159867E-10</v>
      </c>
      <c r="F67" s="10">
        <f t="shared" si="4"/>
        <v>3.0434519523157452E-10</v>
      </c>
      <c r="G67" s="10">
        <f t="shared" si="10"/>
        <v>45.832063863142402</v>
      </c>
      <c r="I67" s="10">
        <v>1850</v>
      </c>
      <c r="J67" s="10">
        <f t="shared" si="5"/>
        <v>183.08895000000001</v>
      </c>
      <c r="K67" s="10">
        <f t="shared" si="6"/>
        <v>0.18788222375678526</v>
      </c>
      <c r="L67" s="10">
        <f t="shared" si="7"/>
        <v>0.24411728821329237</v>
      </c>
      <c r="M67" s="11">
        <f t="shared" si="11"/>
        <v>1.2638452085338504E-11</v>
      </c>
      <c r="N67" s="11">
        <f t="shared" si="8"/>
        <v>1.2638452085338502E-11</v>
      </c>
      <c r="O67" s="10">
        <f t="shared" si="9"/>
        <v>44.695177975819078</v>
      </c>
      <c r="R67" s="10" t="s">
        <v>111</v>
      </c>
    </row>
    <row r="68" spans="1:28">
      <c r="A68" s="10">
        <v>1550</v>
      </c>
      <c r="B68" s="10">
        <f t="shared" si="0"/>
        <v>153.39885000000001</v>
      </c>
      <c r="C68" s="10">
        <f t="shared" si="1"/>
        <v>0.2251525949813768</v>
      </c>
      <c r="D68" s="10">
        <f t="shared" si="2"/>
        <v>0.30525023166189458</v>
      </c>
      <c r="E68" s="10">
        <f t="shared" si="3"/>
        <v>2.7714450177544757E-10</v>
      </c>
      <c r="F68" s="10">
        <f t="shared" si="4"/>
        <v>2.7714450177542456E-10</v>
      </c>
      <c r="G68" s="10">
        <f t="shared" si="10"/>
        <v>46.825034499168218</v>
      </c>
      <c r="I68" s="10">
        <v>1900</v>
      </c>
      <c r="J68" s="10">
        <f t="shared" si="5"/>
        <v>188.03729999999999</v>
      </c>
      <c r="K68" s="10">
        <f t="shared" si="6"/>
        <v>0.18697876334044652</v>
      </c>
      <c r="L68" s="10">
        <f t="shared" si="7"/>
        <v>0.24160767594568477</v>
      </c>
      <c r="M68" s="11">
        <f t="shared" si="11"/>
        <v>1.1678454989431584E-11</v>
      </c>
      <c r="N68" s="11">
        <f t="shared" si="8"/>
        <v>1.1678454989425756E-11</v>
      </c>
      <c r="O68" s="10">
        <f t="shared" si="9"/>
        <v>45.431255044101512</v>
      </c>
    </row>
    <row r="69" spans="1:28">
      <c r="A69" s="10">
        <v>1600</v>
      </c>
      <c r="B69" s="10">
        <f t="shared" si="0"/>
        <v>158.34719999999999</v>
      </c>
      <c r="C69" s="10">
        <f t="shared" si="1"/>
        <v>0.22378344351001106</v>
      </c>
      <c r="D69" s="10">
        <f t="shared" si="2"/>
        <v>0.30191083782929523</v>
      </c>
      <c r="E69" s="10">
        <f t="shared" si="3"/>
        <v>2.5311950077784813E-10</v>
      </c>
      <c r="F69" s="10">
        <f t="shared" si="4"/>
        <v>2.5311950077787005E-10</v>
      </c>
      <c r="G69" s="10">
        <f t="shared" si="10"/>
        <v>47.806735819922977</v>
      </c>
      <c r="I69" s="10">
        <v>1950</v>
      </c>
      <c r="J69" s="10">
        <f t="shared" si="5"/>
        <v>192.98564999999999</v>
      </c>
      <c r="K69" s="10">
        <f t="shared" si="6"/>
        <v>0.18610750121590541</v>
      </c>
      <c r="L69" s="10">
        <f t="shared" si="7"/>
        <v>0.23918750337751504</v>
      </c>
      <c r="M69" s="11">
        <f t="shared" si="11"/>
        <v>1.0813418008794549E-11</v>
      </c>
      <c r="N69" s="11">
        <f t="shared" si="8"/>
        <v>1.0813418008788957E-11</v>
      </c>
      <c r="O69" s="10">
        <f t="shared" si="9"/>
        <v>46.159755811186933</v>
      </c>
    </row>
    <row r="70" spans="1:28">
      <c r="A70" s="10">
        <v>1650</v>
      </c>
      <c r="B70" s="10">
        <f t="shared" si="0"/>
        <v>163.29554999999999</v>
      </c>
      <c r="C70" s="10">
        <f t="shared" si="1"/>
        <v>0.22247017846108719</v>
      </c>
      <c r="D70" s="10">
        <f t="shared" si="2"/>
        <v>0.29870775234411506</v>
      </c>
      <c r="E70" s="10">
        <f t="shared" si="3"/>
        <v>2.3181765012247625E-10</v>
      </c>
      <c r="F70" s="10">
        <f t="shared" si="4"/>
        <v>2.3181765012239262E-10</v>
      </c>
      <c r="G70" s="10">
        <f t="shared" si="10"/>
        <v>48.777646708296054</v>
      </c>
      <c r="I70" s="10">
        <v>2000</v>
      </c>
      <c r="J70" s="10">
        <f t="shared" si="5"/>
        <v>197.934</v>
      </c>
      <c r="K70" s="10">
        <f t="shared" si="6"/>
        <v>0.18526651597443014</v>
      </c>
      <c r="L70" s="10">
        <f t="shared" si="7"/>
        <v>0.23685143326230593</v>
      </c>
      <c r="M70" s="11">
        <f t="shared" si="11"/>
        <v>1.0031875044686125E-11</v>
      </c>
      <c r="N70" s="11">
        <f t="shared" si="8"/>
        <v>1.0031875044683439E-11</v>
      </c>
      <c r="O70" s="10">
        <f t="shared" si="9"/>
        <v>46.880951591341258</v>
      </c>
    </row>
    <row r="71" spans="1:28">
      <c r="A71" s="10">
        <v>1700</v>
      </c>
      <c r="B71" s="10">
        <f t="shared" si="0"/>
        <v>168.2439</v>
      </c>
      <c r="C71" s="10">
        <f t="shared" si="1"/>
        <v>0.22120895189288051</v>
      </c>
      <c r="D71" s="10">
        <f t="shared" si="2"/>
        <v>0.29563158998263533</v>
      </c>
      <c r="E71" s="10">
        <f t="shared" si="3"/>
        <v>2.1286187926697343E-10</v>
      </c>
      <c r="F71" s="10">
        <f t="shared" si="4"/>
        <v>2.1286187926703337E-10</v>
      </c>
      <c r="G71" s="10">
        <f t="shared" si="10"/>
        <v>49.738211661879497</v>
      </c>
      <c r="I71" s="10">
        <v>2050</v>
      </c>
      <c r="J71" s="10">
        <f t="shared" si="5"/>
        <v>202.88235</v>
      </c>
      <c r="K71" s="10">
        <f t="shared" si="6"/>
        <v>0.18445404472695984</v>
      </c>
      <c r="L71" s="10">
        <f t="shared" si="7"/>
        <v>0.23459456868599954</v>
      </c>
      <c r="M71" s="11">
        <f t="shared" si="11"/>
        <v>9.3239827916829478E-12</v>
      </c>
      <c r="N71" s="11">
        <f t="shared" si="8"/>
        <v>9.3239827916777795E-12</v>
      </c>
      <c r="O71" s="10">
        <f t="shared" si="9"/>
        <v>47.595097392252001</v>
      </c>
    </row>
    <row r="72" spans="1:28">
      <c r="A72" s="10">
        <v>1750</v>
      </c>
      <c r="B72" s="10">
        <f t="shared" si="0"/>
        <v>173.19225</v>
      </c>
      <c r="C72" s="10">
        <f t="shared" si="1"/>
        <v>0.21999628231851287</v>
      </c>
      <c r="D72" s="10">
        <f t="shared" si="2"/>
        <v>0.29267385931344597</v>
      </c>
      <c r="E72" s="10">
        <f t="shared" si="3"/>
        <v>1.9593627313925693E-10</v>
      </c>
      <c r="F72" s="10">
        <f t="shared" si="4"/>
        <v>1.959362731392378E-10</v>
      </c>
      <c r="G72" s="10">
        <f t="shared" si="10"/>
        <v>50.688844210679164</v>
      </c>
      <c r="I72" s="10">
        <v>2100</v>
      </c>
      <c r="J72" s="10">
        <f t="shared" si="5"/>
        <v>207.83070000000001</v>
      </c>
      <c r="K72" s="10">
        <f t="shared" si="6"/>
        <v>0.18366846658359728</v>
      </c>
      <c r="L72" s="10">
        <f t="shared" si="7"/>
        <v>0.23241240717665912</v>
      </c>
      <c r="M72" s="11">
        <f t="shared" si="11"/>
        <v>8.6812589138667919E-12</v>
      </c>
      <c r="N72" s="11">
        <f t="shared" si="8"/>
        <v>8.6812589138680359E-12</v>
      </c>
      <c r="O72" s="10">
        <f t="shared" si="9"/>
        <v>48.302433272210088</v>
      </c>
    </row>
    <row r="73" spans="1:28">
      <c r="A73" s="10">
        <v>1800</v>
      </c>
      <c r="B73" s="10">
        <f t="shared" si="0"/>
        <v>178.14060000000001</v>
      </c>
      <c r="C73" s="10">
        <f t="shared" si="1"/>
        <v>0.2188290106891172</v>
      </c>
      <c r="D73" s="10">
        <f t="shared" si="2"/>
        <v>0.28982685533931019</v>
      </c>
      <c r="E73" s="10">
        <f t="shared" si="3"/>
        <v>1.8077478192028359E-10</v>
      </c>
      <c r="F73" s="10">
        <f t="shared" si="4"/>
        <v>1.8077478192028364E-10</v>
      </c>
      <c r="G73" s="10">
        <f t="shared" si="10"/>
        <v>51.629929906257921</v>
      </c>
      <c r="I73" s="10">
        <v>2150</v>
      </c>
      <c r="J73" s="10">
        <f t="shared" si="5"/>
        <v>212.77905000000001</v>
      </c>
      <c r="K73" s="10">
        <f t="shared" si="6"/>
        <v>0.18290828819658844</v>
      </c>
      <c r="L73" s="10">
        <f t="shared" si="7"/>
        <v>0.23030080054607899</v>
      </c>
      <c r="M73" s="11">
        <f t="shared" si="11"/>
        <v>8.0963674145700125E-12</v>
      </c>
      <c r="N73" s="11">
        <f t="shared" si="8"/>
        <v>8.0963674145700093E-12</v>
      </c>
      <c r="O73" s="10">
        <f t="shared" si="9"/>
        <v>49.003185554434168</v>
      </c>
    </row>
    <row r="74" spans="1:28">
      <c r="A74" s="10">
        <v>1850</v>
      </c>
      <c r="B74" s="10">
        <f t="shared" si="0"/>
        <v>183.08895000000001</v>
      </c>
      <c r="C74" s="10">
        <f t="shared" si="1"/>
        <v>0.21770426269904564</v>
      </c>
      <c r="D74" s="10">
        <f t="shared" si="2"/>
        <v>0.28708356755864783</v>
      </c>
      <c r="E74" s="10">
        <f t="shared" si="3"/>
        <v>1.6715225503012222E-10</v>
      </c>
      <c r="F74" s="10">
        <f t="shared" si="4"/>
        <v>1.6715225503012228E-10</v>
      </c>
      <c r="G74" s="10">
        <f t="shared" si="10"/>
        <v>52.561828946566898</v>
      </c>
      <c r="I74" s="10">
        <v>2200</v>
      </c>
      <c r="J74" s="10">
        <f t="shared" si="5"/>
        <v>217.72739999999999</v>
      </c>
      <c r="K74" s="10">
        <f t="shared" si="6"/>
        <v>0.18217213106833069</v>
      </c>
      <c r="L74" s="10">
        <f t="shared" si="7"/>
        <v>0.2282559196342519</v>
      </c>
      <c r="M74" s="11">
        <f t="shared" si="11"/>
        <v>7.5629418404928153E-12</v>
      </c>
      <c r="N74" s="11">
        <f t="shared" si="8"/>
        <v>7.5629418404928169E-12</v>
      </c>
      <c r="O74" s="10">
        <f t="shared" si="9"/>
        <v>49.697567916574613</v>
      </c>
    </row>
    <row r="75" spans="1:28">
      <c r="A75" s="10">
        <v>1900</v>
      </c>
      <c r="B75" s="10">
        <f t="shared" si="0"/>
        <v>188.03729999999999</v>
      </c>
      <c r="C75" s="10">
        <f t="shared" si="1"/>
        <v>0.21661941636438356</v>
      </c>
      <c r="D75" s="10">
        <f t="shared" si="2"/>
        <v>0.28443760088874037</v>
      </c>
      <c r="E75" s="10">
        <f t="shared" si="3"/>
        <v>1.5487727401710349E-10</v>
      </c>
      <c r="F75" s="10">
        <f t="shared" si="4"/>
        <v>1.548772740170697E-10</v>
      </c>
      <c r="G75" s="10">
        <f t="shared" si="10"/>
        <v>53.484878489596333</v>
      </c>
      <c r="I75" s="10">
        <v>2250</v>
      </c>
      <c r="J75" s="10">
        <f t="shared" si="5"/>
        <v>222.67574999999999</v>
      </c>
      <c r="K75" s="10">
        <f t="shared" si="6"/>
        <v>0.18145872037474658</v>
      </c>
      <c r="L75" s="10">
        <f t="shared" si="7"/>
        <v>0.22627422326318494</v>
      </c>
      <c r="M75" s="11">
        <f t="shared" si="11"/>
        <v>7.0754389788226708E-12</v>
      </c>
      <c r="N75" s="11">
        <f t="shared" si="8"/>
        <v>7.0754389788226716E-12</v>
      </c>
      <c r="O75" s="10">
        <f t="shared" si="9"/>
        <v>50.385782370797152</v>
      </c>
    </row>
    <row r="76" spans="1:28">
      <c r="A76" s="10">
        <v>1950</v>
      </c>
      <c r="B76" s="10">
        <f t="shared" si="0"/>
        <v>192.98564999999999</v>
      </c>
      <c r="C76" s="10">
        <f t="shared" si="1"/>
        <v>0.21557207402213568</v>
      </c>
      <c r="D76" s="10">
        <f t="shared" si="2"/>
        <v>0.28188310737106259</v>
      </c>
      <c r="E76" s="10">
        <f t="shared" si="3"/>
        <v>1.4378638783067725E-10</v>
      </c>
      <c r="F76" s="10">
        <f t="shared" si="4"/>
        <v>1.4378638783064481E-10</v>
      </c>
      <c r="G76" s="10">
        <f t="shared" si="10"/>
        <v>54.399394700024303</v>
      </c>
      <c r="I76" s="10">
        <v>2300</v>
      </c>
      <c r="J76" s="10">
        <f t="shared" si="5"/>
        <v>227.6241</v>
      </c>
      <c r="K76" s="10">
        <f t="shared" si="6"/>
        <v>0.18076687509429273</v>
      </c>
      <c r="L76" s="10">
        <f t="shared" si="7"/>
        <v>0.2243524308174798</v>
      </c>
      <c r="M76" s="11">
        <f t="shared" si="11"/>
        <v>6.6290172553323588E-12</v>
      </c>
      <c r="N76" s="11">
        <f t="shared" si="8"/>
        <v>6.6290172553323572E-12</v>
      </c>
      <c r="O76" s="10">
        <f t="shared" si="9"/>
        <v>51.0680201476411</v>
      </c>
    </row>
    <row r="77" spans="1:28">
      <c r="A77" s="10">
        <v>2000</v>
      </c>
      <c r="B77" s="10">
        <f t="shared" si="0"/>
        <v>197.934</v>
      </c>
      <c r="C77" s="10">
        <f t="shared" si="1"/>
        <v>0.21456003805295459</v>
      </c>
      <c r="D77" s="10">
        <f t="shared" si="2"/>
        <v>0.27941472695842579</v>
      </c>
      <c r="E77" s="10">
        <f t="shared" si="3"/>
        <v>1.3373944882355067E-10</v>
      </c>
      <c r="F77" s="10">
        <f t="shared" si="4"/>
        <v>1.337394488235507E-10</v>
      </c>
      <c r="G77" s="10">
        <f t="shared" si="10"/>
        <v>55.305674565789047</v>
      </c>
      <c r="I77" s="10">
        <v>2350</v>
      </c>
      <c r="J77" s="10">
        <f t="shared" si="5"/>
        <v>232.57245</v>
      </c>
      <c r="K77" s="10">
        <f t="shared" si="6"/>
        <v>0.18009549926571888</v>
      </c>
      <c r="L77" s="10">
        <f t="shared" si="7"/>
        <v>0.22248749796033024</v>
      </c>
      <c r="M77" s="11">
        <f t="shared" si="11"/>
        <v>6.2194352385455657E-12</v>
      </c>
      <c r="N77" s="11">
        <f t="shared" si="8"/>
        <v>6.2194352385445244E-12</v>
      </c>
      <c r="O77" s="10">
        <f t="shared" si="9"/>
        <v>51.744462495004008</v>
      </c>
    </row>
    <row r="78" spans="1:28">
      <c r="A78" s="10">
        <v>2050</v>
      </c>
      <c r="B78" s="10">
        <f t="shared" ref="B78:B141" si="12">0.098967*A78</f>
        <v>202.88235</v>
      </c>
      <c r="C78" s="10">
        <f t="shared" ref="C78:C141" si="13">$B$6+(($B$7-$B$6)/(1+($B$3*A78)^$B$4)^$B$5)</f>
        <v>0.2135812897543653</v>
      </c>
      <c r="D78" s="10">
        <f t="shared" ref="D78:D141" si="14">(C78-$B$6)/($B$7-$B$6)</f>
        <v>0.27702753598625679</v>
      </c>
      <c r="E78" s="10">
        <f t="shared" ref="E78:E141" si="15">$B$8*D78^$B$9*(1-(1-D78^(1/$B$5))^$B$5)^2</f>
        <v>1.2461581829694808E-10</v>
      </c>
      <c r="F78" s="10">
        <f t="shared" ref="F78:F141" si="16">$B$8*((1-(($B$3*A78)^($B$4-1))*(1+($B$3*A78)^$B$4)^(-1+1/$B$4))^2)/(1+($B$3*A78)^$B$4)^(0.5-(1/(2*$B$4)))</f>
        <v>1.2461581829694808E-10</v>
      </c>
      <c r="G78" s="10">
        <f t="shared" si="10"/>
        <v>56.203997515601344</v>
      </c>
      <c r="I78" s="10">
        <v>2400</v>
      </c>
      <c r="J78" s="10">
        <f t="shared" ref="J78:J141" si="17">0.098967*I78</f>
        <v>237.52080000000001</v>
      </c>
      <c r="K78" s="10">
        <f t="shared" ref="K78:K141" si="18">$J$6+(($J$7-$J$6)/(1+($J$3*I78)^$J$4)^$J$5)</f>
        <v>0.17944357422481461</v>
      </c>
      <c r="L78" s="10">
        <f t="shared" ref="L78:L141" si="19">(K78-$J$6)/($J$7-$J$6)</f>
        <v>0.22067659506892945</v>
      </c>
      <c r="M78" s="11">
        <f t="shared" si="11"/>
        <v>5.8429665855946853E-12</v>
      </c>
      <c r="N78" s="11">
        <f t="shared" ref="N78:N141" si="20">$J$8*((1-(($J$3*I78)^($J$4-1))*(1+($J$3*I78)^$J$4)^(-1+1/$J$4))^2)/(1+($J$3*I78)^$J$4)^(0.5-(1/(2*$J$4)))</f>
        <v>5.842966585593678E-12</v>
      </c>
      <c r="O78" s="10">
        <f t="shared" ref="O78:O141" si="21">L78*J78</f>
        <v>52.41528140204818</v>
      </c>
    </row>
    <row r="79" spans="1:28">
      <c r="A79" s="10">
        <v>2100</v>
      </c>
      <c r="B79" s="10">
        <f t="shared" si="12"/>
        <v>207.83070000000001</v>
      </c>
      <c r="C79" s="10">
        <f t="shared" si="13"/>
        <v>0.21263397089104041</v>
      </c>
      <c r="D79" s="10">
        <f t="shared" si="14"/>
        <v>0.27471700217326928</v>
      </c>
      <c r="E79" s="10">
        <f t="shared" si="15"/>
        <v>1.1631126316607652E-10</v>
      </c>
      <c r="F79" s="10">
        <f t="shared" si="16"/>
        <v>1.1631126316604751E-10</v>
      </c>
      <c r="G79" s="10">
        <f t="shared" ref="G79:G142" si="22">D79*B79</f>
        <v>57.094626863572074</v>
      </c>
      <c r="I79" s="10">
        <v>2450</v>
      </c>
      <c r="J79" s="10">
        <f t="shared" si="17"/>
        <v>242.46914999999998</v>
      </c>
      <c r="K79" s="10">
        <f t="shared" si="18"/>
        <v>0.17881015169288503</v>
      </c>
      <c r="L79" s="10">
        <f t="shared" si="19"/>
        <v>0.21891708803579174</v>
      </c>
      <c r="M79" s="11">
        <f t="shared" ref="M79:M142" si="23">$J$8*L79^$J$9*(1-(1-L79^(1/$J$5))^$J$5)^2</f>
        <v>5.4963284926691286E-12</v>
      </c>
      <c r="N79" s="11">
        <f t="shared" si="20"/>
        <v>5.4963284926691286E-12</v>
      </c>
      <c r="O79" s="10">
        <f t="shared" si="21"/>
        <v>53.08064025651359</v>
      </c>
    </row>
    <row r="80" spans="1:28">
      <c r="A80" s="10">
        <v>2150</v>
      </c>
      <c r="B80" s="10">
        <f t="shared" si="12"/>
        <v>212.77905000000001</v>
      </c>
      <c r="C80" s="10">
        <f t="shared" si="13"/>
        <v>0.21171636752907907</v>
      </c>
      <c r="D80" s="10">
        <f t="shared" si="14"/>
        <v>0.27247894519287574</v>
      </c>
      <c r="E80" s="10">
        <f t="shared" si="15"/>
        <v>1.08735405127586E-10</v>
      </c>
      <c r="F80" s="10">
        <f t="shared" si="16"/>
        <v>1.0873540512758601E-10</v>
      </c>
      <c r="G80" s="10">
        <f t="shared" si="22"/>
        <v>57.977811103142173</v>
      </c>
      <c r="I80" s="10">
        <v>2500</v>
      </c>
      <c r="J80" s="10">
        <f t="shared" si="17"/>
        <v>247.41749999999999</v>
      </c>
      <c r="K80" s="10">
        <f t="shared" si="18"/>
        <v>0.17819434760843722</v>
      </c>
      <c r="L80" s="10">
        <f t="shared" si="19"/>
        <v>0.21720652113454783</v>
      </c>
      <c r="M80" s="11">
        <f t="shared" si="23"/>
        <v>5.1766212846233762E-12</v>
      </c>
      <c r="N80" s="11">
        <f t="shared" si="20"/>
        <v>5.1766212846205432E-12</v>
      </c>
      <c r="O80" s="10">
        <f t="shared" si="21"/>
        <v>53.740694442806983</v>
      </c>
    </row>
    <row r="81" spans="1:15">
      <c r="A81" s="10">
        <v>2200</v>
      </c>
      <c r="B81" s="10">
        <f t="shared" si="12"/>
        <v>217.72739999999999</v>
      </c>
      <c r="C81" s="10">
        <f t="shared" si="13"/>
        <v>0.21082689582649072</v>
      </c>
      <c r="D81" s="10">
        <f t="shared" si="14"/>
        <v>0.27030950201583098</v>
      </c>
      <c r="E81" s="10">
        <f t="shared" si="15"/>
        <v>1.0180961395473318E-10</v>
      </c>
      <c r="F81" s="10">
        <f t="shared" si="16"/>
        <v>1.018096139547197E-10</v>
      </c>
      <c r="G81" s="10">
        <f t="shared" si="22"/>
        <v>58.853785069201635</v>
      </c>
      <c r="I81" s="10">
        <v>2550</v>
      </c>
      <c r="J81" s="10">
        <f t="shared" si="17"/>
        <v>252.36584999999999</v>
      </c>
      <c r="K81" s="10">
        <f t="shared" si="18"/>
        <v>0.17759533660922974</v>
      </c>
      <c r="L81" s="10">
        <f t="shared" si="19"/>
        <v>0.21554260169230482</v>
      </c>
      <c r="M81" s="11">
        <f t="shared" si="23"/>
        <v>4.8812772298685847E-12</v>
      </c>
      <c r="N81" s="11">
        <f t="shared" si="20"/>
        <v>4.8812772298667543E-12</v>
      </c>
      <c r="O81" s="10">
        <f t="shared" si="21"/>
        <v>54.395591887289946</v>
      </c>
    </row>
    <row r="82" spans="1:15">
      <c r="A82" s="10">
        <v>2250</v>
      </c>
      <c r="B82" s="10">
        <f t="shared" si="12"/>
        <v>222.67574999999999</v>
      </c>
      <c r="C82" s="10">
        <f t="shared" si="13"/>
        <v>0.2099640895053036</v>
      </c>
      <c r="D82" s="10">
        <f t="shared" si="14"/>
        <v>0.26820509635439899</v>
      </c>
      <c r="E82" s="10">
        <f t="shared" si="15"/>
        <v>9.5465259681277317E-11</v>
      </c>
      <c r="F82" s="10">
        <f t="shared" si="16"/>
        <v>9.5465259681316544E-11</v>
      </c>
      <c r="G82" s="10">
        <f t="shared" si="22"/>
        <v>59.722770984538059</v>
      </c>
      <c r="I82" s="10">
        <v>2600</v>
      </c>
      <c r="J82" s="10">
        <f t="shared" si="17"/>
        <v>257.31419999999997</v>
      </c>
      <c r="K82" s="10">
        <f t="shared" si="18"/>
        <v>0.17701234708498853</v>
      </c>
      <c r="L82" s="10">
        <f t="shared" si="19"/>
        <v>0.21392318634719035</v>
      </c>
      <c r="M82" s="11">
        <f t="shared" si="23"/>
        <v>4.6080170252218321E-12</v>
      </c>
      <c r="N82" s="11">
        <f t="shared" si="20"/>
        <v>4.6080170252200574E-12</v>
      </c>
      <c r="O82" s="10">
        <f t="shared" si="21"/>
        <v>55.045473556378198</v>
      </c>
    </row>
    <row r="83" spans="1:15">
      <c r="A83" s="10">
        <v>2300</v>
      </c>
      <c r="B83" s="10">
        <f t="shared" si="12"/>
        <v>227.6241</v>
      </c>
      <c r="C83" s="10">
        <f t="shared" si="13"/>
        <v>0.20912658877434093</v>
      </c>
      <c r="D83" s="10">
        <f t="shared" si="14"/>
        <v>0.26616241164473392</v>
      </c>
      <c r="E83" s="10">
        <f t="shared" si="15"/>
        <v>8.9642256248635742E-11</v>
      </c>
      <c r="F83" s="10">
        <f t="shared" si="16"/>
        <v>8.9642256248623115E-11</v>
      </c>
      <c r="G83" s="10">
        <f t="shared" si="22"/>
        <v>60.584979404462075</v>
      </c>
      <c r="I83" s="10">
        <v>2650</v>
      </c>
      <c r="J83" s="10">
        <f t="shared" si="17"/>
        <v>262.26254999999998</v>
      </c>
      <c r="K83" s="10">
        <f t="shared" si="18"/>
        <v>0.17644465673217097</v>
      </c>
      <c r="L83" s="10">
        <f t="shared" si="19"/>
        <v>0.2123462687004749</v>
      </c>
      <c r="M83" s="11">
        <f t="shared" si="23"/>
        <v>4.3548126813862229E-12</v>
      </c>
      <c r="N83" s="11">
        <f t="shared" si="20"/>
        <v>4.3548126813836388E-12</v>
      </c>
      <c r="O83" s="10">
        <f t="shared" si="21"/>
        <v>55.690473912371729</v>
      </c>
    </row>
    <row r="84" spans="1:15">
      <c r="A84" s="10">
        <v>2350</v>
      </c>
      <c r="B84" s="10">
        <f t="shared" si="12"/>
        <v>232.57245</v>
      </c>
      <c r="C84" s="10">
        <f t="shared" si="13"/>
        <v>0.20831313050762451</v>
      </c>
      <c r="D84" s="10">
        <f t="shared" si="14"/>
        <v>0.26417836709176706</v>
      </c>
      <c r="E84" s="10">
        <f t="shared" si="15"/>
        <v>8.4287842989642073E-11</v>
      </c>
      <c r="F84" s="10">
        <f t="shared" si="16"/>
        <v>8.4287842989629833E-11</v>
      </c>
      <c r="G84" s="10">
        <f t="shared" si="22"/>
        <v>61.440610071531644</v>
      </c>
      <c r="I84" s="10">
        <v>2700</v>
      </c>
      <c r="J84" s="10">
        <f t="shared" si="17"/>
        <v>267.21089999999998</v>
      </c>
      <c r="K84" s="10">
        <f t="shared" si="18"/>
        <v>0.17589158855152009</v>
      </c>
      <c r="L84" s="10">
        <f t="shared" si="19"/>
        <v>0.21080996819866693</v>
      </c>
      <c r="M84" s="11">
        <f t="shared" si="23"/>
        <v>4.1198557689404644E-12</v>
      </c>
      <c r="N84" s="11">
        <f t="shared" si="20"/>
        <v>4.1198557689396283E-12</v>
      </c>
      <c r="O84" s="10">
        <f t="shared" si="21"/>
        <v>56.330721331337166</v>
      </c>
    </row>
    <row r="85" spans="1:15">
      <c r="A85" s="10">
        <v>2400</v>
      </c>
      <c r="B85" s="10">
        <f t="shared" si="12"/>
        <v>237.52080000000001</v>
      </c>
      <c r="C85" s="10">
        <f t="shared" si="13"/>
        <v>0.20752253951307476</v>
      </c>
      <c r="D85" s="10">
        <f t="shared" si="14"/>
        <v>0.262250096373353</v>
      </c>
      <c r="E85" s="10">
        <f t="shared" si="15"/>
        <v>7.9355561075764498E-11</v>
      </c>
      <c r="F85" s="10">
        <f t="shared" si="16"/>
        <v>7.9355561075788202E-11</v>
      </c>
      <c r="G85" s="10">
        <f t="shared" si="22"/>
        <v>62.289852690675907</v>
      </c>
      <c r="I85" s="10">
        <v>2750</v>
      </c>
      <c r="J85" s="10">
        <f t="shared" si="17"/>
        <v>272.15924999999999</v>
      </c>
      <c r="K85" s="10">
        <f t="shared" si="18"/>
        <v>0.17535250723709189</v>
      </c>
      <c r="L85" s="10">
        <f t="shared" si="19"/>
        <v>0.20931252010303303</v>
      </c>
      <c r="M85" s="11">
        <f t="shared" si="23"/>
        <v>3.9015301691819851E-12</v>
      </c>
      <c r="N85" s="11">
        <f t="shared" si="20"/>
        <v>3.9015301691836104E-12</v>
      </c>
      <c r="O85" s="10">
        <f t="shared" si="21"/>
        <v>56.966338486851392</v>
      </c>
    </row>
    <row r="86" spans="1:15">
      <c r="A86" s="10">
        <v>2450</v>
      </c>
      <c r="B86" s="10">
        <f t="shared" si="12"/>
        <v>242.46914999999998</v>
      </c>
      <c r="C86" s="10">
        <f t="shared" si="13"/>
        <v>0.20675372075084877</v>
      </c>
      <c r="D86" s="10">
        <f t="shared" si="14"/>
        <v>0.26037492866060674</v>
      </c>
      <c r="E86" s="10">
        <f t="shared" si="15"/>
        <v>7.4804390480411756E-11</v>
      </c>
      <c r="F86" s="10">
        <f t="shared" si="16"/>
        <v>7.4804390480411769E-11</v>
      </c>
      <c r="G86" s="10">
        <f t="shared" si="22"/>
        <v>63.132887633647954</v>
      </c>
      <c r="I86" s="10">
        <v>2800</v>
      </c>
      <c r="J86" s="10">
        <f t="shared" si="17"/>
        <v>277.10759999999999</v>
      </c>
      <c r="K86" s="10">
        <f t="shared" si="18"/>
        <v>0.17482681591218996</v>
      </c>
      <c r="L86" s="10">
        <f t="shared" si="19"/>
        <v>0.20785226642274987</v>
      </c>
      <c r="M86" s="11">
        <f t="shared" si="23"/>
        <v>3.6983886233167775E-12</v>
      </c>
      <c r="N86" s="11">
        <f t="shared" si="20"/>
        <v>3.6983886233151983E-12</v>
      </c>
      <c r="O86" s="10">
        <f t="shared" si="21"/>
        <v>57.597442702968799</v>
      </c>
    </row>
    <row r="87" spans="1:15">
      <c r="A87" s="10">
        <v>2500</v>
      </c>
      <c r="B87" s="10">
        <f t="shared" si="12"/>
        <v>247.41749999999999</v>
      </c>
      <c r="C87" s="10">
        <f t="shared" si="13"/>
        <v>0.20600565238123242</v>
      </c>
      <c r="D87" s="10">
        <f t="shared" si="14"/>
        <v>0.25855037166154243</v>
      </c>
      <c r="E87" s="10">
        <f t="shared" si="15"/>
        <v>7.0598019649780325E-11</v>
      </c>
      <c r="F87" s="10">
        <f t="shared" si="16"/>
        <v>7.0598019649791453E-11</v>
      </c>
      <c r="G87" s="10">
        <f t="shared" si="22"/>
        <v>63.969886580569671</v>
      </c>
      <c r="I87" s="10">
        <v>2850</v>
      </c>
      <c r="J87" s="10">
        <f t="shared" si="17"/>
        <v>282.05595</v>
      </c>
      <c r="K87" s="10">
        <f t="shared" si="18"/>
        <v>0.17431395317340492</v>
      </c>
      <c r="L87" s="10">
        <f t="shared" si="19"/>
        <v>0.20642764770390257</v>
      </c>
      <c r="M87" s="11">
        <f t="shared" si="23"/>
        <v>3.5091324944717991E-12</v>
      </c>
      <c r="N87" s="11">
        <f t="shared" si="20"/>
        <v>3.5091324944702635E-12</v>
      </c>
      <c r="O87" s="10">
        <f t="shared" si="21"/>
        <v>58.224146279389558</v>
      </c>
    </row>
    <row r="88" spans="1:15">
      <c r="A88" s="10">
        <v>2550</v>
      </c>
      <c r="B88" s="10">
        <f t="shared" si="12"/>
        <v>252.36584999999999</v>
      </c>
      <c r="C88" s="10">
        <f t="shared" si="13"/>
        <v>0.20527737953922937</v>
      </c>
      <c r="D88" s="10">
        <f t="shared" si="14"/>
        <v>0.25677409643714477</v>
      </c>
      <c r="E88" s="10">
        <f t="shared" si="15"/>
        <v>6.6704225329270516E-11</v>
      </c>
      <c r="F88" s="10">
        <f t="shared" si="16"/>
        <v>6.6704225329270503E-11</v>
      </c>
      <c r="G88" s="10">
        <f t="shared" si="22"/>
        <v>64.801013105342008</v>
      </c>
      <c r="I88" s="10">
        <v>2900</v>
      </c>
      <c r="J88" s="10">
        <f t="shared" si="17"/>
        <v>287.0043</v>
      </c>
      <c r="K88" s="10">
        <f t="shared" si="18"/>
        <v>0.17381339040888771</v>
      </c>
      <c r="L88" s="10">
        <f t="shared" si="19"/>
        <v>0.20503719558024364</v>
      </c>
      <c r="M88" s="11">
        <f t="shared" si="23"/>
        <v>3.3325942556283736E-12</v>
      </c>
      <c r="N88" s="11">
        <f t="shared" si="20"/>
        <v>3.3325942556238928E-12</v>
      </c>
      <c r="O88" s="10">
        <f t="shared" si="21"/>
        <v>58.846556791470917</v>
      </c>
    </row>
    <row r="89" spans="1:15">
      <c r="A89" s="10">
        <v>2600</v>
      </c>
      <c r="B89" s="10">
        <f t="shared" si="12"/>
        <v>257.31419999999997</v>
      </c>
      <c r="C89" s="10">
        <f t="shared" si="13"/>
        <v>0.20456800874746034</v>
      </c>
      <c r="D89" s="10">
        <f t="shared" si="14"/>
        <v>0.25504392377429347</v>
      </c>
      <c r="E89" s="10">
        <f t="shared" si="15"/>
        <v>6.309434417687126E-11</v>
      </c>
      <c r="F89" s="10">
        <f t="shared" si="16"/>
        <v>6.3094344176860778E-11</v>
      </c>
      <c r="G89" s="10">
        <f t="shared" si="22"/>
        <v>65.626423210843299</v>
      </c>
      <c r="I89" s="10">
        <v>2950</v>
      </c>
      <c r="J89" s="10">
        <f t="shared" si="17"/>
        <v>291.95265000000001</v>
      </c>
      <c r="K89" s="10">
        <f t="shared" si="18"/>
        <v>0.17332462936121668</v>
      </c>
      <c r="L89" s="10">
        <f t="shared" si="19"/>
        <v>0.20367952600337966</v>
      </c>
      <c r="M89" s="11">
        <f t="shared" si="23"/>
        <v>3.1677222972111455E-12</v>
      </c>
      <c r="N89" s="11">
        <f t="shared" si="20"/>
        <v>3.1677222972104181E-12</v>
      </c>
      <c r="O89" s="10">
        <f t="shared" si="21"/>
        <v>59.464777367430599</v>
      </c>
    </row>
    <row r="90" spans="1:15">
      <c r="A90" s="10">
        <v>2650</v>
      </c>
      <c r="B90" s="10">
        <f t="shared" si="12"/>
        <v>262.26254999999998</v>
      </c>
      <c r="C90" s="10">
        <f t="shared" si="13"/>
        <v>0.20387670289119059</v>
      </c>
      <c r="D90" s="10">
        <f t="shared" si="14"/>
        <v>0.25335781192973311</v>
      </c>
      <c r="E90" s="10">
        <f t="shared" si="15"/>
        <v>5.9742821139402253E-11</v>
      </c>
      <c r="F90" s="10">
        <f t="shared" si="16"/>
        <v>5.9742821139371699E-11</v>
      </c>
      <c r="G90" s="10">
        <f t="shared" si="22"/>
        <v>66.446265819112227</v>
      </c>
      <c r="I90" s="10">
        <v>3000</v>
      </c>
      <c r="J90" s="10">
        <f t="shared" si="17"/>
        <v>296.90100000000001</v>
      </c>
      <c r="K90" s="10">
        <f t="shared" si="18"/>
        <v>0.1728471999088611</v>
      </c>
      <c r="L90" s="10">
        <f t="shared" si="19"/>
        <v>0.20235333308016973</v>
      </c>
      <c r="M90" s="11">
        <f t="shared" si="23"/>
        <v>3.0135677142433752E-12</v>
      </c>
      <c r="N90" s="11">
        <f t="shared" si="20"/>
        <v>3.0135677142419595E-12</v>
      </c>
      <c r="O90" s="10">
        <f t="shared" si="21"/>
        <v>60.078906944835474</v>
      </c>
    </row>
    <row r="91" spans="1:15">
      <c r="A91" s="10">
        <v>2700</v>
      </c>
      <c r="B91" s="10">
        <f t="shared" si="12"/>
        <v>267.21089999999998</v>
      </c>
      <c r="C91" s="10">
        <f t="shared" si="13"/>
        <v>0.20320267668962855</v>
      </c>
      <c r="D91" s="10">
        <f t="shared" si="14"/>
        <v>0.25171384558445986</v>
      </c>
      <c r="E91" s="10">
        <f t="shared" si="15"/>
        <v>5.6626822253802984E-11</v>
      </c>
      <c r="F91" s="10">
        <f t="shared" si="16"/>
        <v>5.662682225379309E-11</v>
      </c>
      <c r="G91" s="10">
        <f t="shared" si="22"/>
        <v>67.260683221084534</v>
      </c>
      <c r="I91" s="10">
        <v>3050</v>
      </c>
      <c r="J91" s="10">
        <f t="shared" si="17"/>
        <v>301.84935000000002</v>
      </c>
      <c r="K91" s="10">
        <f t="shared" si="18"/>
        <v>0.17238065804338587</v>
      </c>
      <c r="L91" s="10">
        <f t="shared" si="19"/>
        <v>0.20105738345384963</v>
      </c>
      <c r="M91" s="11">
        <f t="shared" si="23"/>
        <v>2.8692727875084026E-12</v>
      </c>
      <c r="N91" s="11">
        <f t="shared" si="20"/>
        <v>2.8692727875077128E-12</v>
      </c>
      <c r="O91" s="10">
        <f t="shared" si="21"/>
        <v>60.68904050824527</v>
      </c>
    </row>
    <row r="92" spans="1:15">
      <c r="A92" s="10">
        <v>2750</v>
      </c>
      <c r="B92" s="10">
        <f t="shared" si="12"/>
        <v>272.15924999999999</v>
      </c>
      <c r="C92" s="10">
        <f t="shared" si="13"/>
        <v>0.20254519260640413</v>
      </c>
      <c r="D92" s="10">
        <f t="shared" si="14"/>
        <v>0.25011022586927834</v>
      </c>
      <c r="E92" s="10">
        <f t="shared" si="15"/>
        <v>5.3725901702432287E-11</v>
      </c>
      <c r="F92" s="10">
        <f t="shared" si="16"/>
        <v>5.3725901702441929E-11</v>
      </c>
      <c r="G92" s="10">
        <f t="shared" si="22"/>
        <v>68.069811489913391</v>
      </c>
      <c r="I92" s="10">
        <v>3100</v>
      </c>
      <c r="J92" s="10">
        <f t="shared" si="17"/>
        <v>306.79770000000002</v>
      </c>
      <c r="K92" s="10">
        <f t="shared" si="18"/>
        <v>0.1719245840222603</v>
      </c>
      <c r="L92" s="10">
        <f t="shared" si="19"/>
        <v>0.19979051117294525</v>
      </c>
      <c r="M92" s="11">
        <f t="shared" si="23"/>
        <v>2.7340609181967071E-12</v>
      </c>
      <c r="N92" s="11">
        <f t="shared" si="20"/>
        <v>2.734060918195363E-12</v>
      </c>
      <c r="O92" s="10">
        <f t="shared" si="21"/>
        <v>61.29526930968391</v>
      </c>
    </row>
    <row r="93" spans="1:15">
      <c r="A93" s="10">
        <v>2800</v>
      </c>
      <c r="B93" s="10">
        <f t="shared" si="12"/>
        <v>277.10759999999999</v>
      </c>
      <c r="C93" s="10">
        <f t="shared" si="13"/>
        <v>0.20190355714959859</v>
      </c>
      <c r="D93" s="10">
        <f t="shared" si="14"/>
        <v>0.24854526134048435</v>
      </c>
      <c r="E93" s="10">
        <f t="shared" si="15"/>
        <v>5.1021714706408362E-11</v>
      </c>
      <c r="F93" s="10">
        <f t="shared" si="16"/>
        <v>5.1021714706427096E-11</v>
      </c>
      <c r="G93" s="10">
        <f t="shared" si="22"/>
        <v>68.873780861434398</v>
      </c>
      <c r="I93" s="10">
        <v>3150</v>
      </c>
      <c r="J93" s="10">
        <f t="shared" si="17"/>
        <v>311.74605000000003</v>
      </c>
      <c r="K93" s="10">
        <f t="shared" si="18"/>
        <v>0.17147858067949071</v>
      </c>
      <c r="L93" s="10">
        <f t="shared" si="19"/>
        <v>0.19855161299858529</v>
      </c>
      <c r="M93" s="11">
        <f t="shared" si="23"/>
        <v>2.6072278128898993E-12</v>
      </c>
      <c r="N93" s="11">
        <f t="shared" si="20"/>
        <v>2.6072278128898989E-12</v>
      </c>
      <c r="O93" s="10">
        <f t="shared" si="21"/>
        <v>61.897681073437624</v>
      </c>
    </row>
    <row r="94" spans="1:15">
      <c r="A94" s="10">
        <v>2850</v>
      </c>
      <c r="B94" s="10">
        <f t="shared" si="12"/>
        <v>282.05595</v>
      </c>
      <c r="C94" s="10">
        <f t="shared" si="13"/>
        <v>0.20127711751807237</v>
      </c>
      <c r="D94" s="10">
        <f t="shared" si="14"/>
        <v>0.24701735980017647</v>
      </c>
      <c r="E94" s="10">
        <f t="shared" si="15"/>
        <v>4.8497769268507911E-11</v>
      </c>
      <c r="F94" s="10">
        <f t="shared" si="16"/>
        <v>4.8497769268498787E-11</v>
      </c>
      <c r="G94" s="10">
        <f t="shared" si="22"/>
        <v>69.672716084930585</v>
      </c>
      <c r="I94" s="10">
        <v>3200</v>
      </c>
      <c r="J94" s="10">
        <f t="shared" si="17"/>
        <v>316.69439999999997</v>
      </c>
      <c r="K94" s="10">
        <f t="shared" si="18"/>
        <v>0.17104227187834625</v>
      </c>
      <c r="L94" s="10">
        <f t="shared" si="19"/>
        <v>0.19733964410651736</v>
      </c>
      <c r="M94" s="11">
        <f t="shared" si="23"/>
        <v>2.4881337467866759E-12</v>
      </c>
      <c r="N94" s="11">
        <f t="shared" si="20"/>
        <v>2.4881337467860365E-12</v>
      </c>
      <c r="O94" s="10">
        <f t="shared" si="21"/>
        <v>62.496360186527049</v>
      </c>
    </row>
    <row r="95" spans="1:15">
      <c r="A95" s="10">
        <v>2900</v>
      </c>
      <c r="B95" s="10">
        <f t="shared" si="12"/>
        <v>287.0043</v>
      </c>
      <c r="C95" s="10">
        <f t="shared" si="13"/>
        <v>0.20066525855630016</v>
      </c>
      <c r="D95" s="10">
        <f t="shared" si="14"/>
        <v>0.24552502086902475</v>
      </c>
      <c r="E95" s="10">
        <f t="shared" si="15"/>
        <v>4.6139210942235585E-11</v>
      </c>
      <c r="F95" s="10">
        <f t="shared" si="16"/>
        <v>4.6139210942217814E-11</v>
      </c>
      <c r="G95" s="10">
        <f t="shared" si="22"/>
        <v>70.466736746999842</v>
      </c>
      <c r="I95" s="10">
        <v>3250</v>
      </c>
      <c r="J95" s="10">
        <f t="shared" si="17"/>
        <v>321.64274999999998</v>
      </c>
      <c r="K95" s="10">
        <f t="shared" si="18"/>
        <v>0.17061530109223083</v>
      </c>
      <c r="L95" s="10">
        <f t="shared" si="19"/>
        <v>0.19615361414508564</v>
      </c>
      <c r="M95" s="11">
        <f t="shared" si="23"/>
        <v>2.3761967590124281E-12</v>
      </c>
      <c r="N95" s="11">
        <f t="shared" si="20"/>
        <v>2.3761967590099324E-12</v>
      </c>
      <c r="O95" s="10">
        <f t="shared" si="21"/>
        <v>63.091387876064239</v>
      </c>
    </row>
    <row r="96" spans="1:15">
      <c r="A96" s="10">
        <v>2950</v>
      </c>
      <c r="B96" s="10">
        <f t="shared" si="12"/>
        <v>291.95265000000001</v>
      </c>
      <c r="C96" s="10">
        <f t="shared" si="13"/>
        <v>0.20006739998461154</v>
      </c>
      <c r="D96" s="10">
        <f t="shared" si="14"/>
        <v>0.24406682923075981</v>
      </c>
      <c r="E96" s="10">
        <f t="shared" si="15"/>
        <v>4.3932635758938347E-11</v>
      </c>
      <c r="F96" s="10">
        <f t="shared" si="16"/>
        <v>4.3932635758938347E-11</v>
      </c>
      <c r="G96" s="10">
        <f t="shared" si="22"/>
        <v>71.255957571017788</v>
      </c>
      <c r="I96" s="10">
        <v>3300</v>
      </c>
      <c r="J96" s="10">
        <f t="shared" si="17"/>
        <v>326.59109999999998</v>
      </c>
      <c r="K96" s="10">
        <f t="shared" si="18"/>
        <v>0.1701973301013143</v>
      </c>
      <c r="L96" s="10">
        <f t="shared" si="19"/>
        <v>0.19499258361476193</v>
      </c>
      <c r="M96" s="11">
        <f t="shared" si="23"/>
        <v>2.2708866555381474E-12</v>
      </c>
      <c r="N96" s="11">
        <f t="shared" si="20"/>
        <v>2.2708866555351028E-12</v>
      </c>
      <c r="O96" s="10">
        <f t="shared" si="21"/>
        <v>63.682842374587075</v>
      </c>
    </row>
    <row r="97" spans="1:15">
      <c r="A97" s="10">
        <v>3000</v>
      </c>
      <c r="B97" s="10">
        <f t="shared" si="12"/>
        <v>296.90100000000001</v>
      </c>
      <c r="C97" s="10">
        <f t="shared" si="13"/>
        <v>0.19948299387577795</v>
      </c>
      <c r="D97" s="10">
        <f t="shared" si="14"/>
        <v>0.24264144847750715</v>
      </c>
      <c r="E97" s="10">
        <f t="shared" si="15"/>
        <v>4.1865927229785159E-11</v>
      </c>
      <c r="F97" s="10">
        <f t="shared" si="16"/>
        <v>4.1865927229785166E-11</v>
      </c>
      <c r="G97" s="10">
        <f t="shared" si="22"/>
        <v>72.040488694420361</v>
      </c>
      <c r="I97" s="10">
        <v>3350</v>
      </c>
      <c r="J97" s="10">
        <f t="shared" si="17"/>
        <v>331.53944999999999</v>
      </c>
      <c r="K97" s="10">
        <f t="shared" si="18"/>
        <v>0.16978803779389873</v>
      </c>
      <c r="L97" s="10">
        <f t="shared" si="19"/>
        <v>0.19385566053860756</v>
      </c>
      <c r="M97" s="11">
        <f t="shared" si="23"/>
        <v>2.1717197134348593E-12</v>
      </c>
      <c r="N97" s="11">
        <f t="shared" si="20"/>
        <v>2.1717197134342648E-12</v>
      </c>
      <c r="O97" s="10">
        <f t="shared" si="21"/>
        <v>64.270799074356646</v>
      </c>
    </row>
    <row r="98" spans="1:15">
      <c r="A98" s="10">
        <v>3050</v>
      </c>
      <c r="B98" s="10">
        <f t="shared" si="12"/>
        <v>301.84935000000002</v>
      </c>
      <c r="C98" s="10">
        <f t="shared" si="13"/>
        <v>0.19891152235237597</v>
      </c>
      <c r="D98" s="10">
        <f t="shared" si="14"/>
        <v>0.24124761549359988</v>
      </c>
      <c r="E98" s="10">
        <f t="shared" si="15"/>
        <v>3.9928113987672387E-11</v>
      </c>
      <c r="F98" s="10">
        <f t="shared" si="16"/>
        <v>3.9928113987664154E-11</v>
      </c>
      <c r="G98" s="10">
        <f t="shared" si="22"/>
        <v>72.820435925793063</v>
      </c>
      <c r="I98" s="10">
        <v>3400</v>
      </c>
      <c r="J98" s="10">
        <f t="shared" si="17"/>
        <v>336.48779999999999</v>
      </c>
      <c r="K98" s="10">
        <f t="shared" si="18"/>
        <v>0.16938711906269185</v>
      </c>
      <c r="L98" s="10">
        <f t="shared" si="19"/>
        <v>0.19274199739636624</v>
      </c>
      <c r="M98" s="11">
        <f t="shared" si="23"/>
        <v>2.0782539955098292E-12</v>
      </c>
      <c r="N98" s="11">
        <f t="shared" si="20"/>
        <v>2.0782539955086672E-12</v>
      </c>
      <c r="O98" s="10">
        <f t="shared" si="21"/>
        <v>64.855330671509009</v>
      </c>
    </row>
    <row r="99" spans="1:15">
      <c r="A99" s="10">
        <v>3100</v>
      </c>
      <c r="B99" s="10">
        <f t="shared" si="12"/>
        <v>306.79770000000002</v>
      </c>
      <c r="C99" s="10">
        <f t="shared" si="13"/>
        <v>0.19835249548237799</v>
      </c>
      <c r="D99" s="10">
        <f t="shared" si="14"/>
        <v>0.23988413532287312</v>
      </c>
      <c r="E99" s="10">
        <f t="shared" si="15"/>
        <v>3.8109245170809153E-11</v>
      </c>
      <c r="F99" s="10">
        <f t="shared" si="16"/>
        <v>3.8109245170801114E-11</v>
      </c>
      <c r="G99" s="10">
        <f t="shared" si="22"/>
        <v>73.59590098354623</v>
      </c>
      <c r="I99" s="10">
        <v>3450</v>
      </c>
      <c r="J99" s="10">
        <f t="shared" si="17"/>
        <v>341.43615</v>
      </c>
      <c r="K99" s="10">
        <f t="shared" si="18"/>
        <v>0.16899428378721063</v>
      </c>
      <c r="L99" s="10">
        <f t="shared" si="19"/>
        <v>0.1916507882978073</v>
      </c>
      <c r="M99" s="11">
        <f t="shared" si="23"/>
        <v>1.9900851972867144E-12</v>
      </c>
      <c r="N99" s="11">
        <f t="shared" si="20"/>
        <v>1.9900851972867144E-12</v>
      </c>
      <c r="O99" s="10">
        <f t="shared" si="21"/>
        <v>65.436507300868371</v>
      </c>
    </row>
    <row r="100" spans="1:15">
      <c r="A100" s="10">
        <v>3150</v>
      </c>
      <c r="B100" s="10">
        <f t="shared" si="12"/>
        <v>311.74605000000003</v>
      </c>
      <c r="C100" s="10">
        <f t="shared" si="13"/>
        <v>0.19780544935304556</v>
      </c>
      <c r="D100" s="10">
        <f t="shared" si="14"/>
        <v>0.2385498764708428</v>
      </c>
      <c r="E100" s="10">
        <f t="shared" si="15"/>
        <v>3.6400281095276433E-11</v>
      </c>
      <c r="F100" s="10">
        <f t="shared" si="16"/>
        <v>3.6400281095284271E-11</v>
      </c>
      <c r="G100" s="10">
        <f t="shared" si="22"/>
        <v>74.366981717773186</v>
      </c>
      <c r="I100" s="10">
        <v>3500</v>
      </c>
      <c r="J100" s="10">
        <f t="shared" si="17"/>
        <v>346.3845</v>
      </c>
      <c r="K100" s="10">
        <f t="shared" si="18"/>
        <v>0.16860925589446296</v>
      </c>
      <c r="L100" s="10">
        <f t="shared" si="19"/>
        <v>0.19058126637350822</v>
      </c>
      <c r="M100" s="11">
        <f t="shared" si="23"/>
        <v>1.9068429592308385E-12</v>
      </c>
      <c r="N100" s="11">
        <f t="shared" si="20"/>
        <v>1.9068429592286195E-12</v>
      </c>
      <c r="O100" s="10">
        <f t="shared" si="21"/>
        <v>66.014396662154454</v>
      </c>
    </row>
    <row r="101" spans="1:15">
      <c r="A101" s="10">
        <v>3200</v>
      </c>
      <c r="B101" s="10">
        <f t="shared" si="12"/>
        <v>316.69439999999997</v>
      </c>
      <c r="C101" s="10">
        <f t="shared" si="13"/>
        <v>0.19726994430547959</v>
      </c>
      <c r="D101" s="10">
        <f t="shared" si="14"/>
        <v>0.23724376659873067</v>
      </c>
      <c r="E101" s="10">
        <f t="shared" si="15"/>
        <v>3.4792997135352289E-11</v>
      </c>
      <c r="F101" s="10">
        <f t="shared" si="16"/>
        <v>3.4792997135336999E-11</v>
      </c>
      <c r="G101" s="10">
        <f t="shared" si="22"/>
        <v>75.133772316725043</v>
      </c>
      <c r="I101" s="10">
        <v>3550</v>
      </c>
      <c r="J101" s="10">
        <f t="shared" si="17"/>
        <v>351.33285000000001</v>
      </c>
      <c r="K101" s="10">
        <f t="shared" si="18"/>
        <v>0.16823177249087123</v>
      </c>
      <c r="L101" s="10">
        <f t="shared" si="19"/>
        <v>0.1895327013635312</v>
      </c>
      <c r="M101" s="11">
        <f t="shared" si="23"/>
        <v>1.8281875863794182E-12</v>
      </c>
      <c r="N101" s="11">
        <f t="shared" si="20"/>
        <v>1.8281875863783333E-12</v>
      </c>
      <c r="O101" s="10">
        <f t="shared" si="21"/>
        <v>66.589064138248304</v>
      </c>
    </row>
    <row r="102" spans="1:15">
      <c r="A102" s="10">
        <v>3250</v>
      </c>
      <c r="B102" s="10">
        <f t="shared" si="12"/>
        <v>321.64274999999998</v>
      </c>
      <c r="C102" s="10">
        <f t="shared" si="13"/>
        <v>0.19674556331417248</v>
      </c>
      <c r="D102" s="10">
        <f t="shared" si="14"/>
        <v>0.23596478857115236</v>
      </c>
      <c r="E102" s="10">
        <f t="shared" si="15"/>
        <v>3.327989904082718E-11</v>
      </c>
      <c r="F102" s="10">
        <f t="shared" si="16"/>
        <v>3.3279899040812239E-11</v>
      </c>
      <c r="G102" s="10">
        <f t="shared" si="22"/>
        <v>75.89636349919401</v>
      </c>
      <c r="I102" s="10">
        <v>3600</v>
      </c>
      <c r="J102" s="10">
        <f t="shared" si="17"/>
        <v>356.28120000000001</v>
      </c>
      <c r="K102" s="10">
        <f t="shared" si="18"/>
        <v>0.16786158305912341</v>
      </c>
      <c r="L102" s="10">
        <f t="shared" si="19"/>
        <v>0.18850439738645391</v>
      </c>
      <c r="M102" s="11">
        <f t="shared" si="23"/>
        <v>1.7538071254279251E-12</v>
      </c>
      <c r="N102" s="11">
        <f t="shared" si="20"/>
        <v>1.7538071254263334E-12</v>
      </c>
      <c r="O102" s="10">
        <f t="shared" si="21"/>
        <v>67.160572906122667</v>
      </c>
    </row>
    <row r="103" spans="1:15">
      <c r="A103" s="10">
        <v>3300</v>
      </c>
      <c r="B103" s="10">
        <f t="shared" si="12"/>
        <v>326.59109999999998</v>
      </c>
      <c r="C103" s="10">
        <f t="shared" si="13"/>
        <v>0.19623191049764657</v>
      </c>
      <c r="D103" s="10">
        <f t="shared" si="14"/>
        <v>0.23471197682352821</v>
      </c>
      <c r="E103" s="10">
        <f t="shared" si="15"/>
        <v>3.185414818076044E-11</v>
      </c>
      <c r="F103" s="10">
        <f t="shared" si="16"/>
        <v>3.1854148180753144E-11</v>
      </c>
      <c r="G103" s="10">
        <f t="shared" si="22"/>
        <v>76.654842693970579</v>
      </c>
      <c r="I103" s="10">
        <v>3650</v>
      </c>
      <c r="J103" s="10">
        <f t="shared" si="17"/>
        <v>361.22955000000002</v>
      </c>
      <c r="K103" s="10">
        <f t="shared" si="18"/>
        <v>0.16749844871427391</v>
      </c>
      <c r="L103" s="10">
        <f t="shared" si="19"/>
        <v>0.18749569087298307</v>
      </c>
      <c r="M103" s="11">
        <f t="shared" si="23"/>
        <v>1.683414756034937E-12</v>
      </c>
      <c r="N103" s="11">
        <f t="shared" si="20"/>
        <v>1.6834147560328602E-12</v>
      </c>
      <c r="O103" s="10">
        <f t="shared" si="21"/>
        <v>67.728984040986788</v>
      </c>
    </row>
    <row r="104" spans="1:15">
      <c r="A104" s="10">
        <v>3350</v>
      </c>
      <c r="B104" s="10">
        <f t="shared" si="12"/>
        <v>331.53944999999999</v>
      </c>
      <c r="C104" s="10">
        <f t="shared" si="13"/>
        <v>0.19572860974778322</v>
      </c>
      <c r="D104" s="10">
        <f t="shared" si="14"/>
        <v>0.23348441401898343</v>
      </c>
      <c r="E104" s="10">
        <f t="shared" si="15"/>
        <v>3.0509495421729129E-11</v>
      </c>
      <c r="F104" s="10">
        <f t="shared" si="16"/>
        <v>3.0509495421729129E-11</v>
      </c>
      <c r="G104" s="10">
        <f t="shared" si="22"/>
        <v>77.409294207426058</v>
      </c>
      <c r="I104" s="10">
        <v>3700</v>
      </c>
      <c r="J104" s="10">
        <f t="shared" si="17"/>
        <v>366.17790000000002</v>
      </c>
      <c r="K104" s="10">
        <f t="shared" si="18"/>
        <v>0.16714214151398454</v>
      </c>
      <c r="L104" s="10">
        <f t="shared" si="19"/>
        <v>0.18650594864995707</v>
      </c>
      <c r="M104" s="11">
        <f t="shared" si="23"/>
        <v>1.6167464588339767E-12</v>
      </c>
      <c r="N104" s="11">
        <f t="shared" si="20"/>
        <v>1.6167464588319444E-12</v>
      </c>
      <c r="O104" s="10">
        <f t="shared" si="21"/>
        <v>68.294356614149123</v>
      </c>
    </row>
    <row r="105" spans="1:15">
      <c r="A105" s="10">
        <v>3400</v>
      </c>
      <c r="B105" s="10">
        <f t="shared" si="12"/>
        <v>336.48779999999999</v>
      </c>
      <c r="C105" s="10">
        <f t="shared" si="13"/>
        <v>0.19523530346678547</v>
      </c>
      <c r="D105" s="10">
        <f t="shared" si="14"/>
        <v>0.2322812279677694</v>
      </c>
      <c r="E105" s="10">
        <f t="shared" si="15"/>
        <v>2.924022253301463E-11</v>
      </c>
      <c r="F105" s="10">
        <f t="shared" si="16"/>
        <v>2.924022253301463E-11</v>
      </c>
      <c r="G105" s="10">
        <f t="shared" si="22"/>
        <v>78.159799380173197</v>
      </c>
      <c r="I105" s="10">
        <v>3750</v>
      </c>
      <c r="J105" s="10">
        <f t="shared" si="17"/>
        <v>371.12624999999997</v>
      </c>
      <c r="K105" s="10">
        <f t="shared" si="18"/>
        <v>0.16679244381829805</v>
      </c>
      <c r="L105" s="10">
        <f t="shared" si="19"/>
        <v>0.18553456616193903</v>
      </c>
      <c r="M105" s="11">
        <f t="shared" si="23"/>
        <v>1.5535589275679849E-12</v>
      </c>
      <c r="N105" s="11">
        <f t="shared" si="20"/>
        <v>1.5535589275669901E-12</v>
      </c>
      <c r="O105" s="10">
        <f t="shared" si="21"/>
        <v>68.856747785057323</v>
      </c>
    </row>
    <row r="106" spans="1:15">
      <c r="A106" s="10">
        <v>3450</v>
      </c>
      <c r="B106" s="10">
        <f t="shared" si="12"/>
        <v>341.43615</v>
      </c>
      <c r="C106" s="10">
        <f t="shared" si="13"/>
        <v>0.19475165140189038</v>
      </c>
      <c r="D106" s="10">
        <f t="shared" si="14"/>
        <v>0.23110158878509846</v>
      </c>
      <c r="E106" s="10">
        <f t="shared" si="15"/>
        <v>2.8041090167102236E-11</v>
      </c>
      <c r="F106" s="10">
        <f t="shared" si="16"/>
        <v>2.8041090167088594E-11</v>
      </c>
      <c r="G106" s="10">
        <f t="shared" si="22"/>
        <v>78.906436733667192</v>
      </c>
      <c r="I106" s="10">
        <v>3800</v>
      </c>
      <c r="J106" s="10">
        <f t="shared" si="17"/>
        <v>376.07459999999998</v>
      </c>
      <c r="K106" s="10">
        <f t="shared" si="18"/>
        <v>0.16644914769478256</v>
      </c>
      <c r="L106" s="10">
        <f t="shared" si="19"/>
        <v>0.18458096581884043</v>
      </c>
      <c r="M106" s="11">
        <f t="shared" si="23"/>
        <v>1.4936276969538101E-12</v>
      </c>
      <c r="N106" s="11">
        <f t="shared" si="20"/>
        <v>1.4936276969528359E-12</v>
      </c>
      <c r="O106" s="10">
        <f t="shared" si="21"/>
        <v>69.41621288793408</v>
      </c>
    </row>
    <row r="107" spans="1:15">
      <c r="A107" s="10">
        <v>3500</v>
      </c>
      <c r="B107" s="10">
        <f t="shared" si="12"/>
        <v>346.3845</v>
      </c>
      <c r="C107" s="10">
        <f t="shared" si="13"/>
        <v>0.19427732956898339</v>
      </c>
      <c r="D107" s="10">
        <f t="shared" si="14"/>
        <v>0.22994470626581312</v>
      </c>
      <c r="E107" s="10">
        <f t="shared" si="15"/>
        <v>2.6907291595626804E-11</v>
      </c>
      <c r="F107" s="10">
        <f t="shared" si="16"/>
        <v>2.6907291595626804E-11</v>
      </c>
      <c r="G107" s="10">
        <f t="shared" si="22"/>
        <v>79.649282107530539</v>
      </c>
      <c r="I107" s="10">
        <v>3850</v>
      </c>
      <c r="J107" s="10">
        <f t="shared" si="17"/>
        <v>381.02294999999998</v>
      </c>
      <c r="K107" s="10">
        <f t="shared" si="18"/>
        <v>0.16611205436528753</v>
      </c>
      <c r="L107" s="10">
        <f t="shared" si="19"/>
        <v>0.18364459545913203</v>
      </c>
      <c r="M107" s="11">
        <f t="shared" si="23"/>
        <v>1.4367454615226981E-12</v>
      </c>
      <c r="N107" s="11">
        <f t="shared" si="20"/>
        <v>1.4367454615212667E-12</v>
      </c>
      <c r="O107" s="10">
        <f t="shared" si="21"/>
        <v>69.972805513395087</v>
      </c>
    </row>
    <row r="108" spans="1:15">
      <c r="A108" s="10">
        <v>3550</v>
      </c>
      <c r="B108" s="10">
        <f t="shared" si="12"/>
        <v>351.33285000000001</v>
      </c>
      <c r="C108" s="10">
        <f t="shared" si="13"/>
        <v>0.19381202925718027</v>
      </c>
      <c r="D108" s="10">
        <f t="shared" si="14"/>
        <v>0.22880982745653722</v>
      </c>
      <c r="E108" s="10">
        <f t="shared" si="15"/>
        <v>2.583441149323976E-11</v>
      </c>
      <c r="F108" s="10">
        <f t="shared" si="16"/>
        <v>2.5834411493226699E-11</v>
      </c>
      <c r="G108" s="10">
        <f t="shared" si="22"/>
        <v>80.38840878831347</v>
      </c>
      <c r="I108" s="10">
        <v>3900</v>
      </c>
      <c r="J108" s="10">
        <f t="shared" si="17"/>
        <v>385.97129999999999</v>
      </c>
      <c r="K108" s="10">
        <f t="shared" si="18"/>
        <v>0.16578097369090383</v>
      </c>
      <c r="L108" s="10">
        <f t="shared" si="19"/>
        <v>0.1827249269191773</v>
      </c>
      <c r="M108" s="11">
        <f t="shared" si="23"/>
        <v>1.3827205637833846E-12</v>
      </c>
      <c r="N108" s="11">
        <f t="shared" si="20"/>
        <v>1.3827205637819818E-12</v>
      </c>
      <c r="O108" s="10">
        <f t="shared" si="21"/>
        <v>70.526577585399849</v>
      </c>
    </row>
    <row r="109" spans="1:15">
      <c r="A109" s="10">
        <v>3600</v>
      </c>
      <c r="B109" s="10">
        <f t="shared" si="12"/>
        <v>356.28120000000001</v>
      </c>
      <c r="C109" s="10">
        <f t="shared" si="13"/>
        <v>0.19335545610724986</v>
      </c>
      <c r="D109" s="10">
        <f t="shared" si="14"/>
        <v>0.22769623440792644</v>
      </c>
      <c r="E109" s="10">
        <f t="shared" si="15"/>
        <v>2.4818389157193984E-11</v>
      </c>
      <c r="F109" s="10">
        <f t="shared" si="16"/>
        <v>2.4818389157200375E-11</v>
      </c>
      <c r="G109" s="10">
        <f t="shared" si="22"/>
        <v>81.123887630337322</v>
      </c>
      <c r="I109" s="10">
        <v>3950</v>
      </c>
      <c r="J109" s="10">
        <f t="shared" si="17"/>
        <v>390.91964999999999</v>
      </c>
      <c r="K109" s="10">
        <f t="shared" si="18"/>
        <v>0.16545572369204142</v>
      </c>
      <c r="L109" s="10">
        <f t="shared" si="19"/>
        <v>0.18182145470011504</v>
      </c>
      <c r="M109" s="11">
        <f t="shared" si="23"/>
        <v>1.3313756327678439E-12</v>
      </c>
      <c r="N109" s="11">
        <f t="shared" si="20"/>
        <v>1.3313756327664693E-12</v>
      </c>
      <c r="O109" s="10">
        <f t="shared" si="21"/>
        <v>71.077579433859825</v>
      </c>
    </row>
    <row r="110" spans="1:15">
      <c r="A110" s="10">
        <v>3650</v>
      </c>
      <c r="B110" s="10">
        <f t="shared" si="12"/>
        <v>361.22955000000002</v>
      </c>
      <c r="C110" s="10">
        <f t="shared" si="13"/>
        <v>0.19290732925746759</v>
      </c>
      <c r="D110" s="10">
        <f t="shared" si="14"/>
        <v>0.22660324209138433</v>
      </c>
      <c r="E110" s="10">
        <f t="shared" si="15"/>
        <v>2.3855485632000646E-11</v>
      </c>
      <c r="F110" s="10">
        <f t="shared" si="16"/>
        <v>2.385548563199439E-11</v>
      </c>
      <c r="G110" s="10">
        <f t="shared" si="22"/>
        <v>81.855787169211823</v>
      </c>
      <c r="I110" s="10">
        <v>4000</v>
      </c>
      <c r="J110" s="10">
        <f t="shared" si="17"/>
        <v>395.86799999999999</v>
      </c>
      <c r="K110" s="10">
        <f t="shared" si="18"/>
        <v>0.16513613010082223</v>
      </c>
      <c r="L110" s="10">
        <f t="shared" si="19"/>
        <v>0.18093369472450618</v>
      </c>
      <c r="M110" s="11">
        <f t="shared" si="23"/>
        <v>1.2825463563224598E-12</v>
      </c>
      <c r="N110" s="11">
        <f t="shared" si="20"/>
        <v>1.2825463563224598E-12</v>
      </c>
      <c r="O110" s="10">
        <f t="shared" si="21"/>
        <v>71.625859863200816</v>
      </c>
    </row>
    <row r="111" spans="1:15">
      <c r="A111" s="10">
        <v>3700</v>
      </c>
      <c r="B111" s="10">
        <f t="shared" si="12"/>
        <v>366.17790000000002</v>
      </c>
      <c r="C111" s="10">
        <f t="shared" si="13"/>
        <v>0.19246738055112492</v>
      </c>
      <c r="D111" s="10">
        <f t="shared" si="14"/>
        <v>0.22553019646615829</v>
      </c>
      <c r="E111" s="10">
        <f t="shared" si="15"/>
        <v>2.2942254278157872E-11</v>
      </c>
      <c r="F111" s="10">
        <f t="shared" si="16"/>
        <v>2.2942254278133344E-11</v>
      </c>
      <c r="G111" s="10">
        <f t="shared" si="22"/>
        <v>82.584173728565275</v>
      </c>
      <c r="I111" s="10">
        <v>4050</v>
      </c>
      <c r="J111" s="10">
        <f t="shared" si="17"/>
        <v>400.81635</v>
      </c>
      <c r="K111" s="10">
        <f t="shared" si="18"/>
        <v>0.1648220259432408</v>
      </c>
      <c r="L111" s="10">
        <f t="shared" si="19"/>
        <v>0.18006118317566888</v>
      </c>
      <c r="M111" s="11">
        <f t="shared" si="23"/>
        <v>1.2360803725522461E-12</v>
      </c>
      <c r="N111" s="11">
        <f t="shared" si="20"/>
        <v>1.2360803725513654E-12</v>
      </c>
      <c r="O111" s="10">
        <f t="shared" si="21"/>
        <v>72.171466217153011</v>
      </c>
    </row>
    <row r="112" spans="1:15">
      <c r="A112" s="10">
        <v>3750</v>
      </c>
      <c r="B112" s="10">
        <f t="shared" si="12"/>
        <v>371.12624999999997</v>
      </c>
      <c r="C112" s="10">
        <f t="shared" si="13"/>
        <v>0.19203535380048292</v>
      </c>
      <c r="D112" s="10">
        <f t="shared" si="14"/>
        <v>0.22447647268410464</v>
      </c>
      <c r="E112" s="10">
        <f t="shared" si="15"/>
        <v>2.2075514383750394E-11</v>
      </c>
      <c r="F112" s="10">
        <f t="shared" si="16"/>
        <v>2.2075514383756404E-11</v>
      </c>
      <c r="G112" s="10">
        <f t="shared" si="22"/>
        <v>83.309111520479178</v>
      </c>
      <c r="I112" s="10">
        <v>4100</v>
      </c>
      <c r="J112" s="10">
        <f t="shared" si="17"/>
        <v>405.7647</v>
      </c>
      <c r="K112" s="10">
        <f t="shared" si="18"/>
        <v>0.16451325114877507</v>
      </c>
      <c r="L112" s="10">
        <f t="shared" si="19"/>
        <v>0.17920347541326409</v>
      </c>
      <c r="M112" s="11">
        <f t="shared" si="23"/>
        <v>1.1918362675488083E-12</v>
      </c>
      <c r="N112" s="11">
        <f t="shared" si="20"/>
        <v>1.1918362675479442E-12</v>
      </c>
      <c r="O112" s="10">
        <f t="shared" si="21"/>
        <v>72.714444440020486</v>
      </c>
    </row>
    <row r="113" spans="1:15">
      <c r="A113" s="10">
        <v>3800</v>
      </c>
      <c r="B113" s="10">
        <f t="shared" si="12"/>
        <v>376.07459999999998</v>
      </c>
      <c r="C113" s="10">
        <f t="shared" si="13"/>
        <v>0.19161100410246429</v>
      </c>
      <c r="D113" s="10">
        <f t="shared" si="14"/>
        <v>0.22344147342064458</v>
      </c>
      <c r="E113" s="10">
        <f t="shared" si="15"/>
        <v>2.1252327468958116E-11</v>
      </c>
      <c r="F113" s="10">
        <f t="shared" si="16"/>
        <v>2.1252327468952225E-11</v>
      </c>
      <c r="G113" s="10">
        <f t="shared" si="22"/>
        <v>84.030662740079535</v>
      </c>
      <c r="I113" s="10">
        <v>4150</v>
      </c>
      <c r="J113" s="10">
        <f t="shared" si="17"/>
        <v>410.71305000000001</v>
      </c>
      <c r="K113" s="10">
        <f t="shared" si="18"/>
        <v>0.16420965218533529</v>
      </c>
      <c r="L113" s="10">
        <f t="shared" si="19"/>
        <v>0.17836014495926467</v>
      </c>
      <c r="M113" s="11">
        <f t="shared" si="23"/>
        <v>1.1496826680847224E-12</v>
      </c>
      <c r="N113" s="11">
        <f t="shared" si="20"/>
        <v>1.1496826680851464E-12</v>
      </c>
      <c r="O113" s="10">
        <f t="shared" si="21"/>
        <v>73.254839134661722</v>
      </c>
    </row>
    <row r="114" spans="1:15">
      <c r="A114" s="10">
        <v>3850</v>
      </c>
      <c r="B114" s="10">
        <f t="shared" si="12"/>
        <v>381.02294999999998</v>
      </c>
      <c r="C114" s="10">
        <f t="shared" si="13"/>
        <v>0.19119409720182287</v>
      </c>
      <c r="D114" s="10">
        <f t="shared" si="14"/>
        <v>0.22242462732151916</v>
      </c>
      <c r="E114" s="10">
        <f t="shared" si="15"/>
        <v>2.0469975977817194E-11</v>
      </c>
      <c r="F114" s="10">
        <f t="shared" si="16"/>
        <v>2.0469975977811427E-11</v>
      </c>
      <c r="G114" s="10">
        <f t="shared" si="22"/>
        <v>84.748887654695821</v>
      </c>
      <c r="I114" s="10">
        <v>4200</v>
      </c>
      <c r="J114" s="10">
        <f t="shared" si="17"/>
        <v>415.66140000000001</v>
      </c>
      <c r="K114" s="10">
        <f t="shared" si="18"/>
        <v>0.16391108171762597</v>
      </c>
      <c r="L114" s="10">
        <f t="shared" si="19"/>
        <v>0.17753078254896101</v>
      </c>
      <c r="M114" s="11">
        <f t="shared" si="23"/>
        <v>1.1094974192582805E-12</v>
      </c>
      <c r="N114" s="11">
        <f t="shared" si="20"/>
        <v>1.1094974192578649E-12</v>
      </c>
      <c r="O114" s="10">
        <f t="shared" si="21"/>
        <v>73.792693617396708</v>
      </c>
    </row>
    <row r="115" spans="1:15">
      <c r="A115" s="10">
        <v>3900</v>
      </c>
      <c r="B115" s="10">
        <f t="shared" si="12"/>
        <v>385.97129999999999</v>
      </c>
      <c r="C115" s="10">
        <f t="shared" si="13"/>
        <v>0.19078440889793308</v>
      </c>
      <c r="D115" s="10">
        <f t="shared" si="14"/>
        <v>0.2214253875559343</v>
      </c>
      <c r="E115" s="10">
        <f t="shared" si="15"/>
        <v>1.9725944089625194E-11</v>
      </c>
      <c r="F115" s="10">
        <f t="shared" si="16"/>
        <v>1.9725944089625198E-11</v>
      </c>
      <c r="G115" s="10">
        <f t="shared" si="22"/>
        <v>85.463844687967779</v>
      </c>
      <c r="I115" s="10">
        <v>4250</v>
      </c>
      <c r="J115" s="10">
        <f t="shared" si="17"/>
        <v>420.60975000000002</v>
      </c>
      <c r="K115" s="10">
        <f t="shared" si="18"/>
        <v>0.16361739828716065</v>
      </c>
      <c r="L115" s="10">
        <f t="shared" si="19"/>
        <v>0.17671499524211293</v>
      </c>
      <c r="M115" s="11">
        <f t="shared" si="23"/>
        <v>1.071166838245009E-12</v>
      </c>
      <c r="N115" s="11">
        <f t="shared" si="20"/>
        <v>1.0711668382437848E-12</v>
      </c>
      <c r="O115" s="10">
        <f t="shared" si="21"/>
        <v>74.328049970036318</v>
      </c>
    </row>
    <row r="116" spans="1:15">
      <c r="A116" s="10">
        <v>3950</v>
      </c>
      <c r="B116" s="10">
        <f t="shared" si="12"/>
        <v>390.91964999999999</v>
      </c>
      <c r="C116" s="10">
        <f t="shared" si="13"/>
        <v>0.19038172449169871</v>
      </c>
      <c r="D116" s="10">
        <f t="shared" si="14"/>
        <v>0.22044323046755782</v>
      </c>
      <c r="E116" s="10">
        <f t="shared" si="15"/>
        <v>1.9017900415337743E-11</v>
      </c>
      <c r="F116" s="10">
        <f t="shared" si="16"/>
        <v>1.9017900415348852E-11</v>
      </c>
      <c r="G116" s="10">
        <f t="shared" si="22"/>
        <v>86.175590499247036</v>
      </c>
      <c r="I116" s="10">
        <v>4300</v>
      </c>
      <c r="J116" s="10">
        <f t="shared" si="17"/>
        <v>425.55810000000002</v>
      </c>
      <c r="K116" s="10">
        <f t="shared" si="18"/>
        <v>0.16332846601232309</v>
      </c>
      <c r="L116" s="10">
        <f t="shared" si="19"/>
        <v>0.17591240558978635</v>
      </c>
      <c r="M116" s="11">
        <f t="shared" si="23"/>
        <v>1.0345850363229045E-12</v>
      </c>
      <c r="N116" s="11">
        <f t="shared" si="20"/>
        <v>1.0345850363233052E-12</v>
      </c>
      <c r="O116" s="10">
        <f t="shared" si="21"/>
        <v>74.860949089218863</v>
      </c>
    </row>
    <row r="117" spans="1:15">
      <c r="A117" s="10">
        <v>4000</v>
      </c>
      <c r="B117" s="10">
        <f t="shared" si="12"/>
        <v>395.86799999999999</v>
      </c>
      <c r="C117" s="10">
        <f t="shared" si="13"/>
        <v>0.18998583826940169</v>
      </c>
      <c r="D117" s="10">
        <f t="shared" si="14"/>
        <v>0.21947765431561383</v>
      </c>
      <c r="E117" s="10">
        <f t="shared" si="15"/>
        <v>1.8343682372911568E-11</v>
      </c>
      <c r="F117" s="10">
        <f t="shared" si="16"/>
        <v>1.834368237290612E-11</v>
      </c>
      <c r="G117" s="10">
        <f t="shared" si="22"/>
        <v>86.88418005861341</v>
      </c>
      <c r="I117" s="10">
        <v>4350</v>
      </c>
      <c r="J117" s="10">
        <f t="shared" si="17"/>
        <v>430.50644999999997</v>
      </c>
      <c r="K117" s="10">
        <f t="shared" si="18"/>
        <v>0.16304415430700286</v>
      </c>
      <c r="L117" s="10">
        <f t="shared" si="19"/>
        <v>0.17512265085278572</v>
      </c>
      <c r="M117" s="11">
        <f t="shared" si="23"/>
        <v>9.9965330222086057E-13</v>
      </c>
      <c r="N117" s="11">
        <f t="shared" si="20"/>
        <v>9.9965330221968058E-13</v>
      </c>
      <c r="O117" s="10">
        <f t="shared" si="21"/>
        <v>75.391430733222251</v>
      </c>
    </row>
    <row r="118" spans="1:15">
      <c r="A118" s="10">
        <v>4050</v>
      </c>
      <c r="B118" s="10">
        <f t="shared" si="12"/>
        <v>400.81635</v>
      </c>
      <c r="C118" s="10">
        <f t="shared" si="13"/>
        <v>0.18959655302059897</v>
      </c>
      <c r="D118" s="10">
        <f t="shared" si="14"/>
        <v>0.21852817809902184</v>
      </c>
      <c r="E118" s="10">
        <f t="shared" si="15"/>
        <v>1.770128206018994E-11</v>
      </c>
      <c r="F118" s="10">
        <f t="shared" si="16"/>
        <v>1.7701282060179249E-11</v>
      </c>
      <c r="G118" s="10">
        <f t="shared" si="22"/>
        <v>87.589666717799872</v>
      </c>
      <c r="I118" s="10">
        <v>4400</v>
      </c>
      <c r="J118" s="10">
        <f t="shared" si="17"/>
        <v>435.45479999999998</v>
      </c>
      <c r="K118" s="10">
        <f t="shared" si="18"/>
        <v>0.16276433761645709</v>
      </c>
      <c r="L118" s="10">
        <f t="shared" si="19"/>
        <v>0.17434538226793636</v>
      </c>
      <c r="M118" s="11">
        <f t="shared" si="23"/>
        <v>9.6627954061608462E-13</v>
      </c>
      <c r="N118" s="11">
        <f t="shared" si="20"/>
        <v>9.6627954061531176E-13</v>
      </c>
      <c r="O118" s="10">
        <f t="shared" si="21"/>
        <v>75.919533566407765</v>
      </c>
    </row>
    <row r="119" spans="1:15">
      <c r="A119" s="10">
        <v>4100</v>
      </c>
      <c r="B119" s="10">
        <f t="shared" si="12"/>
        <v>405.7647</v>
      </c>
      <c r="C119" s="10">
        <f t="shared" si="13"/>
        <v>0.18921367958743596</v>
      </c>
      <c r="D119" s="10">
        <f t="shared" si="14"/>
        <v>0.21759434045716083</v>
      </c>
      <c r="E119" s="10">
        <f t="shared" si="15"/>
        <v>1.7088833465601863E-11</v>
      </c>
      <c r="F119" s="10">
        <f t="shared" si="16"/>
        <v>1.7088833465617599E-11</v>
      </c>
      <c r="G119" s="10">
        <f t="shared" si="22"/>
        <v>88.29210227729773</v>
      </c>
      <c r="I119" s="10">
        <v>4450</v>
      </c>
      <c r="J119" s="10">
        <f t="shared" si="17"/>
        <v>440.40314999999998</v>
      </c>
      <c r="K119" s="10">
        <f t="shared" si="18"/>
        <v>0.16248889516916348</v>
      </c>
      <c r="L119" s="10">
        <f t="shared" si="19"/>
        <v>0.17358026435878746</v>
      </c>
      <c r="M119" s="11">
        <f t="shared" si="23"/>
        <v>9.343777602986745E-13</v>
      </c>
      <c r="N119" s="11">
        <f t="shared" si="20"/>
        <v>9.3437776029753632E-13</v>
      </c>
      <c r="O119" s="10">
        <f t="shared" si="21"/>
        <v>76.445295201442718</v>
      </c>
    </row>
    <row r="120" spans="1:15">
      <c r="A120" s="10">
        <v>4150</v>
      </c>
      <c r="B120" s="10">
        <f t="shared" si="12"/>
        <v>410.71305000000001</v>
      </c>
      <c r="C120" s="10">
        <f t="shared" si="13"/>
        <v>0.18883703644297581</v>
      </c>
      <c r="D120" s="10">
        <f t="shared" si="14"/>
        <v>0.21667569864140437</v>
      </c>
      <c r="E120" s="10">
        <f t="shared" si="15"/>
        <v>1.6504600875574844E-11</v>
      </c>
      <c r="F120" s="10">
        <f t="shared" si="16"/>
        <v>1.6504600875569693E-11</v>
      </c>
      <c r="G120" s="10">
        <f t="shared" si="22"/>
        <v>88.991537049892045</v>
      </c>
      <c r="I120" s="10">
        <v>4500</v>
      </c>
      <c r="J120" s="10">
        <f t="shared" si="17"/>
        <v>445.35149999999999</v>
      </c>
      <c r="K120" s="10">
        <f t="shared" si="18"/>
        <v>0.16221771074352875</v>
      </c>
      <c r="L120" s="10">
        <f t="shared" si="19"/>
        <v>0.17282697428757987</v>
      </c>
      <c r="M120" s="11">
        <f t="shared" si="23"/>
        <v>9.0386760710444172E-13</v>
      </c>
      <c r="N120" s="11">
        <f t="shared" si="20"/>
        <v>9.0386760710332323E-13</v>
      </c>
      <c r="O120" s="10">
        <f t="shared" si="21"/>
        <v>76.968752239435119</v>
      </c>
    </row>
    <row r="121" spans="1:15">
      <c r="A121" s="10">
        <v>4200</v>
      </c>
      <c r="B121" s="10">
        <f t="shared" si="12"/>
        <v>415.66140000000001</v>
      </c>
      <c r="C121" s="10">
        <f t="shared" si="13"/>
        <v>0.18846644929635342</v>
      </c>
      <c r="D121" s="10">
        <f t="shared" si="14"/>
        <v>0.21577182755208149</v>
      </c>
      <c r="E121" s="10">
        <f t="shared" si="15"/>
        <v>1.594696835396458E-11</v>
      </c>
      <c r="F121" s="10">
        <f t="shared" si="16"/>
        <v>1.594696835396458E-11</v>
      </c>
      <c r="G121" s="10">
        <f t="shared" si="22"/>
        <v>89.688019920856775</v>
      </c>
      <c r="I121" s="10">
        <v>4550</v>
      </c>
      <c r="J121" s="10">
        <f t="shared" si="17"/>
        <v>450.29984999999999</v>
      </c>
      <c r="K121" s="10">
        <f t="shared" si="18"/>
        <v>0.16195067244841033</v>
      </c>
      <c r="L121" s="10">
        <f t="shared" si="19"/>
        <v>0.17208520124558424</v>
      </c>
      <c r="M121" s="11">
        <f t="shared" si="23"/>
        <v>8.7467393726841356E-13</v>
      </c>
      <c r="N121" s="11">
        <f t="shared" si="20"/>
        <v>8.7467393726804733E-13</v>
      </c>
      <c r="O121" s="10">
        <f t="shared" si="21"/>
        <v>77.489940308106398</v>
      </c>
    </row>
    <row r="122" spans="1:15">
      <c r="A122" s="10">
        <v>4250</v>
      </c>
      <c r="B122" s="10">
        <f t="shared" si="12"/>
        <v>420.60975000000002</v>
      </c>
      <c r="C122" s="10">
        <f t="shared" si="13"/>
        <v>0.18810175072275526</v>
      </c>
      <c r="D122" s="10">
        <f t="shared" si="14"/>
        <v>0.21488231883598841</v>
      </c>
      <c r="E122" s="10">
        <f t="shared" si="15"/>
        <v>1.5414430183091372E-11</v>
      </c>
      <c r="F122" s="10">
        <f t="shared" si="16"/>
        <v>1.5414430183081436E-11</v>
      </c>
      <c r="G122" s="10">
        <f t="shared" si="22"/>
        <v>90.381598405025372</v>
      </c>
      <c r="I122" s="10">
        <v>4600</v>
      </c>
      <c r="J122" s="10">
        <f t="shared" si="17"/>
        <v>455.2482</v>
      </c>
      <c r="K122" s="10">
        <f t="shared" si="18"/>
        <v>0.16168767251649296</v>
      </c>
      <c r="L122" s="10">
        <f t="shared" si="19"/>
        <v>0.17135464587914712</v>
      </c>
      <c r="M122" s="11">
        <f t="shared" si="23"/>
        <v>8.4672642729333505E-13</v>
      </c>
      <c r="N122" s="11">
        <f t="shared" si="20"/>
        <v>8.4672642729225493E-13</v>
      </c>
      <c r="O122" s="10">
        <f t="shared" si="21"/>
        <v>78.008894098119143</v>
      </c>
    </row>
    <row r="123" spans="1:15">
      <c r="A123" s="10">
        <v>4300</v>
      </c>
      <c r="B123" s="10">
        <f t="shared" si="12"/>
        <v>425.55810000000002</v>
      </c>
      <c r="C123" s="10">
        <f t="shared" si="13"/>
        <v>0.18774277981639176</v>
      </c>
      <c r="D123" s="10">
        <f t="shared" si="14"/>
        <v>0.21400678003997986</v>
      </c>
      <c r="E123" s="10">
        <f t="shared" si="15"/>
        <v>1.4905582168494861E-11</v>
      </c>
      <c r="F123" s="10">
        <f t="shared" si="16"/>
        <v>1.4905582168494861E-11</v>
      </c>
      <c r="G123" s="10">
        <f t="shared" si="22"/>
        <v>91.07231870093176</v>
      </c>
      <c r="I123" s="10">
        <v>4650</v>
      </c>
      <c r="J123" s="10">
        <f t="shared" si="17"/>
        <v>460.19655</v>
      </c>
      <c r="K123" s="10">
        <f t="shared" si="18"/>
        <v>0.16142860710963641</v>
      </c>
      <c r="L123" s="10">
        <f t="shared" si="19"/>
        <v>0.17063501974899004</v>
      </c>
      <c r="M123" s="11">
        <f t="shared" si="23"/>
        <v>8.1995921686634569E-13</v>
      </c>
      <c r="N123" s="11">
        <f t="shared" si="20"/>
        <v>8.1995921686493013E-13</v>
      </c>
      <c r="O123" s="10">
        <f t="shared" si="21"/>
        <v>78.525647397667086</v>
      </c>
    </row>
    <row r="124" spans="1:15">
      <c r="A124" s="10">
        <v>4350</v>
      </c>
      <c r="B124" s="10">
        <f t="shared" si="12"/>
        <v>430.50644999999997</v>
      </c>
      <c r="C124" s="10">
        <f t="shared" si="13"/>
        <v>0.18738938186478873</v>
      </c>
      <c r="D124" s="10">
        <f t="shared" si="14"/>
        <v>0.21314483381655785</v>
      </c>
      <c r="E124" s="10">
        <f t="shared" si="15"/>
        <v>1.4419113720398173E-11</v>
      </c>
      <c r="F124" s="10">
        <f t="shared" si="16"/>
        <v>1.4419113720407758E-11</v>
      </c>
      <c r="G124" s="10">
        <f t="shared" si="22"/>
        <v>91.760225742206273</v>
      </c>
      <c r="I124" s="10">
        <v>4700</v>
      </c>
      <c r="J124" s="10">
        <f t="shared" si="17"/>
        <v>465.14490000000001</v>
      </c>
      <c r="K124" s="10">
        <f t="shared" si="18"/>
        <v>0.16117337613538196</v>
      </c>
      <c r="L124" s="10">
        <f t="shared" si="19"/>
        <v>0.16992604482050544</v>
      </c>
      <c r="M124" s="11">
        <f t="shared" si="23"/>
        <v>7.943105816922163E-13</v>
      </c>
      <c r="N124" s="11">
        <f t="shared" si="20"/>
        <v>7.9431058169152028E-13</v>
      </c>
      <c r="O124" s="10">
        <f t="shared" si="21"/>
        <v>79.040233125429523</v>
      </c>
    </row>
    <row r="125" spans="1:15">
      <c r="A125" s="10">
        <v>4400</v>
      </c>
      <c r="B125" s="10">
        <f t="shared" si="12"/>
        <v>435.45479999999998</v>
      </c>
      <c r="C125" s="10">
        <f t="shared" si="13"/>
        <v>0.18704140804285924</v>
      </c>
      <c r="D125" s="10">
        <f t="shared" si="14"/>
        <v>0.21229611717770541</v>
      </c>
      <c r="E125" s="10">
        <f t="shared" si="15"/>
        <v>1.3953800634660568E-11</v>
      </c>
      <c r="F125" s="10">
        <f t="shared" si="16"/>
        <v>1.3953800634665276E-11</v>
      </c>
      <c r="G125" s="10">
        <f t="shared" si="22"/>
        <v>92.445363246394265</v>
      </c>
      <c r="I125" s="10">
        <v>4750</v>
      </c>
      <c r="J125" s="10">
        <f t="shared" si="17"/>
        <v>470.09325000000001</v>
      </c>
      <c r="K125" s="10">
        <f t="shared" si="18"/>
        <v>0.16092188307386651</v>
      </c>
      <c r="L125" s="10">
        <f t="shared" si="19"/>
        <v>0.16922745298296252</v>
      </c>
      <c r="M125" s="11">
        <f t="shared" si="23"/>
        <v>7.6972263346712836E-13</v>
      </c>
      <c r="N125" s="11">
        <f t="shared" si="20"/>
        <v>7.6972263346747067E-13</v>
      </c>
      <c r="O125" s="10">
        <f t="shared" si="21"/>
        <v>79.552683361983043</v>
      </c>
    </row>
    <row r="126" spans="1:15">
      <c r="A126" s="10">
        <v>4450</v>
      </c>
      <c r="B126" s="10">
        <f t="shared" si="12"/>
        <v>440.40314999999998</v>
      </c>
      <c r="C126" s="10">
        <f t="shared" si="13"/>
        <v>0.18669871512534822</v>
      </c>
      <c r="D126" s="10">
        <f t="shared" si="14"/>
        <v>0.21146028079353221</v>
      </c>
      <c r="E126" s="10">
        <f t="shared" si="15"/>
        <v>1.3508498504306341E-11</v>
      </c>
      <c r="F126" s="10">
        <f t="shared" si="16"/>
        <v>1.350849850430171E-11</v>
      </c>
      <c r="G126" s="10">
        <f t="shared" si="22"/>
        <v>93.127773761356082</v>
      </c>
      <c r="I126" s="10">
        <v>4800</v>
      </c>
      <c r="J126" s="10">
        <f t="shared" si="17"/>
        <v>475.04160000000002</v>
      </c>
      <c r="K126" s="10">
        <f t="shared" si="18"/>
        <v>0.16067403481445272</v>
      </c>
      <c r="L126" s="10">
        <f t="shared" si="19"/>
        <v>0.16853898559570199</v>
      </c>
      <c r="M126" s="11">
        <f t="shared" si="23"/>
        <v>7.4614104447462616E-13</v>
      </c>
      <c r="N126" s="11">
        <f t="shared" si="20"/>
        <v>7.4614104447529915E-13</v>
      </c>
      <c r="O126" s="10">
        <f t="shared" si="21"/>
        <v>80.063029379759229</v>
      </c>
    </row>
    <row r="127" spans="1:15">
      <c r="A127" s="10">
        <v>4500</v>
      </c>
      <c r="B127" s="10">
        <f t="shared" si="12"/>
        <v>445.35149999999999</v>
      </c>
      <c r="C127" s="10">
        <f t="shared" si="13"/>
        <v>0.18636116521635393</v>
      </c>
      <c r="D127" s="10">
        <f t="shared" si="14"/>
        <v>0.21063698833257052</v>
      </c>
      <c r="E127" s="10">
        <f t="shared" si="15"/>
        <v>1.3082136700259818E-11</v>
      </c>
      <c r="F127" s="10">
        <f t="shared" si="16"/>
        <v>1.3082136700255265E-11</v>
      </c>
      <c r="G127" s="10">
        <f t="shared" si="22"/>
        <v>93.807498709392775</v>
      </c>
      <c r="I127" s="10">
        <v>4850</v>
      </c>
      <c r="J127" s="10">
        <f t="shared" si="17"/>
        <v>479.98995000000002</v>
      </c>
      <c r="K127" s="10">
        <f t="shared" si="18"/>
        <v>0.16042974150143477</v>
      </c>
      <c r="L127" s="10">
        <f t="shared" si="19"/>
        <v>0.16786039305954101</v>
      </c>
      <c r="M127" s="11">
        <f t="shared" si="23"/>
        <v>7.2351479455525725E-13</v>
      </c>
      <c r="N127" s="11">
        <f t="shared" si="20"/>
        <v>7.2351479455492626E-13</v>
      </c>
      <c r="O127" s="10">
        <f t="shared" si="21"/>
        <v>80.571301671629442</v>
      </c>
    </row>
    <row r="128" spans="1:15">
      <c r="A128" s="10">
        <v>4550</v>
      </c>
      <c r="B128" s="10">
        <f t="shared" si="12"/>
        <v>450.29984999999999</v>
      </c>
      <c r="C128" s="10">
        <f t="shared" si="13"/>
        <v>0.18602862549473659</v>
      </c>
      <c r="D128" s="10">
        <f t="shared" si="14"/>
        <v>0.20982591584082091</v>
      </c>
      <c r="E128" s="10">
        <f t="shared" si="15"/>
        <v>1.2673712866462768E-11</v>
      </c>
      <c r="F128" s="10">
        <f t="shared" si="16"/>
        <v>1.2673712866458291E-11</v>
      </c>
      <c r="G128" s="10">
        <f t="shared" si="22"/>
        <v>94.484578429234276</v>
      </c>
      <c r="I128" s="10">
        <v>4900</v>
      </c>
      <c r="J128" s="10">
        <f t="shared" si="17"/>
        <v>484.93829999999997</v>
      </c>
      <c r="K128" s="10">
        <f t="shared" si="18"/>
        <v>0.16018891638822852</v>
      </c>
      <c r="L128" s="10">
        <f t="shared" si="19"/>
        <v>0.16719143441174589</v>
      </c>
      <c r="M128" s="11">
        <f t="shared" si="23"/>
        <v>7.017959384296902E-13</v>
      </c>
      <c r="N128" s="11">
        <f t="shared" si="20"/>
        <v>7.0179593843001584E-13</v>
      </c>
      <c r="O128" s="10">
        <f t="shared" si="21"/>
        <v>81.077529978193539</v>
      </c>
    </row>
    <row r="129" spans="1:15">
      <c r="A129" s="10">
        <v>4600</v>
      </c>
      <c r="B129" s="10">
        <f t="shared" si="12"/>
        <v>455.2482</v>
      </c>
      <c r="C129" s="10">
        <f t="shared" si="13"/>
        <v>0.18570096797431881</v>
      </c>
      <c r="D129" s="10">
        <f t="shared" si="14"/>
        <v>0.20902675115687513</v>
      </c>
      <c r="E129" s="10">
        <f t="shared" si="15"/>
        <v>1.2282287880371942E-11</v>
      </c>
      <c r="F129" s="10">
        <f t="shared" si="16"/>
        <v>1.228228788038075E-11</v>
      </c>
      <c r="G129" s="10">
        <f t="shared" si="22"/>
        <v>95.159052216015326</v>
      </c>
      <c r="I129" s="10">
        <v>10000</v>
      </c>
      <c r="J129" s="10">
        <f t="shared" si="17"/>
        <v>989.67</v>
      </c>
      <c r="K129" s="10">
        <f t="shared" si="18"/>
        <v>0.14558517906048923</v>
      </c>
      <c r="L129" s="10">
        <f t="shared" si="19"/>
        <v>0.12662549739024787</v>
      </c>
      <c r="M129" s="11">
        <f t="shared" si="23"/>
        <v>8.4179432733507383E-14</v>
      </c>
      <c r="N129" s="11">
        <f t="shared" si="20"/>
        <v>8.4179432733086409E-14</v>
      </c>
      <c r="O129" s="10">
        <f t="shared" si="21"/>
        <v>125.3174560022066</v>
      </c>
    </row>
    <row r="130" spans="1:15">
      <c r="A130" s="10">
        <v>4650</v>
      </c>
      <c r="B130" s="10">
        <f t="shared" si="12"/>
        <v>460.19655</v>
      </c>
      <c r="C130" s="10">
        <f t="shared" si="13"/>
        <v>0.18537806927786862</v>
      </c>
      <c r="D130" s="10">
        <f t="shared" si="14"/>
        <v>0.20823919336065516</v>
      </c>
      <c r="E130" s="10">
        <f t="shared" si="15"/>
        <v>1.1906981235020694E-11</v>
      </c>
      <c r="F130" s="10">
        <f t="shared" si="16"/>
        <v>1.1906981235020694E-11</v>
      </c>
      <c r="G130" s="10">
        <f t="shared" si="22"/>
        <v>95.830958359356416</v>
      </c>
      <c r="I130" s="10">
        <v>20000</v>
      </c>
      <c r="J130" s="10">
        <f t="shared" si="17"/>
        <v>1979.34</v>
      </c>
      <c r="K130" s="10">
        <f t="shared" si="18"/>
        <v>0.13479122058885218</v>
      </c>
      <c r="L130" s="10">
        <f t="shared" si="19"/>
        <v>9.6642279413478263E-2</v>
      </c>
      <c r="M130" s="11">
        <f t="shared" si="23"/>
        <v>1.0712314642810182E-14</v>
      </c>
      <c r="N130" s="11">
        <f t="shared" si="20"/>
        <v>1.0712314642880368E-14</v>
      </c>
      <c r="O130" s="10">
        <f t="shared" si="21"/>
        <v>191.28792933427405</v>
      </c>
    </row>
    <row r="131" spans="1:15">
      <c r="A131" s="10">
        <v>4700</v>
      </c>
      <c r="B131" s="10">
        <f t="shared" si="12"/>
        <v>465.14490000000001</v>
      </c>
      <c r="C131" s="10">
        <f t="shared" si="13"/>
        <v>0.18505981042393571</v>
      </c>
      <c r="D131" s="10">
        <f t="shared" si="14"/>
        <v>0.2074629522535017</v>
      </c>
      <c r="E131" s="10">
        <f t="shared" si="15"/>
        <v>1.1546966803220505E-11</v>
      </c>
      <c r="F131" s="10">
        <f t="shared" si="16"/>
        <v>1.1546966803229027E-11</v>
      </c>
      <c r="G131" s="10">
        <f t="shared" si="22"/>
        <v>96.500334179659816</v>
      </c>
      <c r="I131" s="10">
        <v>30000</v>
      </c>
      <c r="J131" s="10">
        <f t="shared" si="17"/>
        <v>2969.0099999999998</v>
      </c>
      <c r="K131" s="10">
        <f t="shared" si="18"/>
        <v>0.12970344057793731</v>
      </c>
      <c r="L131" s="10">
        <f t="shared" si="19"/>
        <v>8.2509557160936969E-2</v>
      </c>
      <c r="M131" s="11">
        <f t="shared" si="23"/>
        <v>3.2068308403792282E-15</v>
      </c>
      <c r="N131" s="11">
        <f t="shared" si="20"/>
        <v>3.2068308403423171E-15</v>
      </c>
      <c r="O131" s="10">
        <f t="shared" si="21"/>
        <v>244.97170030639344</v>
      </c>
    </row>
    <row r="132" spans="1:15">
      <c r="A132" s="10">
        <v>4750</v>
      </c>
      <c r="B132" s="10">
        <f t="shared" si="12"/>
        <v>470.09325000000001</v>
      </c>
      <c r="C132" s="10">
        <f t="shared" si="13"/>
        <v>0.18474607662568221</v>
      </c>
      <c r="D132" s="10">
        <f t="shared" si="14"/>
        <v>0.20669774786751755</v>
      </c>
      <c r="E132" s="10">
        <f t="shared" si="15"/>
        <v>1.1201468948770094E-11</v>
      </c>
      <c r="F132" s="10">
        <f t="shared" si="16"/>
        <v>1.1201468948770093E-11</v>
      </c>
      <c r="G132" s="10">
        <f t="shared" si="22"/>
        <v>97.167216062721891</v>
      </c>
      <c r="I132" s="10">
        <v>40000</v>
      </c>
      <c r="J132" s="10">
        <f t="shared" si="17"/>
        <v>3958.68</v>
      </c>
      <c r="K132" s="10">
        <f t="shared" si="18"/>
        <v>0.12655132338183939</v>
      </c>
      <c r="L132" s="10">
        <f t="shared" si="19"/>
        <v>7.3753676060664949E-2</v>
      </c>
      <c r="M132" s="11">
        <f t="shared" si="23"/>
        <v>1.3627345823998388E-15</v>
      </c>
      <c r="N132" s="11">
        <f t="shared" si="20"/>
        <v>1.3627345823530454E-15</v>
      </c>
      <c r="O132" s="10">
        <f t="shared" si="21"/>
        <v>291.96720234783311</v>
      </c>
    </row>
    <row r="133" spans="1:15">
      <c r="A133" s="10">
        <v>4800</v>
      </c>
      <c r="B133" s="10">
        <f t="shared" si="12"/>
        <v>475.04160000000002</v>
      </c>
      <c r="C133" s="10">
        <f t="shared" si="13"/>
        <v>0.18443675710091517</v>
      </c>
      <c r="D133" s="10">
        <f t="shared" si="14"/>
        <v>0.20594331000223209</v>
      </c>
      <c r="E133" s="10">
        <f t="shared" si="15"/>
        <v>1.0869758952824248E-11</v>
      </c>
      <c r="F133" s="10">
        <f t="shared" si="16"/>
        <v>1.0869758952824252E-11</v>
      </c>
      <c r="G133" s="10">
        <f t="shared" si="22"/>
        <v>97.831639492756338</v>
      </c>
      <c r="I133" s="10">
        <v>50000</v>
      </c>
      <c r="J133" s="10">
        <f t="shared" si="17"/>
        <v>4948.3500000000004</v>
      </c>
      <c r="K133" s="10">
        <f t="shared" si="18"/>
        <v>0.12433852544214086</v>
      </c>
      <c r="L133" s="10">
        <f t="shared" si="19"/>
        <v>6.7607015117057925E-2</v>
      </c>
      <c r="M133" s="11">
        <f t="shared" si="23"/>
        <v>7.0164778563152455E-16</v>
      </c>
      <c r="N133" s="11">
        <f t="shared" si="20"/>
        <v>7.0164778563973807E-16</v>
      </c>
      <c r="O133" s="10">
        <f t="shared" si="21"/>
        <v>334.54317325449358</v>
      </c>
    </row>
    <row r="134" spans="1:15">
      <c r="A134" s="10">
        <v>4850</v>
      </c>
      <c r="B134" s="10">
        <f t="shared" si="12"/>
        <v>479.98995000000002</v>
      </c>
      <c r="C134" s="10">
        <f t="shared" si="13"/>
        <v>0.18413174489258921</v>
      </c>
      <c r="D134" s="10">
        <f t="shared" si="14"/>
        <v>0.20519937778680292</v>
      </c>
      <c r="E134" s="10">
        <f t="shared" si="15"/>
        <v>1.0551151727076508E-11</v>
      </c>
      <c r="F134" s="10">
        <f t="shared" si="16"/>
        <v>1.0551151727076509E-11</v>
      </c>
      <c r="G134" s="10">
        <f t="shared" si="22"/>
        <v>98.493639083918652</v>
      </c>
      <c r="I134" s="10">
        <v>60000</v>
      </c>
      <c r="J134" s="10">
        <f t="shared" si="17"/>
        <v>5938.0199999999995</v>
      </c>
      <c r="K134" s="10">
        <f t="shared" si="18"/>
        <v>0.12266811571731623</v>
      </c>
      <c r="L134" s="10">
        <f t="shared" si="19"/>
        <v>6.2966988103656182E-2</v>
      </c>
      <c r="M134" s="11">
        <f t="shared" si="23"/>
        <v>4.0790994232369769E-16</v>
      </c>
      <c r="N134" s="11">
        <f t="shared" si="20"/>
        <v>4.0790994232369774E-16</v>
      </c>
      <c r="O134" s="10">
        <f t="shared" si="21"/>
        <v>373.89923469927243</v>
      </c>
    </row>
    <row r="135" spans="1:15">
      <c r="A135" s="10">
        <v>4900</v>
      </c>
      <c r="B135" s="10">
        <f t="shared" si="12"/>
        <v>484.93829999999997</v>
      </c>
      <c r="C135" s="10">
        <f t="shared" si="13"/>
        <v>0.18383093669910017</v>
      </c>
      <c r="D135" s="10">
        <f t="shared" si="14"/>
        <v>0.20446569926609795</v>
      </c>
      <c r="E135" s="10">
        <f t="shared" si="15"/>
        <v>1.0245002787950191E-11</v>
      </c>
      <c r="F135" s="10">
        <f t="shared" si="16"/>
        <v>1.0245002787950193E-11</v>
      </c>
      <c r="G135" s="10">
        <f t="shared" si="22"/>
        <v>99.153248610412788</v>
      </c>
      <c r="I135" s="10">
        <v>70000</v>
      </c>
      <c r="J135" s="10">
        <f t="shared" si="17"/>
        <v>6927.69</v>
      </c>
      <c r="K135" s="10">
        <f t="shared" si="18"/>
        <v>0.12134555278394839</v>
      </c>
      <c r="L135" s="10">
        <f t="shared" si="19"/>
        <v>5.9293202177634396E-2</v>
      </c>
      <c r="M135" s="11">
        <f t="shared" si="23"/>
        <v>2.578717909621495E-16</v>
      </c>
      <c r="N135" s="11">
        <f t="shared" si="20"/>
        <v>2.5787179093805631E-16</v>
      </c>
      <c r="O135" s="10">
        <f t="shared" si="21"/>
        <v>410.76492379397598</v>
      </c>
    </row>
    <row r="136" spans="1:15">
      <c r="A136" s="10">
        <v>10000</v>
      </c>
      <c r="B136" s="10">
        <f t="shared" si="12"/>
        <v>989.67</v>
      </c>
      <c r="C136" s="10">
        <f t="shared" si="13"/>
        <v>0.16533195979618437</v>
      </c>
      <c r="D136" s="10">
        <f t="shared" si="14"/>
        <v>0.15934624340532771</v>
      </c>
      <c r="E136" s="10">
        <f t="shared" si="15"/>
        <v>1.3202135811633259E-12</v>
      </c>
      <c r="F136" s="10">
        <f t="shared" si="16"/>
        <v>1.3202135811619777E-12</v>
      </c>
      <c r="G136" s="10">
        <f t="shared" si="22"/>
        <v>157.70019671095068</v>
      </c>
      <c r="I136" s="10">
        <v>80000</v>
      </c>
      <c r="J136" s="10">
        <f t="shared" si="17"/>
        <v>7917.36</v>
      </c>
      <c r="K136" s="10">
        <f t="shared" si="18"/>
        <v>0.12026242503333634</v>
      </c>
      <c r="L136" s="10">
        <f t="shared" si="19"/>
        <v>5.6284513981489821E-2</v>
      </c>
      <c r="M136" s="11">
        <f t="shared" si="23"/>
        <v>1.7333338619952644E-16</v>
      </c>
      <c r="N136" s="11">
        <f t="shared" si="20"/>
        <v>1.7333338620342595E-16</v>
      </c>
      <c r="O136" s="10">
        <f t="shared" si="21"/>
        <v>445.62475961648823</v>
      </c>
    </row>
    <row r="137" spans="1:15">
      <c r="A137" s="10">
        <v>20000</v>
      </c>
      <c r="B137" s="10">
        <f t="shared" si="12"/>
        <v>1979.34</v>
      </c>
      <c r="C137" s="10">
        <f t="shared" si="13"/>
        <v>0.15126518773057512</v>
      </c>
      <c r="D137" s="10">
        <f t="shared" si="14"/>
        <v>0.12503704324530515</v>
      </c>
      <c r="E137" s="10">
        <f t="shared" si="15"/>
        <v>1.8009028609875214E-13</v>
      </c>
      <c r="F137" s="10">
        <f t="shared" si="16"/>
        <v>1.8009028609828334E-13</v>
      </c>
      <c r="G137" s="10">
        <f t="shared" si="22"/>
        <v>247.49082117716227</v>
      </c>
      <c r="I137" s="10">
        <v>90000</v>
      </c>
      <c r="J137" s="10">
        <f t="shared" si="17"/>
        <v>8907.0300000000007</v>
      </c>
      <c r="K137" s="10">
        <f t="shared" si="18"/>
        <v>0.11935274546493875</v>
      </c>
      <c r="L137" s="10">
        <f t="shared" si="19"/>
        <v>5.3757626291496517E-2</v>
      </c>
      <c r="M137" s="11">
        <f t="shared" si="23"/>
        <v>1.2209749257076626E-16</v>
      </c>
      <c r="N137" s="11">
        <f t="shared" si="20"/>
        <v>1.2209749255782445E-16</v>
      </c>
      <c r="O137" s="10">
        <f t="shared" si="21"/>
        <v>478.82079010714824</v>
      </c>
    </row>
    <row r="138" spans="1:15">
      <c r="A138" s="10">
        <v>30000</v>
      </c>
      <c r="B138" s="10">
        <f t="shared" si="12"/>
        <v>2969.0099999999998</v>
      </c>
      <c r="C138" s="10">
        <f t="shared" si="13"/>
        <v>0.1444842452108519</v>
      </c>
      <c r="D138" s="10">
        <f t="shared" si="14"/>
        <v>0.10849815905085827</v>
      </c>
      <c r="E138" s="10">
        <f t="shared" si="15"/>
        <v>5.6145062616181353E-14</v>
      </c>
      <c r="F138" s="10">
        <f t="shared" si="16"/>
        <v>5.6145062616433991E-14</v>
      </c>
      <c r="G138" s="10">
        <f t="shared" si="22"/>
        <v>322.13211920358867</v>
      </c>
      <c r="I138" s="10">
        <v>100000</v>
      </c>
      <c r="J138" s="10">
        <f t="shared" si="17"/>
        <v>9896.7000000000007</v>
      </c>
      <c r="K138" s="10">
        <f t="shared" si="18"/>
        <v>0.11857366717503115</v>
      </c>
      <c r="L138" s="10">
        <f t="shared" si="19"/>
        <v>5.1593519930642068E-2</v>
      </c>
      <c r="M138" s="11">
        <f t="shared" si="23"/>
        <v>8.9244348079950646E-17</v>
      </c>
      <c r="N138" s="11">
        <f t="shared" si="20"/>
        <v>8.9244348071737076E-17</v>
      </c>
      <c r="O138" s="10">
        <f t="shared" si="21"/>
        <v>510.6055886975854</v>
      </c>
    </row>
    <row r="139" spans="1:15">
      <c r="A139" s="10">
        <v>40000</v>
      </c>
      <c r="B139" s="10">
        <f t="shared" si="12"/>
        <v>3958.68</v>
      </c>
      <c r="C139" s="10">
        <f t="shared" si="13"/>
        <v>0.14022393601683206</v>
      </c>
      <c r="D139" s="10">
        <f t="shared" si="14"/>
        <v>9.810716101666353E-2</v>
      </c>
      <c r="E139" s="10">
        <f t="shared" si="15"/>
        <v>2.4555549173873124E-14</v>
      </c>
      <c r="F139" s="10">
        <f t="shared" si="16"/>
        <v>2.4555549173058496E-14</v>
      </c>
      <c r="G139" s="10">
        <f t="shared" si="22"/>
        <v>388.37485617344555</v>
      </c>
      <c r="I139" s="10">
        <v>200000</v>
      </c>
      <c r="J139" s="10">
        <f t="shared" si="17"/>
        <v>19793.400000000001</v>
      </c>
      <c r="K139" s="10">
        <f t="shared" si="18"/>
        <v>0.11417417873062941</v>
      </c>
      <c r="L139" s="10">
        <f t="shared" si="19"/>
        <v>3.9372718696192778E-2</v>
      </c>
      <c r="M139" s="11">
        <f t="shared" si="23"/>
        <v>1.1350796269873843E-17</v>
      </c>
      <c r="N139" s="11">
        <f t="shared" si="20"/>
        <v>1.1350796267136025E-17</v>
      </c>
      <c r="O139" s="10">
        <f t="shared" si="21"/>
        <v>779.31997024122222</v>
      </c>
    </row>
    <row r="140" spans="1:15">
      <c r="A140" s="10">
        <v>50000</v>
      </c>
      <c r="B140" s="10">
        <f t="shared" si="12"/>
        <v>4948.3500000000004</v>
      </c>
      <c r="C140" s="10">
        <f t="shared" si="13"/>
        <v>0.1372023043047266</v>
      </c>
      <c r="D140" s="10">
        <f t="shared" si="14"/>
        <v>9.0737327572503884E-2</v>
      </c>
      <c r="E140" s="10">
        <f t="shared" si="15"/>
        <v>1.2928663004108297E-14</v>
      </c>
      <c r="F140" s="10">
        <f t="shared" si="16"/>
        <v>1.2928663004456099E-14</v>
      </c>
      <c r="G140" s="10">
        <f t="shared" si="22"/>
        <v>449.00005489339964</v>
      </c>
      <c r="I140" s="10">
        <v>300000</v>
      </c>
      <c r="J140" s="10">
        <f t="shared" si="17"/>
        <v>29690.1</v>
      </c>
      <c r="K140" s="10">
        <f t="shared" si="18"/>
        <v>0.11210104373256079</v>
      </c>
      <c r="L140" s="10">
        <f t="shared" si="19"/>
        <v>3.3614010368224395E-2</v>
      </c>
      <c r="M140" s="11">
        <f t="shared" si="23"/>
        <v>3.3974842336194549E-18</v>
      </c>
      <c r="N140" s="11">
        <f t="shared" si="20"/>
        <v>3.3974842316997264E-18</v>
      </c>
      <c r="O140" s="10">
        <f t="shared" si="21"/>
        <v>998.00332923361907</v>
      </c>
    </row>
    <row r="141" spans="1:15">
      <c r="A141" s="10">
        <v>60000</v>
      </c>
      <c r="B141" s="10">
        <f t="shared" si="12"/>
        <v>5938.0199999999995</v>
      </c>
      <c r="C141" s="10">
        <f t="shared" si="13"/>
        <v>0.13490267802853734</v>
      </c>
      <c r="D141" s="10">
        <f t="shared" si="14"/>
        <v>8.5128482996432511E-2</v>
      </c>
      <c r="E141" s="10">
        <f t="shared" si="15"/>
        <v>7.6545577213749458E-15</v>
      </c>
      <c r="F141" s="10">
        <f t="shared" si="16"/>
        <v>7.6545577212871535E-15</v>
      </c>
      <c r="G141" s="10">
        <f t="shared" si="22"/>
        <v>505.49463460247614</v>
      </c>
      <c r="I141" s="10">
        <v>400000</v>
      </c>
      <c r="J141" s="10">
        <f t="shared" si="17"/>
        <v>39586.800000000003</v>
      </c>
      <c r="K141" s="10">
        <f t="shared" si="18"/>
        <v>0.1108167538831039</v>
      </c>
      <c r="L141" s="10">
        <f t="shared" si="19"/>
        <v>3.0046538564177484E-2</v>
      </c>
      <c r="M141" s="11">
        <f t="shared" si="23"/>
        <v>1.443663073389972E-18</v>
      </c>
      <c r="N141" s="11">
        <f t="shared" si="20"/>
        <v>1.4436630715648008E-18</v>
      </c>
      <c r="O141" s="10">
        <f t="shared" si="21"/>
        <v>1189.4463128323814</v>
      </c>
    </row>
    <row r="142" spans="1:15">
      <c r="A142" s="10">
        <v>70000</v>
      </c>
      <c r="B142" s="10">
        <f t="shared" ref="B142:B154" si="24">0.098967*A142</f>
        <v>6927.69</v>
      </c>
      <c r="C142" s="10">
        <f t="shared" ref="C142:C154" si="25">$B$6+(($B$7-$B$6)/(1+($B$3*A142)^$B$4)^$B$5)</f>
        <v>0.13306960093966663</v>
      </c>
      <c r="D142" s="10">
        <f t="shared" ref="D142:D154" si="26">(C142-$B$6)/($B$7-$B$6)</f>
        <v>8.0657563267479568E-2</v>
      </c>
      <c r="E142" s="24">
        <f t="shared" ref="E142:E154" si="27">$B$8*D142^$B$9*(1-(1-D142^(1/$B$5))^$B$5)^2</f>
        <v>4.9142420552423156E-15</v>
      </c>
      <c r="F142" s="10">
        <f t="shared" ref="F142:F154" si="28">$B$8*((1-(($B$3*A142)^($B$4-1))*(1+($B$3*A142)^$B$4)^(-1+1/$B$4))^2)/(1+($B$3*A142)^$B$4)^(0.5-(1/(2*$B$4)))</f>
        <v>4.9142420552423156E-15</v>
      </c>
      <c r="G142" s="10">
        <f t="shared" si="22"/>
        <v>558.77059447248553</v>
      </c>
      <c r="I142" s="10">
        <v>500000</v>
      </c>
      <c r="J142" s="10">
        <f t="shared" ref="J142:J147" si="29">0.098967*I142</f>
        <v>49483.5</v>
      </c>
      <c r="K142" s="10">
        <f t="shared" ref="K142:K147" si="30">$J$6+(($J$7-$J$6)/(1+($J$3*I142)^$J$4)^$J$5)</f>
        <v>0.10991521566985168</v>
      </c>
      <c r="L142" s="10">
        <f t="shared" ref="L142:L147" si="31">(K142-$J$6)/($J$7-$J$6)</f>
        <v>2.7542265749587999E-2</v>
      </c>
      <c r="M142" s="11">
        <f t="shared" si="23"/>
        <v>7.4329151870103305E-19</v>
      </c>
      <c r="N142" s="11">
        <f t="shared" ref="N142:N147" si="32">$J$8*((1-(($J$3*I142)^($J$4-1))*(1+($J$3*I142)^$J$4)^(-1+1/$J$4))^2)/(1+($J$3*I142)^$J$4)^(0.5-(1/(2*$J$4)))</f>
        <v>7.4329151870103276E-19</v>
      </c>
      <c r="O142" s="10">
        <f t="shared" ref="O142:O147" si="33">L142*J142</f>
        <v>1362.8877072197376</v>
      </c>
    </row>
    <row r="143" spans="1:15">
      <c r="A143" s="10">
        <v>80000</v>
      </c>
      <c r="B143" s="10">
        <f t="shared" si="24"/>
        <v>7917.36</v>
      </c>
      <c r="C143" s="10">
        <f t="shared" si="25"/>
        <v>0.13155970238404846</v>
      </c>
      <c r="D143" s="10">
        <f t="shared" si="26"/>
        <v>7.6974883863532809E-2</v>
      </c>
      <c r="E143" s="10">
        <f t="shared" si="27"/>
        <v>3.3476167365080807E-15</v>
      </c>
      <c r="F143" s="10">
        <f t="shared" si="28"/>
        <v>3.3476167366779308E-15</v>
      </c>
      <c r="G143" s="10">
        <f t="shared" ref="G143:G154" si="34">D143*B143</f>
        <v>609.43786650578011</v>
      </c>
      <c r="I143" s="10">
        <v>600000</v>
      </c>
      <c r="J143" s="10">
        <f t="shared" si="29"/>
        <v>59380.2</v>
      </c>
      <c r="K143" s="10">
        <f t="shared" si="30"/>
        <v>0.10923467369447326</v>
      </c>
      <c r="L143" s="10">
        <f t="shared" si="31"/>
        <v>2.5651871373536823E-2</v>
      </c>
      <c r="M143" s="11">
        <f t="shared" ref="M143:M147" si="35">$J$8*L143^$J$9*(1-(1-L143^(1/$J$5))^$J$5)^2</f>
        <v>4.3211102863562055E-19</v>
      </c>
      <c r="N143" s="11">
        <f t="shared" si="32"/>
        <v>4.3211102831567341E-19</v>
      </c>
      <c r="O143" s="10">
        <f t="shared" si="33"/>
        <v>1523.2132525348911</v>
      </c>
    </row>
    <row r="144" spans="1:15">
      <c r="A144" s="10">
        <v>90000</v>
      </c>
      <c r="B144" s="10">
        <f t="shared" si="24"/>
        <v>8907.0300000000007</v>
      </c>
      <c r="C144" s="10">
        <f t="shared" si="25"/>
        <v>0.13028519361015051</v>
      </c>
      <c r="D144" s="10">
        <f t="shared" si="26"/>
        <v>7.3866325878415851E-2</v>
      </c>
      <c r="E144" s="10">
        <f t="shared" si="27"/>
        <v>2.3860344999214099E-15</v>
      </c>
      <c r="F144" s="10">
        <f t="shared" si="28"/>
        <v>2.3860345000633355E-15</v>
      </c>
      <c r="G144" s="10">
        <f t="shared" si="34"/>
        <v>657.92958058882641</v>
      </c>
      <c r="I144" s="10">
        <v>700000</v>
      </c>
      <c r="J144" s="10">
        <f t="shared" si="29"/>
        <v>69276.899999999994</v>
      </c>
      <c r="K144" s="10">
        <f t="shared" si="30"/>
        <v>0.10869585634485186</v>
      </c>
      <c r="L144" s="10">
        <f t="shared" si="31"/>
        <v>2.4155156513477383E-2</v>
      </c>
      <c r="M144" s="11">
        <f t="shared" si="35"/>
        <v>2.7316742324961744E-19</v>
      </c>
      <c r="N144" s="11">
        <f t="shared" si="32"/>
        <v>2.7316742274843283E-19</v>
      </c>
      <c r="O144" s="10">
        <f t="shared" si="33"/>
        <v>1673.3943622685213</v>
      </c>
    </row>
    <row r="145" spans="1:15">
      <c r="A145" s="10">
        <v>100000</v>
      </c>
      <c r="B145" s="10">
        <f t="shared" si="24"/>
        <v>9896.7000000000007</v>
      </c>
      <c r="C145" s="10">
        <f t="shared" si="25"/>
        <v>0.12918877558660252</v>
      </c>
      <c r="D145" s="10">
        <f t="shared" si="26"/>
        <v>7.1192135577079305E-2</v>
      </c>
      <c r="E145" s="10">
        <f t="shared" si="27"/>
        <v>1.7624929480965932E-15</v>
      </c>
      <c r="F145" s="10">
        <f t="shared" si="28"/>
        <v>1.7624929480160196E-15</v>
      </c>
      <c r="G145" s="10">
        <f t="shared" si="34"/>
        <v>704.56720816568077</v>
      </c>
      <c r="I145" s="10">
        <v>800000</v>
      </c>
      <c r="J145" s="10">
        <f t="shared" si="29"/>
        <v>79173.600000000006</v>
      </c>
      <c r="K145" s="10">
        <f t="shared" si="30"/>
        <v>0.10825459049208942</v>
      </c>
      <c r="L145" s="10">
        <f t="shared" si="31"/>
        <v>2.2929418033581714E-2</v>
      </c>
      <c r="M145" s="11">
        <f t="shared" si="35"/>
        <v>1.8361283841076439E-19</v>
      </c>
      <c r="N145" s="11">
        <f t="shared" si="32"/>
        <v>1.8361283800518059E-19</v>
      </c>
      <c r="O145" s="10">
        <f t="shared" si="33"/>
        <v>1815.4045716235853</v>
      </c>
    </row>
    <row r="146" spans="1:15">
      <c r="A146" s="10">
        <v>200000</v>
      </c>
      <c r="B146" s="10">
        <f t="shared" si="24"/>
        <v>19793.400000000001</v>
      </c>
      <c r="C146" s="10">
        <f t="shared" si="25"/>
        <v>0.12290118435624681</v>
      </c>
      <c r="D146" s="10">
        <f t="shared" si="26"/>
        <v>5.585654721035805E-2</v>
      </c>
      <c r="E146" s="10">
        <f t="shared" si="27"/>
        <v>2.4025912173353564E-16</v>
      </c>
      <c r="F146" s="10">
        <f t="shared" si="28"/>
        <v>2.4025912178953175E-16</v>
      </c>
      <c r="G146" s="10">
        <f t="shared" si="34"/>
        <v>1105.590981553501</v>
      </c>
      <c r="I146" s="10">
        <v>900000</v>
      </c>
      <c r="J146" s="10">
        <f t="shared" si="29"/>
        <v>89070.3</v>
      </c>
      <c r="K146" s="10">
        <f t="shared" si="30"/>
        <v>0.10788399019554849</v>
      </c>
      <c r="L146" s="10">
        <f t="shared" si="31"/>
        <v>2.1899972765412466E-2</v>
      </c>
      <c r="M146" s="11">
        <f t="shared" si="35"/>
        <v>1.2933748848466155E-19</v>
      </c>
      <c r="N146" s="11">
        <f t="shared" si="32"/>
        <v>1.293374883164042E-19</v>
      </c>
      <c r="O146" s="10">
        <f t="shared" si="33"/>
        <v>1950.6371442071181</v>
      </c>
    </row>
    <row r="147" spans="1:15">
      <c r="A147" s="10">
        <v>300000</v>
      </c>
      <c r="B147" s="10">
        <f t="shared" si="24"/>
        <v>29690.1</v>
      </c>
      <c r="C147" s="10">
        <f t="shared" si="25"/>
        <v>0.11987131920993147</v>
      </c>
      <c r="D147" s="10">
        <f t="shared" si="26"/>
        <v>4.8466632219345017E-2</v>
      </c>
      <c r="E147" s="10">
        <f t="shared" si="27"/>
        <v>7.4889555492384816E-17</v>
      </c>
      <c r="F147" s="10">
        <f t="shared" si="28"/>
        <v>7.4889555477298246E-17</v>
      </c>
      <c r="G147" s="10">
        <f t="shared" si="34"/>
        <v>1438.9791572555755</v>
      </c>
      <c r="I147" s="10">
        <v>1000000</v>
      </c>
      <c r="J147" s="10">
        <f t="shared" si="29"/>
        <v>98967</v>
      </c>
      <c r="K147" s="10">
        <f t="shared" si="30"/>
        <v>0.10756659822859822</v>
      </c>
      <c r="L147" s="10">
        <f t="shared" si="31"/>
        <v>2.1018328412772826E-2</v>
      </c>
      <c r="M147" s="11">
        <f t="shared" si="35"/>
        <v>9.453573196598207E-20</v>
      </c>
      <c r="N147" s="11">
        <f t="shared" si="32"/>
        <v>9.4535731894792116E-20</v>
      </c>
      <c r="O147" s="10">
        <f t="shared" si="33"/>
        <v>2080.1209080268882</v>
      </c>
    </row>
    <row r="148" spans="1:15">
      <c r="A148" s="10">
        <v>400000</v>
      </c>
      <c r="B148" s="10">
        <f t="shared" si="24"/>
        <v>39586.800000000003</v>
      </c>
      <c r="C148" s="10">
        <f t="shared" si="25"/>
        <v>0.11796794668055402</v>
      </c>
      <c r="D148" s="10">
        <f t="shared" si="26"/>
        <v>4.3824260196473203E-2</v>
      </c>
      <c r="E148" s="10">
        <f t="shared" si="27"/>
        <v>3.2750960085015061E-17</v>
      </c>
      <c r="F148" s="10">
        <f t="shared" si="28"/>
        <v>3.2750960099608273E-17</v>
      </c>
      <c r="G148" s="10">
        <f t="shared" si="34"/>
        <v>1734.8622235457456</v>
      </c>
      <c r="M148" s="11"/>
    </row>
    <row r="149" spans="1:15">
      <c r="A149" s="10">
        <v>500000</v>
      </c>
      <c r="B149" s="10">
        <f t="shared" si="24"/>
        <v>49483.5</v>
      </c>
      <c r="C149" s="10">
        <f t="shared" si="25"/>
        <v>0.11661805203384375</v>
      </c>
      <c r="D149" s="10">
        <f t="shared" si="26"/>
        <v>4.0531834228887169E-2</v>
      </c>
      <c r="E149" s="10">
        <f t="shared" si="27"/>
        <v>1.7242834230398633E-17</v>
      </c>
      <c r="F149" s="10">
        <f t="shared" si="28"/>
        <v>1.7242834247705271E-17</v>
      </c>
      <c r="G149" s="10">
        <f t="shared" si="34"/>
        <v>2005.6570190651382</v>
      </c>
      <c r="M149" s="11"/>
    </row>
    <row r="150" spans="1:15">
      <c r="A150" s="10">
        <v>600000</v>
      </c>
      <c r="B150" s="10">
        <f t="shared" si="24"/>
        <v>59380.2</v>
      </c>
      <c r="C150" s="10">
        <f t="shared" si="25"/>
        <v>0.11559074194266887</v>
      </c>
      <c r="D150" s="10">
        <f t="shared" si="26"/>
        <v>3.8026199860167961E-2</v>
      </c>
      <c r="E150" s="10">
        <f t="shared" si="27"/>
        <v>1.0208528184107431E-17</v>
      </c>
      <c r="F150" s="10">
        <f t="shared" si="28"/>
        <v>1.0208528178865132E-17</v>
      </c>
      <c r="G150" s="10">
        <f t="shared" si="34"/>
        <v>2258.0033529367456</v>
      </c>
      <c r="M150" s="11"/>
    </row>
    <row r="151" spans="1:15">
      <c r="A151" s="10">
        <v>700000</v>
      </c>
      <c r="B151" s="10">
        <f t="shared" si="24"/>
        <v>69276.899999999994</v>
      </c>
      <c r="C151" s="10">
        <f t="shared" si="25"/>
        <v>0.11477187001312165</v>
      </c>
      <c r="D151" s="10">
        <f t="shared" si="26"/>
        <v>3.6028951251516214E-2</v>
      </c>
      <c r="E151" s="10">
        <f t="shared" si="27"/>
        <v>6.5537744345502644E-18</v>
      </c>
      <c r="F151" s="10">
        <f t="shared" si="28"/>
        <v>6.5537744386943418E-18</v>
      </c>
      <c r="G151" s="10">
        <f t="shared" si="34"/>
        <v>2495.9740529561636</v>
      </c>
      <c r="M151" s="11"/>
    </row>
    <row r="152" spans="1:15">
      <c r="A152" s="10">
        <v>800000</v>
      </c>
      <c r="B152" s="10">
        <f t="shared" si="24"/>
        <v>79173.600000000006</v>
      </c>
      <c r="C152" s="10">
        <f t="shared" si="25"/>
        <v>0.1140973780450045</v>
      </c>
      <c r="D152" s="10">
        <f t="shared" si="26"/>
        <v>3.4383848890254858E-2</v>
      </c>
      <c r="E152" s="10">
        <f t="shared" si="27"/>
        <v>4.4644186322681956E-18</v>
      </c>
      <c r="F152" s="10">
        <f t="shared" si="28"/>
        <v>4.4644186221264773E-18</v>
      </c>
      <c r="G152" s="10">
        <f t="shared" si="34"/>
        <v>2722.2930984974823</v>
      </c>
      <c r="M152" s="11"/>
    </row>
    <row r="153" spans="1:15">
      <c r="A153" s="10">
        <v>900000</v>
      </c>
      <c r="B153" s="10">
        <f t="shared" si="24"/>
        <v>89070.3</v>
      </c>
      <c r="C153" s="10">
        <f t="shared" si="25"/>
        <v>0.11352804380343723</v>
      </c>
      <c r="D153" s="10">
        <f t="shared" si="26"/>
        <v>3.2995228788871275E-2</v>
      </c>
      <c r="E153" s="10">
        <f t="shared" si="27"/>
        <v>3.1820105157864976E-18</v>
      </c>
      <c r="F153" s="10">
        <f t="shared" si="28"/>
        <v>3.182010515786498E-18</v>
      </c>
      <c r="G153" s="10">
        <f t="shared" si="34"/>
        <v>2938.8949267934013</v>
      </c>
      <c r="M153" s="11"/>
    </row>
    <row r="154" spans="1:15">
      <c r="A154" s="10">
        <v>1000000</v>
      </c>
      <c r="B154" s="10">
        <f t="shared" si="24"/>
        <v>98967</v>
      </c>
      <c r="C154" s="10">
        <f t="shared" si="25"/>
        <v>0.1130382681281465</v>
      </c>
      <c r="D154" s="10">
        <f t="shared" si="26"/>
        <v>3.180065397108902E-2</v>
      </c>
      <c r="E154" s="10">
        <f t="shared" si="27"/>
        <v>2.3504389723529441E-18</v>
      </c>
      <c r="F154" s="10">
        <f t="shared" si="28"/>
        <v>2.3504389687447155E-18</v>
      </c>
      <c r="G154" s="10">
        <f t="shared" si="34"/>
        <v>3147.2153215567669</v>
      </c>
      <c r="M154" s="11"/>
    </row>
    <row r="155" spans="1:15">
      <c r="M155" s="11"/>
    </row>
    <row r="156" spans="1:15">
      <c r="M156" s="11"/>
    </row>
    <row r="157" spans="1:15">
      <c r="M157" s="11"/>
    </row>
    <row r="158" spans="1:15">
      <c r="M158" s="11"/>
    </row>
    <row r="159" spans="1:15">
      <c r="M159" s="11"/>
    </row>
    <row r="160" spans="1:15">
      <c r="M160" s="11"/>
    </row>
    <row r="161" spans="13:13">
      <c r="M161" s="11"/>
    </row>
    <row r="162" spans="13:13">
      <c r="M162" s="11"/>
    </row>
    <row r="163" spans="13:13">
      <c r="M163" s="11"/>
    </row>
    <row r="164" spans="13:13">
      <c r="M164" s="11"/>
    </row>
    <row r="165" spans="13:13">
      <c r="M165" s="11"/>
    </row>
    <row r="166" spans="13:13">
      <c r="M166" s="11"/>
    </row>
    <row r="167" spans="13:13">
      <c r="M167" s="11"/>
    </row>
    <row r="168" spans="13:13">
      <c r="M168" s="11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Q168"/>
  <sheetViews>
    <sheetView workbookViewId="0">
      <selection activeCell="Q20" sqref="Q20"/>
    </sheetView>
  </sheetViews>
  <sheetFormatPr defaultColWidth="9.109375" defaultRowHeight="13.2"/>
  <cols>
    <col min="1" max="16384" width="9.109375" style="10"/>
  </cols>
  <sheetData>
    <row r="1" spans="1:43">
      <c r="A1" s="9" t="s">
        <v>48</v>
      </c>
      <c r="I1" s="9" t="s">
        <v>48</v>
      </c>
      <c r="M1" s="11"/>
      <c r="O1" s="12"/>
      <c r="P1" s="12"/>
    </row>
    <row r="2" spans="1:43">
      <c r="A2" s="12" t="s">
        <v>49</v>
      </c>
      <c r="I2" s="12" t="s">
        <v>50</v>
      </c>
      <c r="M2" s="11"/>
      <c r="O2" s="12"/>
      <c r="X2" s="11"/>
      <c r="Y2" s="11"/>
      <c r="Z2" s="11"/>
    </row>
    <row r="3" spans="1:43">
      <c r="A3" s="13" t="s">
        <v>51</v>
      </c>
      <c r="B3" s="14">
        <v>1.6E-2</v>
      </c>
      <c r="C3" s="10">
        <f>B3*10.19</f>
        <v>0.16303999999999999</v>
      </c>
      <c r="D3" s="10">
        <f>1/C3</f>
        <v>6.1334641805691854</v>
      </c>
      <c r="F3" s="15"/>
      <c r="G3" s="15"/>
      <c r="I3" s="13" t="s">
        <v>52</v>
      </c>
      <c r="J3" s="16">
        <v>7.0000000000000007E-2</v>
      </c>
      <c r="K3" s="10">
        <f>J3*10.19</f>
        <v>0.71330000000000005</v>
      </c>
      <c r="L3" s="10">
        <f>1/K3</f>
        <v>1.4019346698443851</v>
      </c>
      <c r="M3" s="11"/>
      <c r="O3" s="12"/>
      <c r="P3" s="17"/>
    </row>
    <row r="4" spans="1:43">
      <c r="A4" s="10" t="s">
        <v>53</v>
      </c>
      <c r="B4" s="17">
        <v>1.6</v>
      </c>
      <c r="F4" s="18"/>
      <c r="G4" s="18"/>
      <c r="I4" s="10" t="s">
        <v>53</v>
      </c>
      <c r="J4" s="14">
        <v>1.39</v>
      </c>
      <c r="M4" s="11"/>
      <c r="P4" s="17"/>
    </row>
    <row r="5" spans="1:43">
      <c r="A5" s="10" t="s">
        <v>54</v>
      </c>
      <c r="B5" s="19">
        <f>1-1/B4</f>
        <v>0.375</v>
      </c>
      <c r="F5" s="18"/>
      <c r="G5" s="18"/>
      <c r="I5" s="10" t="s">
        <v>54</v>
      </c>
      <c r="J5" s="19">
        <f>1-1/J4</f>
        <v>0.28057553956834524</v>
      </c>
      <c r="M5" s="11"/>
      <c r="P5" s="19"/>
    </row>
    <row r="6" spans="1:43" ht="15.6">
      <c r="A6" s="13" t="s">
        <v>55</v>
      </c>
      <c r="B6" s="17">
        <v>0.1</v>
      </c>
      <c r="F6" s="18"/>
      <c r="G6" s="18"/>
      <c r="I6" s="13" t="s">
        <v>55</v>
      </c>
      <c r="J6" s="17">
        <v>0.1</v>
      </c>
      <c r="M6" s="11"/>
      <c r="O6" s="13"/>
      <c r="P6" s="17"/>
    </row>
    <row r="7" spans="1:43" ht="15.6">
      <c r="A7" s="13" t="s">
        <v>56</v>
      </c>
      <c r="B7" s="20">
        <v>0.5</v>
      </c>
      <c r="F7" s="21"/>
      <c r="G7" s="21"/>
      <c r="I7" s="13" t="s">
        <v>56</v>
      </c>
      <c r="J7" s="22">
        <v>0.46</v>
      </c>
      <c r="M7" s="11"/>
      <c r="O7" s="13"/>
      <c r="P7" s="20"/>
    </row>
    <row r="8" spans="1:43" ht="15.6">
      <c r="A8" s="12" t="s">
        <v>57</v>
      </c>
      <c r="B8" s="14">
        <v>3.5899999999999998E-5</v>
      </c>
      <c r="F8" s="15"/>
      <c r="G8" s="15"/>
      <c r="I8" s="12" t="s">
        <v>57</v>
      </c>
      <c r="J8" s="14">
        <v>9.5000000000000005E-6</v>
      </c>
      <c r="M8" s="11"/>
      <c r="O8" s="12"/>
      <c r="P8" s="14"/>
    </row>
    <row r="9" spans="1:43">
      <c r="A9" s="12" t="s">
        <v>58</v>
      </c>
      <c r="B9" s="17">
        <v>0.5</v>
      </c>
      <c r="F9" s="18"/>
      <c r="G9" s="18"/>
      <c r="I9" s="12" t="s">
        <v>58</v>
      </c>
      <c r="J9" s="17">
        <v>0.5</v>
      </c>
      <c r="M9" s="11"/>
      <c r="O9" s="12"/>
      <c r="P9" s="17"/>
    </row>
    <row r="10" spans="1:43">
      <c r="A10" s="12"/>
      <c r="B10" s="12"/>
      <c r="I10" s="12"/>
      <c r="J10" s="12"/>
      <c r="M10" s="11"/>
      <c r="O10" s="12"/>
      <c r="P10" s="12"/>
    </row>
    <row r="11" spans="1:43">
      <c r="A11" s="10" t="s">
        <v>59</v>
      </c>
      <c r="I11" s="10" t="s">
        <v>59</v>
      </c>
      <c r="M11" s="11"/>
    </row>
    <row r="12" spans="1:43">
      <c r="M12" s="11"/>
    </row>
    <row r="13" spans="1:43">
      <c r="A13" s="10" t="s">
        <v>60</v>
      </c>
      <c r="B13" s="10" t="s">
        <v>61</v>
      </c>
      <c r="C13" s="13" t="s">
        <v>62</v>
      </c>
      <c r="D13" s="10" t="s">
        <v>63</v>
      </c>
      <c r="E13" s="12" t="s">
        <v>64</v>
      </c>
      <c r="G13" s="12" t="s">
        <v>65</v>
      </c>
      <c r="H13" s="12"/>
      <c r="I13" s="10" t="s">
        <v>60</v>
      </c>
      <c r="J13" s="10" t="s">
        <v>61</v>
      </c>
      <c r="K13" s="13" t="s">
        <v>62</v>
      </c>
      <c r="L13" s="10" t="s">
        <v>63</v>
      </c>
      <c r="M13" s="23" t="s">
        <v>64</v>
      </c>
      <c r="O13" s="12" t="s">
        <v>65</v>
      </c>
      <c r="Q13" s="13"/>
      <c r="R13" s="10" t="s">
        <v>112</v>
      </c>
      <c r="S13" s="10" t="s">
        <v>113</v>
      </c>
      <c r="T13" s="10" t="s">
        <v>114</v>
      </c>
      <c r="U13" s="10" t="s">
        <v>115</v>
      </c>
      <c r="V13" s="10" t="s">
        <v>116</v>
      </c>
      <c r="W13" s="10" t="s">
        <v>117</v>
      </c>
      <c r="X13" s="10" t="s">
        <v>118</v>
      </c>
      <c r="Y13" s="10" t="s">
        <v>119</v>
      </c>
      <c r="Z13" s="10" t="s">
        <v>120</v>
      </c>
      <c r="AA13" s="10" t="s">
        <v>121</v>
      </c>
      <c r="AB13" s="10" t="s">
        <v>122</v>
      </c>
      <c r="AG13" s="10">
        <v>1</v>
      </c>
      <c r="AH13" s="10">
        <v>0</v>
      </c>
      <c r="AI13" s="10">
        <v>-332.33199999999999</v>
      </c>
      <c r="AJ13" s="10">
        <v>0.15479999999999999</v>
      </c>
      <c r="AK13" s="11">
        <v>6.6249999999999998E-9</v>
      </c>
      <c r="AL13" s="11">
        <v>2.1689999999999999E-4</v>
      </c>
      <c r="AM13" s="11">
        <v>1.0599999999999999E-12</v>
      </c>
      <c r="AN13" s="11">
        <v>0</v>
      </c>
      <c r="AO13" s="10">
        <v>-1</v>
      </c>
      <c r="AP13" s="11">
        <v>1.6800000000000002E-8</v>
      </c>
      <c r="AQ13" s="10">
        <v>20</v>
      </c>
    </row>
    <row r="14" spans="1:43">
      <c r="A14" s="10">
        <v>1</v>
      </c>
      <c r="B14" s="10">
        <f t="shared" ref="B14:B77" si="0">0.098967*A14</f>
        <v>9.8966999999999999E-2</v>
      </c>
      <c r="C14" s="10">
        <f t="shared" ref="C14:C77" si="1">$B$6+(($B$7-$B$6)/(1+($B$3*A14)^$B$4)^$B$5)</f>
        <v>0.49979942174483805</v>
      </c>
      <c r="D14" s="10">
        <f t="shared" ref="D14:D77" si="2">(C14-$B$6)/($B$7-$B$6)</f>
        <v>0.99949855436209512</v>
      </c>
      <c r="E14" s="10">
        <f t="shared" ref="E14:E77" si="3">$B$8*D14^$B$9*(1-(1-D14^(1/$B$5))^$B$5)^2</f>
        <v>3.0140257472001533E-5</v>
      </c>
      <c r="F14" s="10">
        <f t="shared" ref="F14:F77" si="4">$B$8*((1-(($B$3*A14)^($B$4-1))*(1+($B$3*A14)^$B$4)^(-1+1/$B$4))^2)/(1+($B$3*A14)^$B$4)^(0.5-(1/(2*$B$4)))</f>
        <v>3.014025747200198E-5</v>
      </c>
      <c r="G14" s="10">
        <f>D14*B14</f>
        <v>9.8917373429553465E-2</v>
      </c>
      <c r="I14" s="10">
        <v>1</v>
      </c>
      <c r="J14" s="10">
        <f t="shared" ref="J14:J77" si="5">0.098967*I14</f>
        <v>9.8966999999999999E-2</v>
      </c>
      <c r="K14" s="11">
        <f t="shared" ref="K14:K77" si="6">$J$6+(($J$7-$J$6)/(1+($J$3*I14)^$J$4)^$J$5)</f>
        <v>0.45753275183020359</v>
      </c>
      <c r="L14" s="10">
        <f t="shared" ref="L14:L77" si="7">(K14-$J$6)/($J$7-$J$6)</f>
        <v>0.99314653286167676</v>
      </c>
      <c r="M14" s="11">
        <f>$J$8*L14^$J$9*(1-(1-L14^(1/$J$5))^$J$5)^2</f>
        <v>3.9748091640999324E-6</v>
      </c>
      <c r="N14" s="11">
        <f t="shared" ref="N14:N77" si="8">$J$8*((1-(($J$3*I14)^($J$4-1))*(1+($J$3*I14)^$J$4)^(-1+1/$J$4))^2)/(1+($J$3*I14)^$J$4)^(0.5-(1/(2*$J$4)))</f>
        <v>3.9748091640999383E-6</v>
      </c>
      <c r="O14" s="10">
        <f t="shared" ref="O14:O77" si="9">L14*J14</f>
        <v>9.8288732917721569E-2</v>
      </c>
      <c r="S14" s="10" t="s">
        <v>123</v>
      </c>
      <c r="T14" s="10" t="s">
        <v>123</v>
      </c>
      <c r="U14" s="10" t="s">
        <v>124</v>
      </c>
      <c r="V14" s="10" t="s">
        <v>125</v>
      </c>
      <c r="W14" s="10" t="s">
        <v>126</v>
      </c>
      <c r="X14" s="10" t="s">
        <v>125</v>
      </c>
      <c r="Y14" s="10" t="s">
        <v>127</v>
      </c>
      <c r="Z14" s="10" t="s">
        <v>124</v>
      </c>
      <c r="AA14" s="10" t="s">
        <v>124</v>
      </c>
      <c r="AB14" s="10" t="s">
        <v>128</v>
      </c>
      <c r="AG14" s="10">
        <v>2</v>
      </c>
      <c r="AH14" s="10">
        <v>-0.1163</v>
      </c>
      <c r="AI14" s="10">
        <v>-332.36700000000002</v>
      </c>
      <c r="AJ14" s="10">
        <v>0.15479999999999999</v>
      </c>
      <c r="AK14" s="11">
        <v>6.6219999999999997E-9</v>
      </c>
      <c r="AL14" s="11">
        <v>2.1689999999999999E-4</v>
      </c>
      <c r="AM14" s="11">
        <v>-1.7E-8</v>
      </c>
      <c r="AN14" s="11">
        <v>0</v>
      </c>
      <c r="AO14" s="10">
        <v>-1</v>
      </c>
      <c r="AP14" s="11">
        <v>-2.7E-4</v>
      </c>
      <c r="AQ14" s="10">
        <v>20</v>
      </c>
    </row>
    <row r="15" spans="1:43">
      <c r="A15" s="10">
        <v>2</v>
      </c>
      <c r="B15" s="10">
        <f t="shared" si="0"/>
        <v>0.197934</v>
      </c>
      <c r="C15" s="10">
        <f t="shared" si="1"/>
        <v>0.49939309321313863</v>
      </c>
      <c r="D15" s="10">
        <f t="shared" si="2"/>
        <v>0.99848273303284663</v>
      </c>
      <c r="E15" s="10">
        <f t="shared" si="3"/>
        <v>2.7364783670963078E-5</v>
      </c>
      <c r="F15" s="10">
        <f t="shared" si="4"/>
        <v>2.7364783670962505E-5</v>
      </c>
      <c r="G15" s="10">
        <f t="shared" ref="G15:G78" si="10">D15*B15</f>
        <v>0.19763368128012346</v>
      </c>
      <c r="I15" s="10">
        <v>2</v>
      </c>
      <c r="J15" s="10">
        <f t="shared" si="5"/>
        <v>0.197934</v>
      </c>
      <c r="K15" s="11">
        <f t="shared" si="6"/>
        <v>0.4536921045369493</v>
      </c>
      <c r="L15" s="10">
        <f t="shared" si="7"/>
        <v>0.98247806815819261</v>
      </c>
      <c r="M15" s="11">
        <f t="shared" ref="M15:M78" si="11">$J$8*L15^$J$9*(1-(1-L15^(1/$J$5))^$J$5)^2</f>
        <v>2.7829094118827464E-6</v>
      </c>
      <c r="N15" s="11">
        <f t="shared" si="8"/>
        <v>2.7829094118827375E-6</v>
      </c>
      <c r="O15" s="10">
        <f t="shared" si="9"/>
        <v>0.1944658139428237</v>
      </c>
      <c r="AG15" s="10">
        <v>3</v>
      </c>
      <c r="AH15" s="10">
        <v>-0.2303</v>
      </c>
      <c r="AI15" s="10">
        <v>-332.69400000000002</v>
      </c>
      <c r="AJ15" s="10">
        <v>0.1547</v>
      </c>
      <c r="AK15" s="11">
        <v>6.6000000000000004E-9</v>
      </c>
      <c r="AL15" s="11">
        <v>2.165E-4</v>
      </c>
      <c r="AM15" s="11">
        <v>-3.3829999999999999E-8</v>
      </c>
      <c r="AN15" s="11">
        <v>0</v>
      </c>
      <c r="AO15" s="10">
        <v>-1</v>
      </c>
      <c r="AP15" s="11">
        <v>-5.3600000000000002E-4</v>
      </c>
      <c r="AQ15" s="10">
        <v>20</v>
      </c>
    </row>
    <row r="16" spans="1:43">
      <c r="A16" s="10">
        <v>4</v>
      </c>
      <c r="B16" s="10">
        <f t="shared" si="0"/>
        <v>0.395868</v>
      </c>
      <c r="C16" s="10">
        <f t="shared" si="1"/>
        <v>0.49817052307356957</v>
      </c>
      <c r="D16" s="10">
        <f t="shared" si="2"/>
        <v>0.99542630768392393</v>
      </c>
      <c r="E16" s="10">
        <f t="shared" si="3"/>
        <v>2.3424637825292634E-5</v>
      </c>
      <c r="F16" s="10">
        <f t="shared" si="4"/>
        <v>2.3424637825292566E-5</v>
      </c>
      <c r="G16" s="10">
        <f t="shared" si="10"/>
        <v>0.39405742157021961</v>
      </c>
      <c r="I16" s="10">
        <v>4</v>
      </c>
      <c r="J16" s="10">
        <f t="shared" si="5"/>
        <v>0.395868</v>
      </c>
      <c r="K16" s="10">
        <f t="shared" si="6"/>
        <v>0.44445008225706906</v>
      </c>
      <c r="L16" s="10">
        <f t="shared" si="7"/>
        <v>0.95680578404741412</v>
      </c>
      <c r="M16" s="11">
        <f t="shared" si="11"/>
        <v>1.6205896279118102E-6</v>
      </c>
      <c r="N16" s="11">
        <f t="shared" si="8"/>
        <v>1.6205896279118068E-6</v>
      </c>
      <c r="O16" s="10">
        <f t="shared" si="9"/>
        <v>0.37876879211928172</v>
      </c>
      <c r="R16" s="10">
        <v>1</v>
      </c>
      <c r="S16" s="10">
        <v>0</v>
      </c>
      <c r="T16" s="10">
        <v>-369.80399999999997</v>
      </c>
      <c r="U16" s="10">
        <v>0.1565</v>
      </c>
      <c r="V16" s="11">
        <v>9.2859999999999998E-10</v>
      </c>
      <c r="W16" s="11">
        <v>8.5740000000000002E-5</v>
      </c>
      <c r="X16" s="11">
        <v>1.5109999999999999E-12</v>
      </c>
      <c r="Y16" s="11">
        <v>0</v>
      </c>
      <c r="Z16" s="10">
        <v>-1</v>
      </c>
      <c r="AA16" s="11">
        <v>3.6899999999999999E-9</v>
      </c>
      <c r="AB16" s="10">
        <v>20</v>
      </c>
      <c r="AG16" s="10">
        <v>4</v>
      </c>
      <c r="AH16" s="10">
        <v>-0.34210000000000002</v>
      </c>
      <c r="AI16" s="10">
        <v>-333.29899999999998</v>
      </c>
      <c r="AJ16" s="10">
        <v>0.15459999999999999</v>
      </c>
      <c r="AK16" s="11">
        <v>6.5590000000000002E-9</v>
      </c>
      <c r="AL16" s="11">
        <v>2.1579999999999999E-4</v>
      </c>
      <c r="AM16" s="11">
        <v>-5.03E-8</v>
      </c>
      <c r="AN16" s="11">
        <v>0</v>
      </c>
      <c r="AO16" s="10">
        <v>-1</v>
      </c>
      <c r="AP16" s="11">
        <v>-7.9799999999999999E-4</v>
      </c>
      <c r="AQ16" s="10">
        <v>20</v>
      </c>
    </row>
    <row r="17" spans="1:43">
      <c r="A17" s="10">
        <v>5</v>
      </c>
      <c r="B17" s="10">
        <f t="shared" si="0"/>
        <v>0.49483500000000002</v>
      </c>
      <c r="C17" s="10">
        <f t="shared" si="1"/>
        <v>0.49739487828120155</v>
      </c>
      <c r="D17" s="10">
        <f t="shared" si="2"/>
        <v>0.99348719570300392</v>
      </c>
      <c r="E17" s="10">
        <f t="shared" si="3"/>
        <v>2.1866372191399222E-5</v>
      </c>
      <c r="F17" s="10">
        <f t="shared" si="4"/>
        <v>2.1866372191399246E-5</v>
      </c>
      <c r="G17" s="10">
        <f t="shared" si="10"/>
        <v>0.49161223648569596</v>
      </c>
      <c r="I17" s="10">
        <v>5</v>
      </c>
      <c r="J17" s="10">
        <f t="shared" si="5"/>
        <v>0.49483500000000002</v>
      </c>
      <c r="K17" s="11">
        <f t="shared" si="6"/>
        <v>0.43949925051475092</v>
      </c>
      <c r="L17" s="10">
        <f t="shared" si="7"/>
        <v>0.94305347365208603</v>
      </c>
      <c r="M17" s="11">
        <f t="shared" si="11"/>
        <v>1.288954379805719E-6</v>
      </c>
      <c r="N17" s="11">
        <f t="shared" si="8"/>
        <v>1.2889543798057158E-6</v>
      </c>
      <c r="O17" s="10">
        <f t="shared" si="9"/>
        <v>0.46665586563463002</v>
      </c>
      <c r="R17" s="10">
        <v>2</v>
      </c>
      <c r="S17" s="10">
        <v>-0.13420000000000001</v>
      </c>
      <c r="T17" s="10">
        <v>-369.92700000000002</v>
      </c>
      <c r="U17" s="10">
        <v>0.1565</v>
      </c>
      <c r="V17" s="11">
        <v>9.2729999999999999E-10</v>
      </c>
      <c r="W17" s="11">
        <v>8.5699999999999996E-5</v>
      </c>
      <c r="X17" s="11">
        <v>-3.5360000000000002E-9</v>
      </c>
      <c r="Y17" s="11">
        <v>0</v>
      </c>
      <c r="Z17" s="10">
        <v>-1</v>
      </c>
      <c r="AA17" s="11">
        <v>-8.6500000000000002E-6</v>
      </c>
      <c r="AB17" s="10">
        <v>20</v>
      </c>
      <c r="AG17" s="10">
        <v>5</v>
      </c>
      <c r="AH17" s="10">
        <v>-0.45150000000000001</v>
      </c>
      <c r="AI17" s="10">
        <v>-334.17099999999999</v>
      </c>
      <c r="AJ17" s="10">
        <v>0.15440000000000001</v>
      </c>
      <c r="AK17" s="11">
        <v>6.5000000000000003E-9</v>
      </c>
      <c r="AL17" s="11">
        <v>2.1489999999999999E-4</v>
      </c>
      <c r="AM17" s="11">
        <v>-6.6399999999999999E-8</v>
      </c>
      <c r="AN17" s="11">
        <v>0</v>
      </c>
      <c r="AO17" s="10">
        <v>-1</v>
      </c>
      <c r="AP17" s="11">
        <v>-1.0499999999999999E-3</v>
      </c>
      <c r="AQ17" s="10">
        <v>20</v>
      </c>
    </row>
    <row r="18" spans="1:43">
      <c r="A18" s="10">
        <v>6</v>
      </c>
      <c r="B18" s="10">
        <f t="shared" si="0"/>
        <v>0.59380199999999994</v>
      </c>
      <c r="C18" s="10">
        <f t="shared" si="1"/>
        <v>0.49652645857039057</v>
      </c>
      <c r="D18" s="10">
        <f t="shared" si="2"/>
        <v>0.99131614642597643</v>
      </c>
      <c r="E18" s="10">
        <f t="shared" si="3"/>
        <v>2.0483889576445669E-5</v>
      </c>
      <c r="F18" s="10">
        <f t="shared" si="4"/>
        <v>2.0483889576445588E-5</v>
      </c>
      <c r="G18" s="10">
        <f t="shared" si="10"/>
        <v>0.58864551038003765</v>
      </c>
      <c r="I18" s="10">
        <v>6</v>
      </c>
      <c r="J18" s="10">
        <f t="shared" si="5"/>
        <v>0.59380199999999994</v>
      </c>
      <c r="K18" s="10">
        <f t="shared" si="6"/>
        <v>0.43449131942607977</v>
      </c>
      <c r="L18" s="10">
        <f t="shared" si="7"/>
        <v>0.92914255396133283</v>
      </c>
      <c r="M18" s="11">
        <f t="shared" si="11"/>
        <v>1.0434096809140678E-6</v>
      </c>
      <c r="N18" s="11">
        <f t="shared" si="8"/>
        <v>1.0434096809140676E-6</v>
      </c>
      <c r="O18" s="10">
        <f t="shared" si="9"/>
        <v>0.55172670682734726</v>
      </c>
      <c r="R18" s="10">
        <v>3</v>
      </c>
      <c r="S18" s="10">
        <v>-0.26579999999999998</v>
      </c>
      <c r="T18" s="10">
        <v>-370.55399999999997</v>
      </c>
      <c r="U18" s="10">
        <v>0.15640000000000001</v>
      </c>
      <c r="V18" s="11">
        <v>9.2079999999999996E-10</v>
      </c>
      <c r="W18" s="11">
        <v>8.5439999999999995E-5</v>
      </c>
      <c r="X18" s="11">
        <v>-7.0569999999999999E-9</v>
      </c>
      <c r="Y18" s="11">
        <v>0</v>
      </c>
      <c r="Z18" s="10">
        <v>-1</v>
      </c>
      <c r="AA18" s="11">
        <v>-1.73E-5</v>
      </c>
      <c r="AB18" s="10">
        <v>20</v>
      </c>
      <c r="AG18" s="10">
        <v>6</v>
      </c>
      <c r="AH18" s="10">
        <v>-0.55879999999999996</v>
      </c>
      <c r="AI18" s="10">
        <v>-335.3</v>
      </c>
      <c r="AJ18" s="10">
        <v>0.1542</v>
      </c>
      <c r="AK18" s="11">
        <v>6.4240000000000002E-9</v>
      </c>
      <c r="AL18" s="11">
        <v>2.1359999999999999E-4</v>
      </c>
      <c r="AM18" s="11">
        <v>-8.2140000000000006E-8</v>
      </c>
      <c r="AN18" s="11">
        <v>0</v>
      </c>
      <c r="AO18" s="10">
        <v>-1</v>
      </c>
      <c r="AP18" s="11">
        <v>-1.2999999999999999E-3</v>
      </c>
      <c r="AQ18" s="10">
        <v>20</v>
      </c>
    </row>
    <row r="19" spans="1:43">
      <c r="A19" s="10">
        <v>8</v>
      </c>
      <c r="B19" s="10">
        <f t="shared" si="0"/>
        <v>0.791736</v>
      </c>
      <c r="C19" s="10">
        <f t="shared" si="1"/>
        <v>0.4945464865971263</v>
      </c>
      <c r="D19" s="10">
        <f t="shared" si="2"/>
        <v>0.98636621649281575</v>
      </c>
      <c r="E19" s="10">
        <f t="shared" si="3"/>
        <v>1.8109399349729818E-5</v>
      </c>
      <c r="F19" s="10">
        <f t="shared" si="4"/>
        <v>1.8109399349729798E-5</v>
      </c>
      <c r="G19" s="10">
        <f t="shared" si="10"/>
        <v>0.78094164278115596</v>
      </c>
      <c r="I19" s="10">
        <v>8</v>
      </c>
      <c r="J19" s="10">
        <f t="shared" si="5"/>
        <v>0.791736</v>
      </c>
      <c r="K19" s="10">
        <f t="shared" si="6"/>
        <v>0.42456913553387898</v>
      </c>
      <c r="L19" s="10">
        <f t="shared" si="7"/>
        <v>0.90158093203855283</v>
      </c>
      <c r="M19" s="11">
        <f t="shared" si="11"/>
        <v>7.1167972120204502E-7</v>
      </c>
      <c r="N19" s="11">
        <f t="shared" si="8"/>
        <v>7.1167972120204438E-7</v>
      </c>
      <c r="O19" s="10">
        <f t="shared" si="9"/>
        <v>0.71381408080847564</v>
      </c>
      <c r="R19" s="10">
        <v>4</v>
      </c>
      <c r="S19" s="10">
        <v>-0.39479999999999998</v>
      </c>
      <c r="T19" s="10">
        <v>-371.66899999999998</v>
      </c>
      <c r="U19" s="10">
        <v>0.15629999999999999</v>
      </c>
      <c r="V19" s="11">
        <v>9.0920000000000002E-10</v>
      </c>
      <c r="W19" s="11">
        <v>8.5000000000000006E-5</v>
      </c>
      <c r="X19" s="11">
        <v>-1.054E-8</v>
      </c>
      <c r="Y19" s="11">
        <v>0</v>
      </c>
      <c r="Z19" s="10">
        <v>-1</v>
      </c>
      <c r="AA19" s="11">
        <v>-2.58E-5</v>
      </c>
      <c r="AB19" s="10">
        <v>20</v>
      </c>
      <c r="AG19" s="10">
        <v>7</v>
      </c>
      <c r="AH19" s="10">
        <v>-0.66369999999999996</v>
      </c>
      <c r="AI19" s="10">
        <v>-336.67599999999999</v>
      </c>
      <c r="AJ19" s="10">
        <v>0.15390000000000001</v>
      </c>
      <c r="AK19" s="11">
        <v>6.3309999999999997E-9</v>
      </c>
      <c r="AL19" s="11">
        <v>2.1210000000000001E-4</v>
      </c>
      <c r="AM19" s="11">
        <v>-9.7510000000000004E-8</v>
      </c>
      <c r="AN19" s="11">
        <v>0</v>
      </c>
      <c r="AO19" s="10">
        <v>-1</v>
      </c>
      <c r="AP19" s="11">
        <v>-1.5499999999999999E-3</v>
      </c>
      <c r="AQ19" s="10">
        <v>20</v>
      </c>
    </row>
    <row r="20" spans="1:43">
      <c r="A20" s="10">
        <v>10</v>
      </c>
      <c r="B20" s="10">
        <f t="shared" si="0"/>
        <v>0.98967000000000005</v>
      </c>
      <c r="C20" s="10">
        <f t="shared" si="1"/>
        <v>0.49228845369658913</v>
      </c>
      <c r="D20" s="10">
        <f t="shared" si="2"/>
        <v>0.98072113424147289</v>
      </c>
      <c r="E20" s="10">
        <f t="shared" si="3"/>
        <v>1.6121748306011675E-5</v>
      </c>
      <c r="F20" s="10">
        <f t="shared" si="4"/>
        <v>1.6121748306011631E-5</v>
      </c>
      <c r="G20" s="10">
        <f t="shared" si="10"/>
        <v>0.97059028492475852</v>
      </c>
      <c r="I20" s="10">
        <v>10</v>
      </c>
      <c r="J20" s="10">
        <f t="shared" si="5"/>
        <v>0.98967000000000005</v>
      </c>
      <c r="K20" s="10">
        <f t="shared" si="6"/>
        <v>0.41502179450911225</v>
      </c>
      <c r="L20" s="10">
        <f t="shared" si="7"/>
        <v>0.87506054030308966</v>
      </c>
      <c r="M20" s="11">
        <f t="shared" si="11"/>
        <v>5.0582186853446584E-7</v>
      </c>
      <c r="N20" s="11">
        <f t="shared" si="8"/>
        <v>5.0582186853446541E-7</v>
      </c>
      <c r="O20" s="10">
        <f t="shared" si="9"/>
        <v>0.86602116492175873</v>
      </c>
      <c r="R20" s="10">
        <v>5</v>
      </c>
      <c r="S20" s="10">
        <v>-0.5212</v>
      </c>
      <c r="T20" s="10">
        <v>-373.26900000000001</v>
      </c>
      <c r="U20" s="10">
        <v>0.15620000000000001</v>
      </c>
      <c r="V20" s="11">
        <v>8.9249999999999997E-10</v>
      </c>
      <c r="W20" s="11">
        <v>8.4350000000000004E-5</v>
      </c>
      <c r="X20" s="11">
        <v>-1.4009999999999999E-8</v>
      </c>
      <c r="Y20" s="11">
        <v>0</v>
      </c>
      <c r="Z20" s="10">
        <v>-1</v>
      </c>
      <c r="AA20" s="11">
        <v>-3.43E-5</v>
      </c>
      <c r="AB20" s="10">
        <v>20</v>
      </c>
      <c r="AG20" s="10">
        <v>8</v>
      </c>
      <c r="AH20" s="10">
        <v>-0.76649999999999996</v>
      </c>
      <c r="AI20" s="10">
        <v>-338.29500000000002</v>
      </c>
      <c r="AJ20" s="10">
        <v>0.15359999999999999</v>
      </c>
      <c r="AK20" s="11">
        <v>6.2209999999999999E-9</v>
      </c>
      <c r="AL20" s="11">
        <v>2.1029999999999999E-4</v>
      </c>
      <c r="AM20" s="11">
        <v>-1.1249999999999999E-7</v>
      </c>
      <c r="AN20" s="11">
        <v>0</v>
      </c>
      <c r="AO20" s="10">
        <v>-1</v>
      </c>
      <c r="AP20" s="11">
        <v>-1.7799999999999999E-3</v>
      </c>
      <c r="AQ20" s="10">
        <v>20</v>
      </c>
    </row>
    <row r="21" spans="1:43">
      <c r="A21" s="10">
        <v>11</v>
      </c>
      <c r="B21" s="10">
        <f t="shared" si="0"/>
        <v>1.0886370000000001</v>
      </c>
      <c r="C21" s="10">
        <f t="shared" si="1"/>
        <v>0.49106946790086436</v>
      </c>
      <c r="D21" s="10">
        <f t="shared" si="2"/>
        <v>0.97767366975216097</v>
      </c>
      <c r="E21" s="10">
        <f t="shared" si="3"/>
        <v>1.524082113973571E-5</v>
      </c>
      <c r="F21" s="10">
        <f t="shared" si="4"/>
        <v>1.5240821139735698E-5</v>
      </c>
      <c r="G21" s="10">
        <f t="shared" si="10"/>
        <v>1.0643317308179834</v>
      </c>
      <c r="I21" s="10">
        <v>11</v>
      </c>
      <c r="J21" s="10">
        <f t="shared" si="5"/>
        <v>1.0886370000000001</v>
      </c>
      <c r="K21" s="10">
        <f t="shared" si="6"/>
        <v>0.41043864776607575</v>
      </c>
      <c r="L21" s="10">
        <f t="shared" si="7"/>
        <v>0.8623295771279883</v>
      </c>
      <c r="M21" s="11">
        <f t="shared" si="11"/>
        <v>4.3179767983292894E-7</v>
      </c>
      <c r="N21" s="11">
        <f t="shared" si="8"/>
        <v>4.3179767983292978E-7</v>
      </c>
      <c r="O21" s="10">
        <f t="shared" si="9"/>
        <v>0.93876388385588183</v>
      </c>
      <c r="R21" s="10">
        <v>6</v>
      </c>
      <c r="S21" s="10">
        <v>-0.64500000000000002</v>
      </c>
      <c r="T21" s="10">
        <v>-375.358</v>
      </c>
      <c r="U21" s="10">
        <v>0.156</v>
      </c>
      <c r="V21" s="11">
        <v>8.707E-10</v>
      </c>
      <c r="W21" s="11">
        <v>8.352E-5</v>
      </c>
      <c r="X21" s="11">
        <v>-1.7479999999999998E-8</v>
      </c>
      <c r="Y21" s="11">
        <v>0</v>
      </c>
      <c r="Z21" s="10">
        <v>-1</v>
      </c>
      <c r="AA21" s="11">
        <v>-4.2700000000000001E-5</v>
      </c>
      <c r="AB21" s="10">
        <v>20</v>
      </c>
      <c r="AG21" s="10">
        <v>9</v>
      </c>
      <c r="AH21" s="10">
        <v>-0.8669</v>
      </c>
      <c r="AI21" s="10">
        <v>-340.15199999999999</v>
      </c>
      <c r="AJ21" s="10">
        <v>0.1532</v>
      </c>
      <c r="AK21" s="11">
        <v>6.0950000000000001E-9</v>
      </c>
      <c r="AL21" s="11">
        <v>2.0819999999999999E-4</v>
      </c>
      <c r="AM21" s="11">
        <v>-1.2709999999999999E-7</v>
      </c>
      <c r="AN21" s="11">
        <v>0</v>
      </c>
      <c r="AO21" s="10">
        <v>-1</v>
      </c>
      <c r="AP21" s="11">
        <v>-2.0200000000000001E-3</v>
      </c>
      <c r="AQ21" s="10">
        <v>20</v>
      </c>
    </row>
    <row r="22" spans="1:43">
      <c r="A22" s="10">
        <v>13</v>
      </c>
      <c r="B22" s="10">
        <f t="shared" si="0"/>
        <v>1.2865709999999999</v>
      </c>
      <c r="C22" s="10">
        <f t="shared" si="1"/>
        <v>0.48847551653788313</v>
      </c>
      <c r="D22" s="10">
        <f t="shared" si="2"/>
        <v>0.97118879134470781</v>
      </c>
      <c r="E22" s="10">
        <f t="shared" si="3"/>
        <v>1.366269056154684E-5</v>
      </c>
      <c r="F22" s="10">
        <f t="shared" si="4"/>
        <v>1.3662690561546813E-5</v>
      </c>
      <c r="G22" s="10">
        <f t="shared" si="10"/>
        <v>1.249503334469152</v>
      </c>
      <c r="I22" s="10">
        <v>13</v>
      </c>
      <c r="J22" s="10">
        <f t="shared" si="5"/>
        <v>1.2865709999999999</v>
      </c>
      <c r="K22" s="10">
        <f t="shared" si="6"/>
        <v>0.40169367668386402</v>
      </c>
      <c r="L22" s="10">
        <f t="shared" si="7"/>
        <v>0.83803799078851127</v>
      </c>
      <c r="M22" s="11">
        <f t="shared" si="11"/>
        <v>3.2135117164296176E-7</v>
      </c>
      <c r="N22" s="11">
        <f t="shared" si="8"/>
        <v>3.2135117164296134E-7</v>
      </c>
      <c r="O22" s="10">
        <f t="shared" si="9"/>
        <v>1.0781953758467657</v>
      </c>
      <c r="R22" s="10">
        <v>7</v>
      </c>
      <c r="S22" s="10">
        <v>-0.76629999999999998</v>
      </c>
      <c r="T22" s="10">
        <v>-377.95800000000003</v>
      </c>
      <c r="U22" s="10">
        <v>0.15570000000000001</v>
      </c>
      <c r="V22" s="11">
        <v>8.4359999999999996E-10</v>
      </c>
      <c r="W22" s="11">
        <v>8.2470000000000002E-5</v>
      </c>
      <c r="X22" s="11">
        <v>-2.096E-8</v>
      </c>
      <c r="Y22" s="11">
        <v>0</v>
      </c>
      <c r="Z22" s="10">
        <v>-1</v>
      </c>
      <c r="AA22" s="11">
        <v>-5.1199999999999998E-5</v>
      </c>
      <c r="AB22" s="10">
        <v>20</v>
      </c>
      <c r="AG22" s="10">
        <v>10</v>
      </c>
      <c r="AH22" s="10">
        <v>-0.96509999999999996</v>
      </c>
      <c r="AI22" s="10">
        <v>-342.245</v>
      </c>
      <c r="AJ22" s="10">
        <v>0.15279999999999999</v>
      </c>
      <c r="AK22" s="11">
        <v>5.9539999999999999E-9</v>
      </c>
      <c r="AL22" s="11">
        <v>2.0589999999999999E-4</v>
      </c>
      <c r="AM22" s="11">
        <v>-1.4140000000000001E-7</v>
      </c>
      <c r="AN22" s="11">
        <v>0</v>
      </c>
      <c r="AO22" s="10">
        <v>-1</v>
      </c>
      <c r="AP22" s="11">
        <v>-2.2399999999999998E-3</v>
      </c>
      <c r="AQ22" s="10">
        <v>20</v>
      </c>
    </row>
    <row r="23" spans="1:43">
      <c r="A23" s="10">
        <v>15</v>
      </c>
      <c r="B23" s="10">
        <f t="shared" si="0"/>
        <v>1.484505</v>
      </c>
      <c r="C23" s="10">
        <f t="shared" si="1"/>
        <v>0.48570120104985559</v>
      </c>
      <c r="D23" s="10">
        <f t="shared" si="2"/>
        <v>0.96425300262463898</v>
      </c>
      <c r="E23" s="10">
        <f t="shared" si="3"/>
        <v>1.2289697676518265E-5</v>
      </c>
      <c r="F23" s="10">
        <f t="shared" si="4"/>
        <v>1.2289697676518232E-5</v>
      </c>
      <c r="G23" s="10">
        <f t="shared" si="10"/>
        <v>1.4314384036612897</v>
      </c>
      <c r="I23" s="10">
        <v>15</v>
      </c>
      <c r="J23" s="10">
        <f t="shared" si="5"/>
        <v>1.484505</v>
      </c>
      <c r="K23" s="10">
        <f t="shared" si="6"/>
        <v>0.39352080683572921</v>
      </c>
      <c r="L23" s="10">
        <f t="shared" si="7"/>
        <v>0.81533557454369232</v>
      </c>
      <c r="M23" s="11">
        <f t="shared" si="11"/>
        <v>2.4500397505040323E-7</v>
      </c>
      <c r="N23" s="11">
        <f t="shared" si="8"/>
        <v>2.4500397505040291E-7</v>
      </c>
      <c r="O23" s="10">
        <f t="shared" si="9"/>
        <v>1.210369737087984</v>
      </c>
      <c r="R23" s="10">
        <v>8</v>
      </c>
      <c r="S23" s="10">
        <v>-0.88490000000000002</v>
      </c>
      <c r="T23" s="10">
        <v>-381.09899999999999</v>
      </c>
      <c r="U23" s="10">
        <v>0.1555</v>
      </c>
      <c r="V23" s="11">
        <v>8.1089999999999996E-10</v>
      </c>
      <c r="W23" s="11">
        <v>8.1210000000000003E-5</v>
      </c>
      <c r="X23" s="11">
        <v>-2.4480000000000001E-8</v>
      </c>
      <c r="Y23" s="11">
        <v>0</v>
      </c>
      <c r="Z23" s="10">
        <v>-1</v>
      </c>
      <c r="AA23" s="11">
        <v>-5.9799999999999997E-5</v>
      </c>
      <c r="AB23" s="10">
        <v>20</v>
      </c>
      <c r="AG23" s="10">
        <v>11</v>
      </c>
      <c r="AH23" s="10">
        <v>-1.0609999999999999</v>
      </c>
      <c r="AI23" s="10">
        <v>-344.57499999999999</v>
      </c>
      <c r="AJ23" s="10">
        <v>0.15229999999999999</v>
      </c>
      <c r="AK23" s="11">
        <v>5.7960000000000003E-9</v>
      </c>
      <c r="AL23" s="11">
        <v>2.0330000000000001E-4</v>
      </c>
      <c r="AM23" s="11">
        <v>-1.554E-7</v>
      </c>
      <c r="AN23" s="11">
        <v>0</v>
      </c>
      <c r="AO23" s="10">
        <v>-1</v>
      </c>
      <c r="AP23" s="11">
        <v>-2.4599999999999999E-3</v>
      </c>
      <c r="AQ23" s="10">
        <v>20</v>
      </c>
    </row>
    <row r="24" spans="1:43">
      <c r="A24" s="10">
        <v>17</v>
      </c>
      <c r="B24" s="10">
        <f t="shared" si="0"/>
        <v>1.682439</v>
      </c>
      <c r="C24" s="10">
        <f t="shared" si="1"/>
        <v>0.48277568585126329</v>
      </c>
      <c r="D24" s="10">
        <f t="shared" si="2"/>
        <v>0.95693921462815823</v>
      </c>
      <c r="E24" s="10">
        <f t="shared" si="3"/>
        <v>1.1085949747693065E-5</v>
      </c>
      <c r="F24" s="10">
        <f t="shared" si="4"/>
        <v>1.1085949747693066E-5</v>
      </c>
      <c r="G24" s="10">
        <f t="shared" si="10"/>
        <v>1.6099918553197838</v>
      </c>
      <c r="I24" s="10">
        <v>17</v>
      </c>
      <c r="J24" s="10">
        <f t="shared" si="5"/>
        <v>1.682439</v>
      </c>
      <c r="K24" s="10">
        <f t="shared" si="6"/>
        <v>0.38590440065879639</v>
      </c>
      <c r="L24" s="10">
        <f t="shared" si="7"/>
        <v>0.79417889071887893</v>
      </c>
      <c r="M24" s="11">
        <f t="shared" si="11"/>
        <v>1.9067228973477963E-7</v>
      </c>
      <c r="N24" s="11">
        <f t="shared" si="8"/>
        <v>1.9067228973477937E-7</v>
      </c>
      <c r="O24" s="10">
        <f t="shared" si="9"/>
        <v>1.33615753872218</v>
      </c>
      <c r="R24" s="10">
        <v>9</v>
      </c>
      <c r="S24" s="10">
        <v>-1.0009999999999999</v>
      </c>
      <c r="T24" s="10">
        <v>-384.83499999999998</v>
      </c>
      <c r="U24" s="10">
        <v>0.15509999999999999</v>
      </c>
      <c r="V24" s="11">
        <v>7.7200000000000002E-10</v>
      </c>
      <c r="W24" s="11">
        <v>7.9709999999999994E-5</v>
      </c>
      <c r="X24" s="11">
        <v>-2.805E-8</v>
      </c>
      <c r="Y24" s="11">
        <v>0</v>
      </c>
      <c r="Z24" s="10">
        <v>-1</v>
      </c>
      <c r="AA24" s="11">
        <v>-6.86E-5</v>
      </c>
      <c r="AB24" s="10">
        <v>20</v>
      </c>
      <c r="AG24" s="10">
        <v>12</v>
      </c>
      <c r="AH24" s="10">
        <v>-1.1547000000000001</v>
      </c>
      <c r="AI24" s="10">
        <v>-347.14400000000001</v>
      </c>
      <c r="AJ24" s="10">
        <v>0.15179999999999999</v>
      </c>
      <c r="AK24" s="11">
        <v>5.6219999999999998E-9</v>
      </c>
      <c r="AL24" s="11">
        <v>2.0049999999999999E-4</v>
      </c>
      <c r="AM24" s="11">
        <v>-1.6899999999999999E-7</v>
      </c>
      <c r="AN24" s="11">
        <v>0</v>
      </c>
      <c r="AO24" s="10">
        <v>-1</v>
      </c>
      <c r="AP24" s="11">
        <v>-2.6800000000000001E-3</v>
      </c>
      <c r="AQ24" s="10">
        <v>20</v>
      </c>
    </row>
    <row r="25" spans="1:43">
      <c r="A25" s="10">
        <v>19</v>
      </c>
      <c r="B25" s="10">
        <f t="shared" si="0"/>
        <v>1.8803730000000001</v>
      </c>
      <c r="C25" s="10">
        <f t="shared" si="1"/>
        <v>0.47972446919466993</v>
      </c>
      <c r="D25" s="10">
        <f t="shared" si="2"/>
        <v>0.94931117298667489</v>
      </c>
      <c r="E25" s="10">
        <f t="shared" si="3"/>
        <v>1.0024496137847503E-5</v>
      </c>
      <c r="F25" s="10">
        <f t="shared" si="4"/>
        <v>1.0024496137847498E-5</v>
      </c>
      <c r="G25" s="10">
        <f t="shared" si="10"/>
        <v>1.785059098282473</v>
      </c>
      <c r="I25" s="10">
        <v>19</v>
      </c>
      <c r="J25" s="10">
        <f t="shared" si="5"/>
        <v>1.8803730000000001</v>
      </c>
      <c r="K25" s="10">
        <f t="shared" si="6"/>
        <v>0.37881229513893144</v>
      </c>
      <c r="L25" s="10">
        <f t="shared" si="7"/>
        <v>0.77447859760814297</v>
      </c>
      <c r="M25" s="11">
        <f t="shared" si="11"/>
        <v>1.510428266087317E-7</v>
      </c>
      <c r="N25" s="11">
        <f t="shared" si="8"/>
        <v>1.5104282660873123E-7</v>
      </c>
      <c r="O25" s="10">
        <f t="shared" si="9"/>
        <v>1.4563086440202166</v>
      </c>
      <c r="R25" s="10">
        <v>10</v>
      </c>
      <c r="S25" s="10">
        <v>-1.1145</v>
      </c>
      <c r="T25" s="10">
        <v>-389.17099999999999</v>
      </c>
      <c r="U25" s="10">
        <v>0.15479999999999999</v>
      </c>
      <c r="V25" s="11">
        <v>7.5140000000000001E-10</v>
      </c>
      <c r="W25" s="11">
        <v>7.8640000000000006E-5</v>
      </c>
      <c r="X25" s="11">
        <v>-3.114E-8</v>
      </c>
      <c r="Y25" s="11">
        <v>0</v>
      </c>
      <c r="Z25" s="10">
        <v>-1</v>
      </c>
      <c r="AA25" s="11">
        <v>-7.6100000000000007E-5</v>
      </c>
      <c r="AB25" s="10">
        <v>20</v>
      </c>
      <c r="AG25" s="10">
        <v>13</v>
      </c>
      <c r="AH25" s="10">
        <v>-1.2461</v>
      </c>
      <c r="AI25" s="10">
        <v>-349.959</v>
      </c>
      <c r="AJ25" s="10">
        <v>0.15129999999999999</v>
      </c>
      <c r="AK25" s="11">
        <v>5.431E-9</v>
      </c>
      <c r="AL25" s="11">
        <v>1.973E-4</v>
      </c>
      <c r="AM25" s="11">
        <v>-1.822E-7</v>
      </c>
      <c r="AN25" s="11">
        <v>0</v>
      </c>
      <c r="AO25" s="10">
        <v>-1</v>
      </c>
      <c r="AP25" s="11">
        <v>-2.8900000000000002E-3</v>
      </c>
      <c r="AQ25" s="10">
        <v>20</v>
      </c>
    </row>
    <row r="26" spans="1:43">
      <c r="A26" s="10">
        <v>21</v>
      </c>
      <c r="B26" s="10">
        <f t="shared" si="0"/>
        <v>2.0783070000000001</v>
      </c>
      <c r="C26" s="10">
        <f t="shared" si="1"/>
        <v>0.47657002367675994</v>
      </c>
      <c r="D26" s="10">
        <f t="shared" si="2"/>
        <v>0.94142505919189989</v>
      </c>
      <c r="E26" s="10">
        <f t="shared" si="3"/>
        <v>9.0843113946855682E-6</v>
      </c>
      <c r="F26" s="10">
        <f t="shared" si="4"/>
        <v>9.0843113946855682E-6</v>
      </c>
      <c r="G26" s="10">
        <f t="shared" si="10"/>
        <v>1.9565702904939399</v>
      </c>
      <c r="I26" s="10">
        <v>21</v>
      </c>
      <c r="J26" s="10">
        <f t="shared" si="5"/>
        <v>2.0783070000000001</v>
      </c>
      <c r="K26" s="10">
        <f t="shared" si="6"/>
        <v>0.37220565314487009</v>
      </c>
      <c r="L26" s="10">
        <f t="shared" si="7"/>
        <v>0.7561268142913059</v>
      </c>
      <c r="M26" s="11">
        <f t="shared" si="11"/>
        <v>1.2151500028556312E-7</v>
      </c>
      <c r="N26" s="11">
        <f t="shared" si="8"/>
        <v>1.2151500028556312E-7</v>
      </c>
      <c r="O26" s="10">
        <f t="shared" si="9"/>
        <v>1.5714636510293212</v>
      </c>
      <c r="R26" s="10">
        <v>11</v>
      </c>
      <c r="S26" s="10">
        <v>-1.2254</v>
      </c>
      <c r="T26" s="10">
        <v>-393.90699999999998</v>
      </c>
      <c r="U26" s="10">
        <v>0.1545</v>
      </c>
      <c r="V26" s="11">
        <v>7.3269999999999996E-10</v>
      </c>
      <c r="W26" s="11">
        <v>7.7559999999999996E-5</v>
      </c>
      <c r="X26" s="11">
        <v>-3.3689999999999999E-8</v>
      </c>
      <c r="Y26" s="11">
        <v>0</v>
      </c>
      <c r="Z26" s="10">
        <v>-1</v>
      </c>
      <c r="AA26" s="11">
        <v>-8.2299999999999995E-5</v>
      </c>
      <c r="AB26" s="10">
        <v>20</v>
      </c>
      <c r="AG26" s="10">
        <v>14</v>
      </c>
      <c r="AH26" s="10">
        <v>-1.3351999999999999</v>
      </c>
      <c r="AI26" s="10">
        <v>-353.03</v>
      </c>
      <c r="AJ26" s="10">
        <v>0.1507</v>
      </c>
      <c r="AK26" s="11">
        <v>5.2240000000000002E-9</v>
      </c>
      <c r="AL26" s="11">
        <v>1.939E-4</v>
      </c>
      <c r="AM26" s="11">
        <v>-1.952E-7</v>
      </c>
      <c r="AN26" s="11">
        <v>0</v>
      </c>
      <c r="AO26" s="10">
        <v>-1</v>
      </c>
      <c r="AP26" s="11">
        <v>-3.0999999999999999E-3</v>
      </c>
      <c r="AQ26" s="10">
        <v>20</v>
      </c>
    </row>
    <row r="27" spans="1:43">
      <c r="A27" s="10">
        <v>23</v>
      </c>
      <c r="B27" s="10">
        <f t="shared" si="0"/>
        <v>2.2762410000000002</v>
      </c>
      <c r="C27" s="10">
        <f t="shared" si="1"/>
        <v>0.47333223648868172</v>
      </c>
      <c r="D27" s="10">
        <f t="shared" si="2"/>
        <v>0.93333059122170436</v>
      </c>
      <c r="E27" s="10">
        <f t="shared" si="3"/>
        <v>8.2485200625221061E-6</v>
      </c>
      <c r="F27" s="10">
        <f t="shared" si="4"/>
        <v>8.2485200625220925E-6</v>
      </c>
      <c r="G27" s="10">
        <f t="shared" si="10"/>
        <v>2.1244853582930836</v>
      </c>
      <c r="I27" s="10">
        <v>23</v>
      </c>
      <c r="J27" s="10">
        <f t="shared" si="5"/>
        <v>2.2762410000000002</v>
      </c>
      <c r="K27" s="10">
        <f t="shared" si="6"/>
        <v>0.36604419007933575</v>
      </c>
      <c r="L27" s="10">
        <f t="shared" si="7"/>
        <v>0.73901163910926604</v>
      </c>
      <c r="M27" s="11">
        <f t="shared" si="11"/>
        <v>9.9100019643600723E-8</v>
      </c>
      <c r="N27" s="11">
        <f t="shared" si="8"/>
        <v>9.9100019643600723E-8</v>
      </c>
      <c r="O27" s="10">
        <f t="shared" si="9"/>
        <v>1.682168592417715</v>
      </c>
      <c r="R27" s="10">
        <v>12</v>
      </c>
      <c r="S27" s="10">
        <v>-1.3335999999999999</v>
      </c>
      <c r="T27" s="10">
        <v>-399.03899999999999</v>
      </c>
      <c r="U27" s="10">
        <v>0.15409999999999999</v>
      </c>
      <c r="V27" s="11">
        <v>7.1240000000000004E-10</v>
      </c>
      <c r="W27" s="11">
        <v>7.64E-5</v>
      </c>
      <c r="X27" s="11">
        <v>-3.6190000000000002E-8</v>
      </c>
      <c r="Y27" s="11">
        <v>0</v>
      </c>
      <c r="Z27" s="10">
        <v>-1</v>
      </c>
      <c r="AA27" s="11">
        <v>-8.8499999999999996E-5</v>
      </c>
      <c r="AB27" s="10">
        <v>20</v>
      </c>
      <c r="AG27" s="10">
        <v>15</v>
      </c>
      <c r="AH27" s="10">
        <v>-1.4220999999999999</v>
      </c>
      <c r="AI27" s="10">
        <v>-356.37299999999999</v>
      </c>
      <c r="AJ27" s="10">
        <v>0.15</v>
      </c>
      <c r="AK27" s="11">
        <v>4.997E-9</v>
      </c>
      <c r="AL27" s="11">
        <v>1.9019999999999999E-4</v>
      </c>
      <c r="AM27" s="11">
        <v>-2.0800000000000001E-7</v>
      </c>
      <c r="AN27" s="11">
        <v>0</v>
      </c>
      <c r="AO27" s="10">
        <v>-1</v>
      </c>
      <c r="AP27" s="11">
        <v>-3.3E-3</v>
      </c>
      <c r="AQ27" s="10">
        <v>20</v>
      </c>
    </row>
    <row r="28" spans="1:43">
      <c r="A28" s="10">
        <v>25</v>
      </c>
      <c r="B28" s="10">
        <f t="shared" si="0"/>
        <v>2.4741749999999998</v>
      </c>
      <c r="C28" s="10">
        <f t="shared" si="1"/>
        <v>0.47002873522413313</v>
      </c>
      <c r="D28" s="10">
        <f t="shared" si="2"/>
        <v>0.92507183806033288</v>
      </c>
      <c r="E28" s="10">
        <f t="shared" si="3"/>
        <v>7.5032843197464785E-6</v>
      </c>
      <c r="F28" s="10">
        <f t="shared" si="4"/>
        <v>7.5032843197464522E-6</v>
      </c>
      <c r="G28" s="10">
        <f t="shared" si="10"/>
        <v>2.2887896149329241</v>
      </c>
      <c r="I28" s="10">
        <v>25</v>
      </c>
      <c r="J28" s="10">
        <f t="shared" si="5"/>
        <v>2.4741749999999998</v>
      </c>
      <c r="K28" s="10">
        <f t="shared" si="6"/>
        <v>0.36028886099694102</v>
      </c>
      <c r="L28" s="10">
        <f t="shared" si="7"/>
        <v>0.72302461388039185</v>
      </c>
      <c r="M28" s="11">
        <f t="shared" si="11"/>
        <v>8.1801938220888954E-8</v>
      </c>
      <c r="N28" s="11">
        <f t="shared" si="8"/>
        <v>8.1801938220888954E-8</v>
      </c>
      <c r="O28" s="10">
        <f t="shared" si="9"/>
        <v>1.7888894240475184</v>
      </c>
      <c r="R28" s="10">
        <v>13</v>
      </c>
      <c r="S28" s="10">
        <v>-1.4393</v>
      </c>
      <c r="T28" s="10">
        <v>-404.57600000000002</v>
      </c>
      <c r="U28" s="10">
        <v>0.15379999999999999</v>
      </c>
      <c r="V28" s="11">
        <v>6.9040000000000001E-10</v>
      </c>
      <c r="W28" s="11">
        <v>7.5140000000000002E-5</v>
      </c>
      <c r="X28" s="11">
        <v>-3.8640000000000001E-8</v>
      </c>
      <c r="Y28" s="11">
        <v>0</v>
      </c>
      <c r="Z28" s="10">
        <v>-1</v>
      </c>
      <c r="AA28" s="11">
        <v>-9.4400000000000004E-5</v>
      </c>
      <c r="AB28" s="10">
        <v>20</v>
      </c>
      <c r="AG28" s="10">
        <v>16</v>
      </c>
      <c r="AH28" s="10">
        <v>-1.5066999999999999</v>
      </c>
      <c r="AI28" s="10">
        <v>-360.01</v>
      </c>
      <c r="AJ28" s="10">
        <v>0.14929999999999999</v>
      </c>
      <c r="AK28" s="11">
        <v>4.7509999999999998E-9</v>
      </c>
      <c r="AL28" s="11">
        <v>1.862E-4</v>
      </c>
      <c r="AM28" s="11">
        <v>-2.205E-7</v>
      </c>
      <c r="AN28" s="11">
        <v>0</v>
      </c>
      <c r="AO28" s="10">
        <v>-1</v>
      </c>
      <c r="AP28" s="11">
        <v>-3.5000000000000001E-3</v>
      </c>
      <c r="AQ28" s="10">
        <v>20</v>
      </c>
    </row>
    <row r="29" spans="1:43">
      <c r="A29" s="10">
        <v>27</v>
      </c>
      <c r="B29" s="10">
        <f t="shared" si="0"/>
        <v>2.6721089999999998</v>
      </c>
      <c r="C29" s="10">
        <f t="shared" si="1"/>
        <v>0.46667514441276303</v>
      </c>
      <c r="D29" s="10">
        <f t="shared" si="2"/>
        <v>0.91668786103190758</v>
      </c>
      <c r="E29" s="10">
        <f t="shared" si="3"/>
        <v>6.8370700203424929E-6</v>
      </c>
      <c r="F29" s="10">
        <f t="shared" si="4"/>
        <v>6.8370700203424853E-6</v>
      </c>
      <c r="G29" s="10">
        <f t="shared" si="10"/>
        <v>2.4494898836541092</v>
      </c>
      <c r="I29" s="10">
        <v>27</v>
      </c>
      <c r="J29" s="10">
        <f t="shared" si="5"/>
        <v>2.6721089999999998</v>
      </c>
      <c r="K29" s="10">
        <f t="shared" si="6"/>
        <v>0.35490314748380658</v>
      </c>
      <c r="L29" s="10">
        <f t="shared" si="7"/>
        <v>0.70806429856612951</v>
      </c>
      <c r="M29" s="11">
        <f t="shared" si="11"/>
        <v>6.825540104782889E-8</v>
      </c>
      <c r="N29" s="11">
        <f t="shared" si="8"/>
        <v>6.8255401047828533E-8</v>
      </c>
      <c r="O29" s="10">
        <f t="shared" si="9"/>
        <v>1.8920249847772417</v>
      </c>
      <c r="R29" s="10">
        <v>14</v>
      </c>
      <c r="S29" s="10">
        <v>-1.5425</v>
      </c>
      <c r="T29" s="10">
        <v>-410.529</v>
      </c>
      <c r="U29" s="10">
        <v>0.15340000000000001</v>
      </c>
      <c r="V29" s="11">
        <v>6.6680000000000001E-10</v>
      </c>
      <c r="W29" s="11">
        <v>7.3789999999999997E-5</v>
      </c>
      <c r="X29" s="11">
        <v>-4.1040000000000002E-8</v>
      </c>
      <c r="Y29" s="11">
        <v>0</v>
      </c>
      <c r="Z29" s="10">
        <v>-1</v>
      </c>
      <c r="AA29" s="11">
        <v>-1E-4</v>
      </c>
      <c r="AB29" s="10">
        <v>20</v>
      </c>
      <c r="AG29" s="10">
        <v>17</v>
      </c>
      <c r="AH29" s="10">
        <v>-1.589</v>
      </c>
      <c r="AI29" s="10">
        <v>-363.97199999999998</v>
      </c>
      <c r="AJ29" s="10">
        <v>0.14849999999999999</v>
      </c>
      <c r="AK29" s="11">
        <v>4.4830000000000003E-9</v>
      </c>
      <c r="AL29" s="11">
        <v>1.818E-4</v>
      </c>
      <c r="AM29" s="11">
        <v>-2.3279999999999999E-7</v>
      </c>
      <c r="AN29" s="11">
        <v>0</v>
      </c>
      <c r="AO29" s="10">
        <v>-1</v>
      </c>
      <c r="AP29" s="11">
        <v>-3.6900000000000001E-3</v>
      </c>
      <c r="AQ29" s="10">
        <v>20</v>
      </c>
    </row>
    <row r="30" spans="1:43">
      <c r="A30" s="10">
        <v>30</v>
      </c>
      <c r="B30" s="10">
        <f t="shared" si="0"/>
        <v>2.9690099999999999</v>
      </c>
      <c r="C30" s="10">
        <f t="shared" si="1"/>
        <v>0.46158065690064354</v>
      </c>
      <c r="D30" s="10">
        <f t="shared" si="2"/>
        <v>0.90395164225160884</v>
      </c>
      <c r="E30" s="10">
        <f t="shared" si="3"/>
        <v>5.9650161028716069E-6</v>
      </c>
      <c r="F30" s="10">
        <f t="shared" si="4"/>
        <v>5.9650161028715959E-6</v>
      </c>
      <c r="G30" s="10">
        <f t="shared" si="10"/>
        <v>2.6838414653614491</v>
      </c>
      <c r="I30" s="10">
        <v>30</v>
      </c>
      <c r="J30" s="10">
        <f t="shared" si="5"/>
        <v>2.9690099999999999</v>
      </c>
      <c r="K30" s="10">
        <f t="shared" si="6"/>
        <v>0.3474452469635812</v>
      </c>
      <c r="L30" s="10">
        <f t="shared" si="7"/>
        <v>0.68734790823216996</v>
      </c>
      <c r="M30" s="11">
        <f t="shared" si="11"/>
        <v>5.2960457585775471E-8</v>
      </c>
      <c r="N30" s="11">
        <f t="shared" si="8"/>
        <v>5.2960457585775332E-8</v>
      </c>
      <c r="O30" s="10">
        <f t="shared" si="9"/>
        <v>2.0407428130203948</v>
      </c>
      <c r="R30" s="10">
        <v>15</v>
      </c>
      <c r="S30" s="10">
        <v>-1.643</v>
      </c>
      <c r="T30" s="10">
        <v>-416.91899999999998</v>
      </c>
      <c r="U30" s="10">
        <v>0.15290000000000001</v>
      </c>
      <c r="V30" s="11">
        <v>6.4150000000000001E-10</v>
      </c>
      <c r="W30" s="11">
        <v>7.2340000000000002E-5</v>
      </c>
      <c r="X30" s="11">
        <v>-4.3380000000000002E-8</v>
      </c>
      <c r="Y30" s="11">
        <v>0</v>
      </c>
      <c r="Z30" s="10">
        <v>-1</v>
      </c>
      <c r="AA30" s="11">
        <v>-1.06E-4</v>
      </c>
      <c r="AB30" s="10">
        <v>20</v>
      </c>
      <c r="AG30" s="10">
        <v>18</v>
      </c>
      <c r="AH30" s="10">
        <v>-1.6691</v>
      </c>
      <c r="AI30" s="10">
        <v>-368.30700000000002</v>
      </c>
      <c r="AJ30" s="10">
        <v>0.14760000000000001</v>
      </c>
      <c r="AK30" s="11">
        <v>4.1890000000000003E-9</v>
      </c>
      <c r="AL30" s="11">
        <v>1.7699999999999999E-4</v>
      </c>
      <c r="AM30" s="11">
        <v>-2.4499999999999998E-7</v>
      </c>
      <c r="AN30" s="11">
        <v>0</v>
      </c>
      <c r="AO30" s="10">
        <v>-1</v>
      </c>
      <c r="AP30" s="11">
        <v>-3.8899999999999998E-3</v>
      </c>
      <c r="AQ30" s="10">
        <v>20</v>
      </c>
    </row>
    <row r="31" spans="1:43">
      <c r="A31" s="10">
        <v>40</v>
      </c>
      <c r="B31" s="10">
        <f t="shared" si="0"/>
        <v>3.9586800000000002</v>
      </c>
      <c r="C31" s="10">
        <f t="shared" si="1"/>
        <v>0.44447136806752197</v>
      </c>
      <c r="D31" s="10">
        <f t="shared" si="2"/>
        <v>0.86117842016880497</v>
      </c>
      <c r="E31" s="10">
        <f t="shared" si="3"/>
        <v>3.8768185883736186E-6</v>
      </c>
      <c r="F31" s="10">
        <f t="shared" si="4"/>
        <v>3.8768185883736186E-6</v>
      </c>
      <c r="G31" s="10">
        <f t="shared" si="10"/>
        <v>3.4091297883538449</v>
      </c>
      <c r="I31" s="10">
        <v>40</v>
      </c>
      <c r="J31" s="10">
        <f t="shared" si="5"/>
        <v>3.9586800000000002</v>
      </c>
      <c r="K31" s="10">
        <f t="shared" si="6"/>
        <v>0.32687910405084453</v>
      </c>
      <c r="L31" s="10">
        <f t="shared" si="7"/>
        <v>0.63021973347456817</v>
      </c>
      <c r="M31" s="11">
        <f t="shared" si="11"/>
        <v>2.5688639937738873E-8</v>
      </c>
      <c r="N31" s="11">
        <f t="shared" si="8"/>
        <v>2.5688639937738675E-8</v>
      </c>
      <c r="O31" s="10">
        <f t="shared" si="9"/>
        <v>2.4948382545111034</v>
      </c>
      <c r="R31" s="10">
        <v>16</v>
      </c>
      <c r="S31" s="10">
        <v>-1.7408999999999999</v>
      </c>
      <c r="T31" s="10">
        <v>-423.77</v>
      </c>
      <c r="U31" s="10">
        <v>0.1525</v>
      </c>
      <c r="V31" s="11">
        <v>6.1439999999999997E-10</v>
      </c>
      <c r="W31" s="11">
        <v>7.0779999999999997E-5</v>
      </c>
      <c r="X31" s="11">
        <v>-4.5680000000000003E-8</v>
      </c>
      <c r="Y31" s="11">
        <v>0</v>
      </c>
      <c r="Z31" s="10">
        <v>-1</v>
      </c>
      <c r="AA31" s="11">
        <v>-1.12E-4</v>
      </c>
      <c r="AB31" s="10">
        <v>20</v>
      </c>
      <c r="AG31" s="10">
        <v>19</v>
      </c>
      <c r="AH31" s="10">
        <v>-1.7470000000000001</v>
      </c>
      <c r="AI31" s="10">
        <v>-373.08300000000003</v>
      </c>
      <c r="AJ31" s="10">
        <v>0.1467</v>
      </c>
      <c r="AK31" s="11">
        <v>3.8659999999999997E-9</v>
      </c>
      <c r="AL31" s="11">
        <v>1.717E-4</v>
      </c>
      <c r="AM31" s="11">
        <v>-2.572E-7</v>
      </c>
      <c r="AN31" s="11">
        <v>0</v>
      </c>
      <c r="AO31" s="10">
        <v>-1</v>
      </c>
      <c r="AP31" s="11">
        <v>-4.0800000000000003E-3</v>
      </c>
      <c r="AQ31" s="10">
        <v>20</v>
      </c>
    </row>
    <row r="32" spans="1:43">
      <c r="A32" s="10">
        <v>50</v>
      </c>
      <c r="B32" s="10">
        <f t="shared" si="0"/>
        <v>4.9483499999999996</v>
      </c>
      <c r="C32" s="10">
        <f t="shared" si="1"/>
        <v>0.4278426353524637</v>
      </c>
      <c r="D32" s="10">
        <f t="shared" si="2"/>
        <v>0.8196065883811593</v>
      </c>
      <c r="E32" s="10">
        <f t="shared" si="3"/>
        <v>2.6047892418172808E-6</v>
      </c>
      <c r="F32" s="10">
        <f t="shared" si="4"/>
        <v>2.6047892418172719E-6</v>
      </c>
      <c r="G32" s="10">
        <f t="shared" si="10"/>
        <v>4.0557002616159092</v>
      </c>
      <c r="I32" s="10">
        <v>50</v>
      </c>
      <c r="J32" s="10">
        <f t="shared" si="5"/>
        <v>4.9483499999999996</v>
      </c>
      <c r="K32" s="10">
        <f t="shared" si="6"/>
        <v>0.31107435523055627</v>
      </c>
      <c r="L32" s="10">
        <f t="shared" si="7"/>
        <v>0.58631765341821185</v>
      </c>
      <c r="M32" s="11">
        <f t="shared" si="11"/>
        <v>1.4278651849934258E-8</v>
      </c>
      <c r="N32" s="11">
        <f t="shared" si="8"/>
        <v>1.4278651849934185E-8</v>
      </c>
      <c r="O32" s="10">
        <f t="shared" si="9"/>
        <v>2.9013049602920082</v>
      </c>
      <c r="R32" s="10">
        <v>17</v>
      </c>
      <c r="S32" s="10">
        <v>-1.8363</v>
      </c>
      <c r="T32" s="10">
        <v>-431.12</v>
      </c>
      <c r="U32" s="10">
        <v>0.152</v>
      </c>
      <c r="V32" s="11">
        <v>5.8530000000000004E-10</v>
      </c>
      <c r="W32" s="11">
        <v>6.9109999999999994E-5</v>
      </c>
      <c r="X32" s="11">
        <v>-4.7939999999999998E-8</v>
      </c>
      <c r="Y32" s="11">
        <v>0</v>
      </c>
      <c r="Z32" s="10">
        <v>-1</v>
      </c>
      <c r="AA32" s="11">
        <v>-1.17E-4</v>
      </c>
      <c r="AB32" s="10">
        <v>20</v>
      </c>
      <c r="AG32" s="10">
        <v>20</v>
      </c>
      <c r="AH32" s="10">
        <v>-1.8225</v>
      </c>
      <c r="AI32" s="10">
        <v>-378.40699999999998</v>
      </c>
      <c r="AJ32" s="10">
        <v>0.1457</v>
      </c>
      <c r="AK32" s="11">
        <v>3.5060000000000001E-9</v>
      </c>
      <c r="AL32" s="11">
        <v>1.6579999999999999E-4</v>
      </c>
      <c r="AM32" s="11">
        <v>-2.6950000000000002E-7</v>
      </c>
      <c r="AN32" s="11">
        <v>0</v>
      </c>
      <c r="AO32" s="10">
        <v>-1</v>
      </c>
      <c r="AP32" s="11">
        <v>-4.2700000000000004E-3</v>
      </c>
      <c r="AQ32" s="10">
        <v>20</v>
      </c>
    </row>
    <row r="33" spans="1:43">
      <c r="A33" s="10">
        <v>60</v>
      </c>
      <c r="B33" s="10">
        <f t="shared" si="0"/>
        <v>5.9380199999999999</v>
      </c>
      <c r="C33" s="10">
        <f t="shared" si="1"/>
        <v>0.412180334510725</v>
      </c>
      <c r="D33" s="10">
        <f t="shared" si="2"/>
        <v>0.78045083627681255</v>
      </c>
      <c r="E33" s="10">
        <f t="shared" si="3"/>
        <v>1.8030129435647539E-6</v>
      </c>
      <c r="F33" s="10">
        <f t="shared" si="4"/>
        <v>1.8030129435647541E-6</v>
      </c>
      <c r="G33" s="10">
        <f t="shared" si="10"/>
        <v>4.6343326748284381</v>
      </c>
      <c r="I33" s="10">
        <v>60</v>
      </c>
      <c r="J33" s="10">
        <f t="shared" si="5"/>
        <v>5.9380199999999999</v>
      </c>
      <c r="K33" s="10">
        <f t="shared" si="6"/>
        <v>0.29846896972005738</v>
      </c>
      <c r="L33" s="10">
        <f t="shared" si="7"/>
        <v>0.55130269366682605</v>
      </c>
      <c r="M33" s="11">
        <f t="shared" si="11"/>
        <v>8.7177528560335171E-9</v>
      </c>
      <c r="N33" s="11">
        <f t="shared" si="8"/>
        <v>8.7177528560334625E-9</v>
      </c>
      <c r="O33" s="10">
        <f t="shared" si="9"/>
        <v>3.2736464210474865</v>
      </c>
      <c r="R33" s="10">
        <v>18</v>
      </c>
      <c r="S33" s="10">
        <v>-1.929</v>
      </c>
      <c r="T33" s="10">
        <v>-439.01799999999997</v>
      </c>
      <c r="U33" s="10">
        <v>0.1515</v>
      </c>
      <c r="V33" s="11">
        <v>5.5400000000000005E-10</v>
      </c>
      <c r="W33" s="11">
        <v>6.7319999999999999E-5</v>
      </c>
      <c r="X33" s="11">
        <v>-5.0169999999999999E-8</v>
      </c>
      <c r="Y33" s="11">
        <v>0</v>
      </c>
      <c r="Z33" s="10">
        <v>-1</v>
      </c>
      <c r="AA33" s="11">
        <v>-1.2300000000000001E-4</v>
      </c>
      <c r="AB33" s="10">
        <v>20</v>
      </c>
      <c r="AG33" s="10">
        <v>21</v>
      </c>
      <c r="AH33" s="10">
        <v>-1.8957999999999999</v>
      </c>
      <c r="AI33" s="10">
        <v>-384.459</v>
      </c>
      <c r="AJ33" s="10">
        <v>0.14449999999999999</v>
      </c>
      <c r="AK33" s="11">
        <v>3.0960000000000001E-9</v>
      </c>
      <c r="AL33" s="11">
        <v>1.5909999999999999E-4</v>
      </c>
      <c r="AM33" s="11">
        <v>-2.8210000000000002E-7</v>
      </c>
      <c r="AN33" s="11">
        <v>0</v>
      </c>
      <c r="AO33" s="10">
        <v>-1</v>
      </c>
      <c r="AP33" s="11">
        <v>-4.47E-3</v>
      </c>
      <c r="AQ33" s="10">
        <v>20</v>
      </c>
    </row>
    <row r="34" spans="1:43">
      <c r="A34" s="10">
        <v>70</v>
      </c>
      <c r="B34" s="10">
        <f t="shared" si="0"/>
        <v>6.9276900000000001</v>
      </c>
      <c r="C34" s="10">
        <f t="shared" si="1"/>
        <v>0.39767332151571111</v>
      </c>
      <c r="D34" s="10">
        <f t="shared" si="2"/>
        <v>0.74418330378927777</v>
      </c>
      <c r="E34" s="10">
        <f t="shared" si="3"/>
        <v>1.2819404652603672E-6</v>
      </c>
      <c r="F34" s="10">
        <f t="shared" si="4"/>
        <v>1.2819404652603655E-6</v>
      </c>
      <c r="G34" s="10">
        <f t="shared" si="10"/>
        <v>5.1554712318279421</v>
      </c>
      <c r="I34" s="10">
        <v>70</v>
      </c>
      <c r="J34" s="10">
        <f t="shared" si="5"/>
        <v>6.9276900000000001</v>
      </c>
      <c r="K34" s="10">
        <f t="shared" si="6"/>
        <v>0.28811818098981057</v>
      </c>
      <c r="L34" s="10">
        <f t="shared" si="7"/>
        <v>0.52255050274947379</v>
      </c>
      <c r="M34" s="11">
        <f t="shared" si="11"/>
        <v>5.6995150732916746E-9</v>
      </c>
      <c r="N34" s="11">
        <f t="shared" si="8"/>
        <v>5.6995150732916299E-9</v>
      </c>
      <c r="O34" s="10">
        <f t="shared" si="9"/>
        <v>3.6200678923925023</v>
      </c>
      <c r="R34" s="10">
        <v>19</v>
      </c>
      <c r="S34" s="10">
        <v>-2.0192000000000001</v>
      </c>
      <c r="T34" s="10">
        <v>-447.53800000000001</v>
      </c>
      <c r="U34" s="10">
        <v>0.15090000000000001</v>
      </c>
      <c r="V34" s="11">
        <v>5.2020000000000002E-10</v>
      </c>
      <c r="W34" s="11">
        <v>6.5389999999999996E-5</v>
      </c>
      <c r="X34" s="11">
        <v>-5.2369999999999998E-8</v>
      </c>
      <c r="Y34" s="11">
        <v>0</v>
      </c>
      <c r="Z34" s="10">
        <v>-1</v>
      </c>
      <c r="AA34" s="11">
        <v>-1.2799999999999999E-4</v>
      </c>
      <c r="AB34" s="10">
        <v>20</v>
      </c>
      <c r="AG34" s="10">
        <v>22</v>
      </c>
      <c r="AH34" s="10">
        <v>-1.9669000000000001</v>
      </c>
      <c r="AI34" s="10">
        <v>-391.202</v>
      </c>
      <c r="AJ34" s="10">
        <v>0.14349999999999999</v>
      </c>
      <c r="AK34" s="11">
        <v>2.922E-9</v>
      </c>
      <c r="AL34" s="11">
        <v>1.5469999999999999E-4</v>
      </c>
      <c r="AM34" s="11">
        <v>-2.9270000000000002E-7</v>
      </c>
      <c r="AN34" s="11">
        <v>0</v>
      </c>
      <c r="AO34" s="10">
        <v>-1</v>
      </c>
      <c r="AP34" s="11">
        <v>-4.64E-3</v>
      </c>
      <c r="AQ34" s="10">
        <v>20</v>
      </c>
    </row>
    <row r="35" spans="1:43">
      <c r="A35" s="10">
        <v>80</v>
      </c>
      <c r="B35" s="10">
        <f t="shared" si="0"/>
        <v>7.9173600000000004</v>
      </c>
      <c r="C35" s="10">
        <f t="shared" si="1"/>
        <v>0.38435134096495194</v>
      </c>
      <c r="D35" s="10">
        <f t="shared" si="2"/>
        <v>0.71087835241237984</v>
      </c>
      <c r="E35" s="10">
        <f t="shared" si="3"/>
        <v>9.3367991530254772E-7</v>
      </c>
      <c r="F35" s="10">
        <f t="shared" si="4"/>
        <v>9.3367991530254634E-7</v>
      </c>
      <c r="G35" s="10">
        <f t="shared" si="10"/>
        <v>5.6282798322556804</v>
      </c>
      <c r="I35" s="10">
        <v>80</v>
      </c>
      <c r="J35" s="10">
        <f t="shared" si="5"/>
        <v>7.9173600000000004</v>
      </c>
      <c r="K35" s="10">
        <f t="shared" si="6"/>
        <v>0.27942112544046649</v>
      </c>
      <c r="L35" s="10">
        <f t="shared" si="7"/>
        <v>0.49839201511240694</v>
      </c>
      <c r="M35" s="11">
        <f t="shared" si="11"/>
        <v>3.9250944318206471E-9</v>
      </c>
      <c r="N35" s="11">
        <f t="shared" si="8"/>
        <v>3.9250944318206107E-9</v>
      </c>
      <c r="O35" s="10">
        <f t="shared" si="9"/>
        <v>3.9459490047703665</v>
      </c>
      <c r="R35" s="10">
        <v>20</v>
      </c>
      <c r="S35" s="10">
        <v>-2.1067999999999998</v>
      </c>
      <c r="T35" s="10">
        <v>-456.78300000000002</v>
      </c>
      <c r="U35" s="10">
        <v>0.15029999999999999</v>
      </c>
      <c r="V35" s="11">
        <v>4.8359999999999996E-10</v>
      </c>
      <c r="W35" s="11">
        <v>6.3289999999999999E-5</v>
      </c>
      <c r="X35" s="11">
        <v>-5.4569999999999998E-8</v>
      </c>
      <c r="Y35" s="11">
        <v>0</v>
      </c>
      <c r="Z35" s="10">
        <v>-1</v>
      </c>
      <c r="AA35" s="11">
        <v>-1.3300000000000001E-4</v>
      </c>
      <c r="AB35" s="10">
        <v>20</v>
      </c>
      <c r="AG35" s="10">
        <v>23</v>
      </c>
      <c r="AH35" s="10">
        <v>-2.0356000000000001</v>
      </c>
      <c r="AI35" s="10">
        <v>-398.29</v>
      </c>
      <c r="AJ35" s="10">
        <v>0.14269999999999999</v>
      </c>
      <c r="AK35" s="11">
        <v>2.7850000000000002E-9</v>
      </c>
      <c r="AL35" s="11">
        <v>1.507E-4</v>
      </c>
      <c r="AM35" s="11">
        <v>-3.0079999999999999E-7</v>
      </c>
      <c r="AN35" s="11">
        <v>0</v>
      </c>
      <c r="AO35" s="10">
        <v>-1</v>
      </c>
      <c r="AP35" s="11">
        <v>-4.7699999999999999E-3</v>
      </c>
      <c r="AQ35" s="10">
        <v>20</v>
      </c>
    </row>
    <row r="36" spans="1:43">
      <c r="A36" s="10">
        <v>90</v>
      </c>
      <c r="B36" s="10">
        <f t="shared" si="0"/>
        <v>8.9070300000000007</v>
      </c>
      <c r="C36" s="10">
        <f t="shared" si="1"/>
        <v>0.37216458106806283</v>
      </c>
      <c r="D36" s="10">
        <f t="shared" si="2"/>
        <v>0.68041145267015712</v>
      </c>
      <c r="E36" s="10">
        <f t="shared" si="3"/>
        <v>6.9487463297343853E-7</v>
      </c>
      <c r="F36" s="10">
        <f t="shared" si="4"/>
        <v>6.948746329734363E-7</v>
      </c>
      <c r="G36" s="10">
        <f t="shared" si="10"/>
        <v>6.0604452212766704</v>
      </c>
      <c r="I36" s="10">
        <v>90</v>
      </c>
      <c r="J36" s="10">
        <f t="shared" si="5"/>
        <v>8.9070300000000007</v>
      </c>
      <c r="K36" s="10">
        <f t="shared" si="6"/>
        <v>0.27197762958539168</v>
      </c>
      <c r="L36" s="10">
        <f t="shared" si="7"/>
        <v>0.47771563773719911</v>
      </c>
      <c r="M36" s="11">
        <f t="shared" si="11"/>
        <v>2.8156486067109488E-9</v>
      </c>
      <c r="N36" s="11">
        <f t="shared" si="8"/>
        <v>2.8156486067109786E-9</v>
      </c>
      <c r="O36" s="10">
        <f t="shared" si="9"/>
        <v>4.2550275167943648</v>
      </c>
      <c r="R36" s="10">
        <v>21</v>
      </c>
      <c r="S36" s="10">
        <v>-2.1917</v>
      </c>
      <c r="T36" s="10">
        <v>-466.90600000000001</v>
      </c>
      <c r="U36" s="10">
        <v>0.14960000000000001</v>
      </c>
      <c r="V36" s="11">
        <v>4.4350000000000002E-10</v>
      </c>
      <c r="W36" s="11">
        <v>6.0989999999999997E-5</v>
      </c>
      <c r="X36" s="11">
        <v>-5.6780000000000003E-8</v>
      </c>
      <c r="Y36" s="11">
        <v>0</v>
      </c>
      <c r="Z36" s="10">
        <v>-1</v>
      </c>
      <c r="AA36" s="11">
        <v>-1.3899999999999999E-4</v>
      </c>
      <c r="AB36" s="10">
        <v>20</v>
      </c>
      <c r="AG36" s="10">
        <v>24</v>
      </c>
      <c r="AH36" s="10">
        <v>-2.1021999999999998</v>
      </c>
      <c r="AI36" s="10">
        <v>-405.69499999999999</v>
      </c>
      <c r="AJ36" s="10">
        <v>0.14169999999999999</v>
      </c>
      <c r="AK36" s="11">
        <v>2.6409999999999999E-9</v>
      </c>
      <c r="AL36" s="11">
        <v>1.4650000000000001E-4</v>
      </c>
      <c r="AM36" s="11">
        <v>-3.0839999999999998E-7</v>
      </c>
      <c r="AN36" s="11">
        <v>0</v>
      </c>
      <c r="AO36" s="10">
        <v>-1</v>
      </c>
      <c r="AP36" s="11">
        <v>-4.8900000000000002E-3</v>
      </c>
      <c r="AQ36" s="10">
        <v>20</v>
      </c>
    </row>
    <row r="37" spans="1:43">
      <c r="A37" s="10">
        <v>100</v>
      </c>
      <c r="B37" s="10">
        <f t="shared" si="0"/>
        <v>9.8966999999999992</v>
      </c>
      <c r="C37" s="10">
        <f t="shared" si="1"/>
        <v>0.36102779411486563</v>
      </c>
      <c r="D37" s="10">
        <f t="shared" si="2"/>
        <v>0.65256948528716407</v>
      </c>
      <c r="E37" s="10">
        <f t="shared" si="3"/>
        <v>5.2724874054551515E-7</v>
      </c>
      <c r="F37" s="10">
        <f t="shared" si="4"/>
        <v>5.2724874054551431E-7</v>
      </c>
      <c r="G37" s="10">
        <f t="shared" si="10"/>
        <v>6.4582844250414766</v>
      </c>
      <c r="I37" s="10">
        <v>100</v>
      </c>
      <c r="J37" s="10">
        <f t="shared" si="5"/>
        <v>9.8966999999999992</v>
      </c>
      <c r="K37" s="10">
        <f t="shared" si="6"/>
        <v>0.26551044859080003</v>
      </c>
      <c r="L37" s="10">
        <f t="shared" si="7"/>
        <v>0.45975124608555562</v>
      </c>
      <c r="M37" s="11">
        <f t="shared" si="11"/>
        <v>2.0872134388480223E-9</v>
      </c>
      <c r="N37" s="11">
        <f t="shared" si="8"/>
        <v>2.0872134388480223E-9</v>
      </c>
      <c r="O37" s="10">
        <f t="shared" si="9"/>
        <v>4.5500201571349184</v>
      </c>
      <c r="R37" s="10">
        <v>22</v>
      </c>
      <c r="S37" s="10">
        <v>-2.2740999999999998</v>
      </c>
      <c r="T37" s="10">
        <v>-478.15</v>
      </c>
      <c r="U37" s="10">
        <v>0.14879999999999999</v>
      </c>
      <c r="V37" s="11">
        <v>3.9900000000000002E-10</v>
      </c>
      <c r="W37" s="11">
        <v>5.8440000000000003E-5</v>
      </c>
      <c r="X37" s="11">
        <v>-5.903E-8</v>
      </c>
      <c r="Y37" s="11">
        <v>0</v>
      </c>
      <c r="Z37" s="10">
        <v>-1</v>
      </c>
      <c r="AA37" s="11">
        <v>-1.44E-4</v>
      </c>
      <c r="AB37" s="10">
        <v>20</v>
      </c>
      <c r="AG37" s="10">
        <v>25</v>
      </c>
      <c r="AH37" s="10">
        <v>-2.1663999999999999</v>
      </c>
      <c r="AI37" s="10">
        <v>-413.44900000000001</v>
      </c>
      <c r="AJ37" s="10">
        <v>0.14069999999999999</v>
      </c>
      <c r="AK37" s="11">
        <v>2.4910000000000002E-9</v>
      </c>
      <c r="AL37" s="11">
        <v>1.4200000000000001E-4</v>
      </c>
      <c r="AM37" s="11">
        <v>-3.1580000000000001E-7</v>
      </c>
      <c r="AN37" s="11">
        <v>0</v>
      </c>
      <c r="AO37" s="10">
        <v>-1</v>
      </c>
      <c r="AP37" s="11">
        <v>-5.0099999999999997E-3</v>
      </c>
      <c r="AQ37" s="10">
        <v>20</v>
      </c>
    </row>
    <row r="38" spans="1:43">
      <c r="A38" s="10">
        <v>110</v>
      </c>
      <c r="B38" s="10">
        <f t="shared" si="0"/>
        <v>10.886369999999999</v>
      </c>
      <c r="C38" s="10">
        <f t="shared" si="1"/>
        <v>0.35084388610136674</v>
      </c>
      <c r="D38" s="10">
        <f t="shared" si="2"/>
        <v>0.62710971525341686</v>
      </c>
      <c r="E38" s="10">
        <f t="shared" si="3"/>
        <v>4.0705584366944598E-7</v>
      </c>
      <c r="F38" s="10">
        <f t="shared" si="4"/>
        <v>4.0705584366944603E-7</v>
      </c>
      <c r="G38" s="10">
        <f t="shared" si="10"/>
        <v>6.8269483908433397</v>
      </c>
      <c r="I38" s="10">
        <v>150</v>
      </c>
      <c r="J38" s="10">
        <f t="shared" si="5"/>
        <v>14.845050000000001</v>
      </c>
      <c r="K38" s="10">
        <f t="shared" si="6"/>
        <v>0.24239221514588122</v>
      </c>
      <c r="L38" s="10">
        <f t="shared" si="7"/>
        <v>0.39553393096078115</v>
      </c>
      <c r="M38" s="11">
        <f t="shared" si="11"/>
        <v>6.4965764660286495E-10</v>
      </c>
      <c r="N38" s="11">
        <f t="shared" si="8"/>
        <v>6.4965764660283735E-10</v>
      </c>
      <c r="O38" s="10">
        <f t="shared" si="9"/>
        <v>5.8717209818093448</v>
      </c>
      <c r="R38" s="10">
        <v>23</v>
      </c>
      <c r="S38" s="10">
        <v>-2.3540000000000001</v>
      </c>
      <c r="T38" s="10">
        <v>-490.72500000000002</v>
      </c>
      <c r="U38" s="10">
        <v>0.14810000000000001</v>
      </c>
      <c r="V38" s="11">
        <v>3.6009999999999998E-10</v>
      </c>
      <c r="W38" s="11">
        <v>5.6020000000000002E-5</v>
      </c>
      <c r="X38" s="11">
        <v>-6.0990000000000005E-8</v>
      </c>
      <c r="Y38" s="11">
        <v>0</v>
      </c>
      <c r="Z38" s="10">
        <v>-1</v>
      </c>
      <c r="AA38" s="11">
        <v>-1.4899999999999999E-4</v>
      </c>
      <c r="AB38" s="10">
        <v>20</v>
      </c>
      <c r="AG38" s="10">
        <v>26</v>
      </c>
      <c r="AH38" s="10">
        <v>-2.2284000000000002</v>
      </c>
      <c r="AI38" s="10">
        <v>-421.59500000000003</v>
      </c>
      <c r="AJ38" s="10">
        <v>0.13969999999999999</v>
      </c>
      <c r="AK38" s="11">
        <v>2.334E-9</v>
      </c>
      <c r="AL38" s="11">
        <v>1.3740000000000001E-4</v>
      </c>
      <c r="AM38" s="11">
        <v>-3.2280000000000001E-7</v>
      </c>
      <c r="AN38" s="11">
        <v>0</v>
      </c>
      <c r="AO38" s="10">
        <v>-1</v>
      </c>
      <c r="AP38" s="11">
        <v>-5.1200000000000004E-3</v>
      </c>
      <c r="AQ38" s="10">
        <v>20</v>
      </c>
    </row>
    <row r="39" spans="1:43">
      <c r="A39" s="10">
        <v>130</v>
      </c>
      <c r="B39" s="10">
        <f t="shared" si="0"/>
        <v>12.86571</v>
      </c>
      <c r="C39" s="10">
        <f t="shared" si="1"/>
        <v>0.33295315166231182</v>
      </c>
      <c r="D39" s="10">
        <f t="shared" si="2"/>
        <v>0.58238287915577946</v>
      </c>
      <c r="E39" s="10">
        <f t="shared" si="3"/>
        <v>2.5382379892414994E-7</v>
      </c>
      <c r="F39" s="10">
        <f t="shared" si="4"/>
        <v>2.5382379892415116E-7</v>
      </c>
      <c r="G39" s="10">
        <f t="shared" si="10"/>
        <v>7.4927692321833037</v>
      </c>
      <c r="I39" s="10">
        <v>200</v>
      </c>
      <c r="J39" s="10">
        <f t="shared" si="5"/>
        <v>19.793399999999998</v>
      </c>
      <c r="K39" s="10">
        <f t="shared" si="6"/>
        <v>0.22771499799710054</v>
      </c>
      <c r="L39" s="10">
        <f t="shared" si="7"/>
        <v>0.35476388332527931</v>
      </c>
      <c r="M39" s="11">
        <f t="shared" si="11"/>
        <v>2.808801006738602E-10</v>
      </c>
      <c r="N39" s="11">
        <f t="shared" si="8"/>
        <v>2.8088010067384247E-10</v>
      </c>
      <c r="O39" s="10">
        <f t="shared" si="9"/>
        <v>7.021983448210583</v>
      </c>
      <c r="R39" s="10">
        <v>24</v>
      </c>
      <c r="S39" s="10">
        <v>-2.4312</v>
      </c>
      <c r="T39" s="10">
        <v>-504.28899999999999</v>
      </c>
      <c r="U39" s="10">
        <v>0.1474</v>
      </c>
      <c r="V39" s="11">
        <v>3.3980000000000001E-10</v>
      </c>
      <c r="W39" s="11">
        <v>5.4280000000000002E-5</v>
      </c>
      <c r="X39" s="11">
        <v>-6.2600000000000005E-8</v>
      </c>
      <c r="Y39" s="11">
        <v>0</v>
      </c>
      <c r="Z39" s="10">
        <v>-1</v>
      </c>
      <c r="AA39" s="11">
        <v>-1.5300000000000001E-4</v>
      </c>
      <c r="AB39" s="10">
        <v>20</v>
      </c>
      <c r="AG39" s="10">
        <v>27</v>
      </c>
      <c r="AH39" s="10">
        <v>-2.2881</v>
      </c>
      <c r="AI39" s="10">
        <v>-430.19600000000003</v>
      </c>
      <c r="AJ39" s="10">
        <v>0.1386</v>
      </c>
      <c r="AK39" s="11">
        <v>2.1670000000000001E-9</v>
      </c>
      <c r="AL39" s="11">
        <v>1.325E-4</v>
      </c>
      <c r="AM39" s="11">
        <v>-3.2949999999999998E-7</v>
      </c>
      <c r="AN39" s="11">
        <v>0</v>
      </c>
      <c r="AO39" s="10">
        <v>-1</v>
      </c>
      <c r="AP39" s="11">
        <v>-5.2300000000000003E-3</v>
      </c>
      <c r="AQ39" s="10">
        <v>20</v>
      </c>
    </row>
    <row r="40" spans="1:43">
      <c r="A40" s="10">
        <v>150</v>
      </c>
      <c r="B40" s="10">
        <f t="shared" si="0"/>
        <v>14.845050000000001</v>
      </c>
      <c r="C40" s="10">
        <f t="shared" si="1"/>
        <v>0.31780112886574396</v>
      </c>
      <c r="D40" s="10">
        <f t="shared" si="2"/>
        <v>0.54450282216435986</v>
      </c>
      <c r="E40" s="10">
        <f t="shared" si="3"/>
        <v>1.6650910544903732E-7</v>
      </c>
      <c r="F40" s="10">
        <f t="shared" si="4"/>
        <v>1.6650910544903732E-7</v>
      </c>
      <c r="G40" s="10">
        <f t="shared" si="10"/>
        <v>8.0831716201710311</v>
      </c>
      <c r="I40" s="10">
        <v>250</v>
      </c>
      <c r="J40" s="10">
        <f t="shared" si="5"/>
        <v>24.74175</v>
      </c>
      <c r="K40" s="10">
        <f t="shared" si="6"/>
        <v>0.21728928435450853</v>
      </c>
      <c r="L40" s="10">
        <f t="shared" si="7"/>
        <v>0.32580356765141261</v>
      </c>
      <c r="M40" s="11">
        <f t="shared" si="11"/>
        <v>1.4599302459938923E-10</v>
      </c>
      <c r="N40" s="11">
        <f t="shared" si="8"/>
        <v>1.4599302459938297E-10</v>
      </c>
      <c r="O40" s="10">
        <f t="shared" si="9"/>
        <v>8.0609504199393385</v>
      </c>
      <c r="R40" s="10">
        <v>25</v>
      </c>
      <c r="S40" s="10">
        <v>-2.5057999999999998</v>
      </c>
      <c r="T40" s="10">
        <v>-518.596</v>
      </c>
      <c r="U40" s="10">
        <v>0.14680000000000001</v>
      </c>
      <c r="V40" s="11">
        <v>3.182E-10</v>
      </c>
      <c r="W40" s="11">
        <v>5.2439999999999999E-5</v>
      </c>
      <c r="X40" s="11">
        <v>-6.416E-8</v>
      </c>
      <c r="Y40" s="11">
        <v>0</v>
      </c>
      <c r="Z40" s="10">
        <v>-1</v>
      </c>
      <c r="AA40" s="11">
        <v>-1.5699999999999999E-4</v>
      </c>
      <c r="AB40" s="10">
        <v>20</v>
      </c>
      <c r="AG40" s="10">
        <v>28</v>
      </c>
      <c r="AH40" s="10">
        <v>-2.3456000000000001</v>
      </c>
      <c r="AI40" s="10">
        <v>-439.34199999999998</v>
      </c>
      <c r="AJ40" s="10">
        <v>0.13750000000000001</v>
      </c>
      <c r="AK40" s="11">
        <v>1.99E-9</v>
      </c>
      <c r="AL40" s="11">
        <v>1.273E-4</v>
      </c>
      <c r="AM40" s="11">
        <v>-3.3589999999999998E-7</v>
      </c>
      <c r="AN40" s="11">
        <v>0</v>
      </c>
      <c r="AO40" s="10">
        <v>-1</v>
      </c>
      <c r="AP40" s="11">
        <v>-5.3299999999999997E-3</v>
      </c>
      <c r="AQ40" s="10">
        <v>20</v>
      </c>
    </row>
    <row r="41" spans="1:43">
      <c r="A41" s="10">
        <v>170</v>
      </c>
      <c r="B41" s="10">
        <f t="shared" si="0"/>
        <v>16.824390000000001</v>
      </c>
      <c r="C41" s="10">
        <f t="shared" si="1"/>
        <v>0.30483121547760728</v>
      </c>
      <c r="D41" s="10">
        <f t="shared" si="2"/>
        <v>0.51207803869401813</v>
      </c>
      <c r="E41" s="10">
        <f t="shared" si="3"/>
        <v>1.1387781841599813E-7</v>
      </c>
      <c r="F41" s="10">
        <f t="shared" si="4"/>
        <v>1.1387781841599889E-7</v>
      </c>
      <c r="G41" s="10">
        <f t="shared" si="10"/>
        <v>8.6154006334232527</v>
      </c>
      <c r="I41" s="10">
        <v>300</v>
      </c>
      <c r="J41" s="10">
        <f t="shared" si="5"/>
        <v>29.690100000000001</v>
      </c>
      <c r="K41" s="10">
        <f t="shared" si="6"/>
        <v>0.20936536437978362</v>
      </c>
      <c r="L41" s="10">
        <f t="shared" si="7"/>
        <v>0.30379267883273225</v>
      </c>
      <c r="M41" s="11">
        <f t="shared" si="11"/>
        <v>8.5371986394140131E-11</v>
      </c>
      <c r="N41" s="11">
        <f t="shared" si="8"/>
        <v>8.5371986394140131E-11</v>
      </c>
      <c r="O41" s="10">
        <f t="shared" si="9"/>
        <v>9.0196350138117047</v>
      </c>
      <c r="R41" s="10">
        <v>26</v>
      </c>
      <c r="S41" s="10">
        <v>-2.5777999999999999</v>
      </c>
      <c r="T41" s="10">
        <v>-533.77</v>
      </c>
      <c r="U41" s="10">
        <v>0.14599999999999999</v>
      </c>
      <c r="V41" s="11">
        <v>2.9539999999999998E-10</v>
      </c>
      <c r="W41" s="11">
        <v>5.0500000000000001E-5</v>
      </c>
      <c r="X41" s="11">
        <v>-6.5670000000000005E-8</v>
      </c>
      <c r="Y41" s="11">
        <v>0</v>
      </c>
      <c r="Z41" s="10">
        <v>-1</v>
      </c>
      <c r="AA41" s="11">
        <v>-1.6100000000000001E-4</v>
      </c>
      <c r="AB41" s="10">
        <v>20</v>
      </c>
      <c r="AG41" s="10">
        <v>29</v>
      </c>
      <c r="AH41" s="10">
        <v>-2.4007999999999998</v>
      </c>
      <c r="AI41" s="10">
        <v>-449.16800000000001</v>
      </c>
      <c r="AJ41" s="10">
        <v>0.13619999999999999</v>
      </c>
      <c r="AK41" s="11">
        <v>1.8E-9</v>
      </c>
      <c r="AL41" s="11">
        <v>1.217E-4</v>
      </c>
      <c r="AM41" s="11">
        <v>-3.4210000000000003E-7</v>
      </c>
      <c r="AN41" s="11">
        <v>0</v>
      </c>
      <c r="AO41" s="10">
        <v>-1</v>
      </c>
      <c r="AP41" s="11">
        <v>-5.4299999999999999E-3</v>
      </c>
      <c r="AQ41" s="10">
        <v>20</v>
      </c>
    </row>
    <row r="42" spans="1:43">
      <c r="A42" s="10">
        <v>200</v>
      </c>
      <c r="B42" s="10">
        <f t="shared" si="0"/>
        <v>19.793399999999998</v>
      </c>
      <c r="C42" s="10">
        <f t="shared" si="1"/>
        <v>0.28855140688272318</v>
      </c>
      <c r="D42" s="10">
        <f t="shared" si="2"/>
        <v>0.4713785172068079</v>
      </c>
      <c r="E42" s="10">
        <f t="shared" si="3"/>
        <v>6.8611689740309485E-8</v>
      </c>
      <c r="F42" s="10">
        <f t="shared" si="4"/>
        <v>6.8611689740309776E-8</v>
      </c>
      <c r="G42" s="10">
        <f t="shared" si="10"/>
        <v>9.3301835424812314</v>
      </c>
      <c r="I42" s="10">
        <v>350</v>
      </c>
      <c r="J42" s="10">
        <f t="shared" si="5"/>
        <v>34.638449999999999</v>
      </c>
      <c r="K42" s="10">
        <f t="shared" si="6"/>
        <v>0.20306411870125662</v>
      </c>
      <c r="L42" s="10">
        <f t="shared" si="7"/>
        <v>0.28628921861460171</v>
      </c>
      <c r="M42" s="11">
        <f t="shared" si="11"/>
        <v>5.4182292729733035E-11</v>
      </c>
      <c r="N42" s="11">
        <f t="shared" si="8"/>
        <v>5.4182292729736719E-11</v>
      </c>
      <c r="O42" s="10">
        <f t="shared" si="9"/>
        <v>9.9166147845209505</v>
      </c>
      <c r="R42" s="10">
        <v>27</v>
      </c>
      <c r="S42" s="10">
        <v>-2.6473</v>
      </c>
      <c r="T42" s="10">
        <v>-549.98900000000003</v>
      </c>
      <c r="U42" s="10">
        <v>0.14530000000000001</v>
      </c>
      <c r="V42" s="11">
        <v>2.7110000000000003E-10</v>
      </c>
      <c r="W42" s="11">
        <v>4.8420000000000001E-5</v>
      </c>
      <c r="X42" s="11">
        <v>-6.7150000000000002E-8</v>
      </c>
      <c r="Y42" s="11">
        <v>0</v>
      </c>
      <c r="Z42" s="10">
        <v>-1</v>
      </c>
      <c r="AA42" s="11">
        <v>-1.64E-4</v>
      </c>
      <c r="AB42" s="10">
        <v>20</v>
      </c>
      <c r="AG42" s="10">
        <v>30</v>
      </c>
      <c r="AH42" s="10">
        <v>-2.4538000000000002</v>
      </c>
      <c r="AI42" s="10">
        <v>-459.89499999999998</v>
      </c>
      <c r="AJ42" s="10">
        <v>0.13489999999999999</v>
      </c>
      <c r="AK42" s="11">
        <v>1.5920000000000001E-9</v>
      </c>
      <c r="AL42" s="11">
        <v>1.155E-4</v>
      </c>
      <c r="AM42" s="11">
        <v>-3.4820000000000001E-7</v>
      </c>
      <c r="AN42" s="11">
        <v>0</v>
      </c>
      <c r="AO42" s="10">
        <v>-1</v>
      </c>
      <c r="AP42" s="11">
        <v>-5.5199999999999997E-3</v>
      </c>
      <c r="AQ42" s="10">
        <v>20</v>
      </c>
    </row>
    <row r="43" spans="1:43">
      <c r="A43" s="10">
        <v>230</v>
      </c>
      <c r="B43" s="10">
        <f t="shared" si="0"/>
        <v>22.762409999999999</v>
      </c>
      <c r="C43" s="10">
        <f t="shared" si="1"/>
        <v>0.27517144959768758</v>
      </c>
      <c r="D43" s="10">
        <f t="shared" si="2"/>
        <v>0.43792862399421889</v>
      </c>
      <c r="E43" s="10">
        <f t="shared" si="3"/>
        <v>4.3926762680819232E-8</v>
      </c>
      <c r="F43" s="10">
        <f t="shared" si="4"/>
        <v>4.3926762680818557E-8</v>
      </c>
      <c r="G43" s="10">
        <f t="shared" si="10"/>
        <v>9.9683108900922477</v>
      </c>
      <c r="I43" s="10">
        <v>400</v>
      </c>
      <c r="J43" s="10">
        <f t="shared" si="5"/>
        <v>39.586799999999997</v>
      </c>
      <c r="K43" s="10">
        <f t="shared" si="6"/>
        <v>0.19788813690129436</v>
      </c>
      <c r="L43" s="10">
        <f t="shared" si="7"/>
        <v>0.27191149139248433</v>
      </c>
      <c r="M43" s="11">
        <f t="shared" si="11"/>
        <v>3.6521215443551037E-11</v>
      </c>
      <c r="N43" s="11">
        <f t="shared" si="8"/>
        <v>3.6521215443539088E-11</v>
      </c>
      <c r="O43" s="10">
        <f t="shared" si="9"/>
        <v>10.764105827455998</v>
      </c>
      <c r="R43" s="10">
        <v>28</v>
      </c>
      <c r="S43" s="10">
        <v>-2.7141000000000002</v>
      </c>
      <c r="T43" s="10">
        <v>-567.52599999999995</v>
      </c>
      <c r="U43" s="10">
        <v>0.1444</v>
      </c>
      <c r="V43" s="11">
        <v>2.4469999999999999E-10</v>
      </c>
      <c r="W43" s="11">
        <v>4.617E-5</v>
      </c>
      <c r="X43" s="11">
        <v>-6.8610000000000004E-8</v>
      </c>
      <c r="Y43" s="11">
        <v>0</v>
      </c>
      <c r="Z43" s="10">
        <v>-1</v>
      </c>
      <c r="AA43" s="11">
        <v>-1.6799999999999999E-4</v>
      </c>
      <c r="AB43" s="10">
        <v>20</v>
      </c>
      <c r="AG43" s="10">
        <v>31</v>
      </c>
      <c r="AH43" s="10">
        <v>-2.5044</v>
      </c>
      <c r="AI43" s="10">
        <v>-471.91</v>
      </c>
      <c r="AJ43" s="10">
        <v>0.13339999999999999</v>
      </c>
      <c r="AK43" s="11">
        <v>1.359E-9</v>
      </c>
      <c r="AL43" s="11">
        <v>1.087E-4</v>
      </c>
      <c r="AM43" s="11">
        <v>-3.5419999999999998E-7</v>
      </c>
      <c r="AN43" s="11">
        <v>0</v>
      </c>
      <c r="AO43" s="10">
        <v>-1</v>
      </c>
      <c r="AP43" s="11">
        <v>-5.62E-3</v>
      </c>
      <c r="AQ43" s="10">
        <v>20</v>
      </c>
    </row>
    <row r="44" spans="1:43">
      <c r="A44" s="10">
        <v>260</v>
      </c>
      <c r="B44" s="10">
        <f t="shared" si="0"/>
        <v>25.73142</v>
      </c>
      <c r="C44" s="10">
        <f t="shared" si="1"/>
        <v>0.26396696131245356</v>
      </c>
      <c r="D44" s="10">
        <f t="shared" si="2"/>
        <v>0.40991740328113385</v>
      </c>
      <c r="E44" s="10">
        <f t="shared" si="3"/>
        <v>2.9512364171990387E-8</v>
      </c>
      <c r="F44" s="10">
        <f t="shared" si="4"/>
        <v>2.9512364171990391E-8</v>
      </c>
      <c r="G44" s="10">
        <f t="shared" si="10"/>
        <v>10.547756869136233</v>
      </c>
      <c r="I44" s="10">
        <v>500</v>
      </c>
      <c r="J44" s="10">
        <f t="shared" si="5"/>
        <v>49.483499999999999</v>
      </c>
      <c r="K44" s="10">
        <f t="shared" si="6"/>
        <v>0.18979433420640662</v>
      </c>
      <c r="L44" s="10">
        <f t="shared" si="7"/>
        <v>0.24942870612890727</v>
      </c>
      <c r="M44" s="11">
        <f t="shared" si="11"/>
        <v>1.8872454021204584E-11</v>
      </c>
      <c r="N44" s="11">
        <f t="shared" si="8"/>
        <v>1.8872454021204588E-11</v>
      </c>
      <c r="O44" s="10">
        <f t="shared" si="9"/>
        <v>12.342605379729783</v>
      </c>
      <c r="R44" s="10">
        <v>29</v>
      </c>
      <c r="S44" s="10">
        <v>-2.7784</v>
      </c>
      <c r="T44" s="10">
        <v>-586.82299999999998</v>
      </c>
      <c r="U44" s="10">
        <v>0.14349999999999999</v>
      </c>
      <c r="V44" s="11">
        <v>2.1569999999999999E-10</v>
      </c>
      <c r="W44" s="11">
        <v>4.3689999999999997E-5</v>
      </c>
      <c r="X44" s="11">
        <v>-7.0059999999999993E-8</v>
      </c>
      <c r="Y44" s="11">
        <v>0</v>
      </c>
      <c r="Z44" s="10">
        <v>-1</v>
      </c>
      <c r="AA44" s="11">
        <v>-1.7100000000000001E-4</v>
      </c>
      <c r="AB44" s="10">
        <v>20</v>
      </c>
      <c r="AG44" s="10">
        <v>32</v>
      </c>
      <c r="AH44" s="10">
        <v>-2.5529000000000002</v>
      </c>
      <c r="AI44" s="10">
        <v>-486.01</v>
      </c>
      <c r="AJ44" s="10">
        <v>0.13159999999999999</v>
      </c>
      <c r="AK44" s="11">
        <v>1.086E-9</v>
      </c>
      <c r="AL44" s="11">
        <v>1.0069999999999999E-4</v>
      </c>
      <c r="AM44" s="11">
        <v>-3.6040000000000002E-7</v>
      </c>
      <c r="AN44" s="11">
        <v>0</v>
      </c>
      <c r="AO44" s="10">
        <v>-1</v>
      </c>
      <c r="AP44" s="11">
        <v>-5.7200000000000003E-3</v>
      </c>
      <c r="AQ44" s="10">
        <v>20</v>
      </c>
    </row>
    <row r="45" spans="1:43">
      <c r="A45" s="10">
        <v>290</v>
      </c>
      <c r="B45" s="10">
        <f t="shared" si="0"/>
        <v>28.700430000000001</v>
      </c>
      <c r="C45" s="10">
        <f t="shared" si="1"/>
        <v>0.2544331487237268</v>
      </c>
      <c r="D45" s="10">
        <f t="shared" si="2"/>
        <v>0.38608287180931694</v>
      </c>
      <c r="E45" s="10">
        <f t="shared" si="3"/>
        <v>2.0618817395666691E-8</v>
      </c>
      <c r="F45" s="10">
        <f t="shared" si="4"/>
        <v>2.0618817395666843E-8</v>
      </c>
      <c r="G45" s="10">
        <f t="shared" si="10"/>
        <v>11.080744436562275</v>
      </c>
      <c r="I45" s="10">
        <v>600</v>
      </c>
      <c r="J45" s="10">
        <f t="shared" si="5"/>
        <v>59.380200000000002</v>
      </c>
      <c r="K45" s="10">
        <f t="shared" si="6"/>
        <v>0.18366846658359728</v>
      </c>
      <c r="L45" s="10">
        <f t="shared" si="7"/>
        <v>0.23241240717665912</v>
      </c>
      <c r="M45" s="11">
        <f t="shared" si="11"/>
        <v>1.0996261290897935E-11</v>
      </c>
      <c r="N45" s="11">
        <f t="shared" si="8"/>
        <v>1.0996261290899512E-11</v>
      </c>
      <c r="O45" s="10">
        <f t="shared" si="9"/>
        <v>13.800695220631454</v>
      </c>
      <c r="R45" s="10">
        <v>30</v>
      </c>
      <c r="S45" s="10">
        <v>-2.8401000000000001</v>
      </c>
      <c r="T45" s="10">
        <v>-608.67899999999997</v>
      </c>
      <c r="U45" s="10">
        <v>0.14249999999999999</v>
      </c>
      <c r="V45" s="11">
        <v>1.828E-10</v>
      </c>
      <c r="W45" s="11">
        <v>4.0890000000000003E-5</v>
      </c>
      <c r="X45" s="11">
        <v>-7.1530000000000006E-8</v>
      </c>
      <c r="Y45" s="11">
        <v>0</v>
      </c>
      <c r="Z45" s="10">
        <v>-1</v>
      </c>
      <c r="AA45" s="11">
        <v>-1.75E-4</v>
      </c>
      <c r="AB45" s="10">
        <v>20</v>
      </c>
      <c r="AG45" s="10">
        <v>33</v>
      </c>
      <c r="AH45" s="10">
        <v>-2.5990000000000002</v>
      </c>
      <c r="AI45" s="10">
        <v>-502.1</v>
      </c>
      <c r="AJ45" s="10">
        <v>0.1303</v>
      </c>
      <c r="AK45" s="11">
        <v>9.9450000000000003E-10</v>
      </c>
      <c r="AL45" s="11">
        <v>9.5920000000000003E-5</v>
      </c>
      <c r="AM45" s="11">
        <v>-3.657E-7</v>
      </c>
      <c r="AN45" s="11">
        <v>0</v>
      </c>
      <c r="AO45" s="10">
        <v>-1</v>
      </c>
      <c r="AP45" s="11">
        <v>-5.7999999999999996E-3</v>
      </c>
      <c r="AQ45" s="10">
        <v>20</v>
      </c>
    </row>
    <row r="46" spans="1:43">
      <c r="A46" s="10">
        <v>320</v>
      </c>
      <c r="B46" s="10">
        <f t="shared" si="0"/>
        <v>31.669440000000002</v>
      </c>
      <c r="C46" s="10">
        <f t="shared" si="1"/>
        <v>0.24620962048357373</v>
      </c>
      <c r="D46" s="10">
        <f t="shared" si="2"/>
        <v>0.36552405120893428</v>
      </c>
      <c r="E46" s="10">
        <f t="shared" si="3"/>
        <v>1.4878112917021968E-8</v>
      </c>
      <c r="F46" s="10">
        <f t="shared" si="4"/>
        <v>1.4878112917021841E-8</v>
      </c>
      <c r="G46" s="10">
        <f t="shared" si="10"/>
        <v>11.575942008318272</v>
      </c>
      <c r="I46" s="10">
        <v>700</v>
      </c>
      <c r="J46" s="10">
        <f t="shared" si="5"/>
        <v>69.276899999999998</v>
      </c>
      <c r="K46" s="10">
        <f t="shared" si="6"/>
        <v>0.178810151692885</v>
      </c>
      <c r="L46" s="10">
        <f t="shared" si="7"/>
        <v>0.21891708803579166</v>
      </c>
      <c r="M46" s="11">
        <f t="shared" si="11"/>
        <v>6.9620160907142288E-12</v>
      </c>
      <c r="N46" s="11">
        <f t="shared" si="8"/>
        <v>6.9620160907129937E-12</v>
      </c>
      <c r="O46" s="10">
        <f t="shared" si="9"/>
        <v>15.165897216146735</v>
      </c>
      <c r="R46" s="10">
        <v>31</v>
      </c>
      <c r="S46" s="10">
        <v>-2.8992</v>
      </c>
      <c r="T46" s="10">
        <v>-633.24199999999996</v>
      </c>
      <c r="U46" s="10">
        <v>0.1416</v>
      </c>
      <c r="V46" s="11">
        <v>1.6420000000000001E-10</v>
      </c>
      <c r="W46" s="11">
        <v>3.8829999999999999E-5</v>
      </c>
      <c r="X46" s="11">
        <v>-7.2839999999999996E-8</v>
      </c>
      <c r="Y46" s="11">
        <v>0</v>
      </c>
      <c r="Z46" s="10">
        <v>-1</v>
      </c>
      <c r="AA46" s="11">
        <v>-1.7799999999999999E-4</v>
      </c>
      <c r="AB46" s="10">
        <v>20</v>
      </c>
      <c r="AG46" s="10">
        <v>34</v>
      </c>
      <c r="AH46" s="10">
        <v>-2.6429</v>
      </c>
      <c r="AI46" s="10">
        <v>-519.08799999999997</v>
      </c>
      <c r="AJ46" s="10">
        <v>0.12889999999999999</v>
      </c>
      <c r="AK46" s="11">
        <v>9.0140000000000001E-10</v>
      </c>
      <c r="AL46" s="11">
        <v>9.1000000000000003E-5</v>
      </c>
      <c r="AM46" s="11">
        <v>-3.6959999999999997E-7</v>
      </c>
      <c r="AN46" s="11">
        <v>0</v>
      </c>
      <c r="AO46" s="10">
        <v>-1</v>
      </c>
      <c r="AP46" s="11">
        <v>-5.8599999999999998E-3</v>
      </c>
      <c r="AQ46" s="10">
        <v>20</v>
      </c>
    </row>
    <row r="47" spans="1:43">
      <c r="A47" s="10">
        <v>350</v>
      </c>
      <c r="B47" s="10">
        <f t="shared" si="0"/>
        <v>34.638449999999999</v>
      </c>
      <c r="C47" s="10">
        <f t="shared" si="1"/>
        <v>0.23903297182949035</v>
      </c>
      <c r="D47" s="10">
        <f t="shared" si="2"/>
        <v>0.34758242957372582</v>
      </c>
      <c r="E47" s="10">
        <f t="shared" si="3"/>
        <v>1.1030416320035126E-8</v>
      </c>
      <c r="F47" s="10">
        <f t="shared" si="4"/>
        <v>1.1030416320035233E-8</v>
      </c>
      <c r="G47" s="10">
        <f t="shared" si="10"/>
        <v>12.039716607668023</v>
      </c>
      <c r="I47" s="10">
        <v>800</v>
      </c>
      <c r="J47" s="10">
        <f t="shared" si="5"/>
        <v>79.173599999999993</v>
      </c>
      <c r="K47" s="10">
        <f t="shared" si="6"/>
        <v>0.17482681591218996</v>
      </c>
      <c r="L47" s="10">
        <f t="shared" si="7"/>
        <v>0.20785226642274987</v>
      </c>
      <c r="M47" s="11">
        <f t="shared" si="11"/>
        <v>4.6846255895345851E-12</v>
      </c>
      <c r="N47" s="11">
        <f t="shared" si="8"/>
        <v>4.6846255895325842E-12</v>
      </c>
      <c r="O47" s="10">
        <f t="shared" si="9"/>
        <v>16.456412200848227</v>
      </c>
      <c r="R47" s="10">
        <v>32</v>
      </c>
      <c r="S47" s="10">
        <v>-2.9557000000000002</v>
      </c>
      <c r="T47" s="10">
        <v>-659.64700000000005</v>
      </c>
      <c r="U47" s="10">
        <v>0.14069999999999999</v>
      </c>
      <c r="V47" s="11">
        <v>1.4920000000000001E-10</v>
      </c>
      <c r="W47" s="11">
        <v>3.6919999999999999E-5</v>
      </c>
      <c r="X47" s="11">
        <v>-7.3900000000000007E-8</v>
      </c>
      <c r="Y47" s="11">
        <v>0</v>
      </c>
      <c r="Z47" s="10">
        <v>-1</v>
      </c>
      <c r="AA47" s="11">
        <v>-1.8100000000000001E-4</v>
      </c>
      <c r="AB47" s="10">
        <v>20</v>
      </c>
      <c r="AG47" s="10">
        <v>35</v>
      </c>
      <c r="AH47" s="10">
        <v>-2.6846000000000001</v>
      </c>
      <c r="AI47" s="10">
        <v>-537.21299999999997</v>
      </c>
      <c r="AJ47" s="10">
        <v>0.1275</v>
      </c>
      <c r="AK47" s="11">
        <v>8.0200000000000002E-10</v>
      </c>
      <c r="AL47" s="11">
        <v>8.5749999999999997E-5</v>
      </c>
      <c r="AM47" s="11">
        <v>-3.7329999999999999E-7</v>
      </c>
      <c r="AN47" s="11">
        <v>0</v>
      </c>
      <c r="AO47" s="10">
        <v>-1</v>
      </c>
      <c r="AP47" s="11">
        <v>-5.9199999999999999E-3</v>
      </c>
      <c r="AQ47" s="10">
        <v>20</v>
      </c>
    </row>
    <row r="48" spans="1:43">
      <c r="A48" s="10">
        <v>380</v>
      </c>
      <c r="B48" s="10">
        <f t="shared" si="0"/>
        <v>37.607460000000003</v>
      </c>
      <c r="C48" s="10">
        <f t="shared" si="1"/>
        <v>0.23270648456979309</v>
      </c>
      <c r="D48" s="10">
        <f t="shared" si="2"/>
        <v>0.3317662114244827</v>
      </c>
      <c r="E48" s="10">
        <f t="shared" si="3"/>
        <v>8.3681484311391383E-9</v>
      </c>
      <c r="F48" s="10">
        <f t="shared" si="4"/>
        <v>8.3681484311392309E-9</v>
      </c>
      <c r="G48" s="10">
        <f t="shared" si="10"/>
        <v>12.476884525497777</v>
      </c>
      <c r="I48" s="10">
        <v>900</v>
      </c>
      <c r="J48" s="10">
        <f t="shared" si="5"/>
        <v>89.070300000000003</v>
      </c>
      <c r="K48" s="10">
        <f t="shared" si="6"/>
        <v>0.17147858067949071</v>
      </c>
      <c r="L48" s="10">
        <f t="shared" si="7"/>
        <v>0.19855161299858529</v>
      </c>
      <c r="M48" s="11">
        <f t="shared" si="11"/>
        <v>3.3024885629938724E-12</v>
      </c>
      <c r="N48" s="11">
        <f t="shared" si="8"/>
        <v>3.3024885629938716E-12</v>
      </c>
      <c r="O48" s="10">
        <f t="shared" si="9"/>
        <v>17.685051735267891</v>
      </c>
      <c r="R48" s="10">
        <v>33</v>
      </c>
      <c r="S48" s="10">
        <v>-3.0095999999999998</v>
      </c>
      <c r="T48" s="10">
        <v>-688.03300000000002</v>
      </c>
      <c r="U48" s="10">
        <v>0.13969999999999999</v>
      </c>
      <c r="V48" s="11">
        <v>1.3300000000000001E-10</v>
      </c>
      <c r="W48" s="11">
        <v>3.4860000000000002E-5</v>
      </c>
      <c r="X48" s="11">
        <v>-7.4919999999999999E-8</v>
      </c>
      <c r="Y48" s="11">
        <v>0</v>
      </c>
      <c r="Z48" s="10">
        <v>-1</v>
      </c>
      <c r="AA48" s="11">
        <v>-1.83E-4</v>
      </c>
      <c r="AB48" s="10">
        <v>20</v>
      </c>
      <c r="AG48" s="10">
        <v>36</v>
      </c>
      <c r="AH48" s="10">
        <v>-2.7239</v>
      </c>
      <c r="AI48" s="10">
        <v>-556.92100000000005</v>
      </c>
      <c r="AJ48" s="10">
        <v>0.12590000000000001</v>
      </c>
      <c r="AK48" s="11">
        <v>6.9389999999999995E-10</v>
      </c>
      <c r="AL48" s="11">
        <v>8.0039999999999999E-5</v>
      </c>
      <c r="AM48" s="11">
        <v>-3.7669999999999998E-7</v>
      </c>
      <c r="AN48" s="11">
        <v>0</v>
      </c>
      <c r="AO48" s="10">
        <v>-1</v>
      </c>
      <c r="AP48" s="11">
        <v>-5.9699999999999996E-3</v>
      </c>
      <c r="AQ48" s="10">
        <v>20</v>
      </c>
    </row>
    <row r="49" spans="1:43">
      <c r="A49" s="10">
        <v>390</v>
      </c>
      <c r="B49" s="10">
        <f t="shared" si="0"/>
        <v>38.59713</v>
      </c>
      <c r="C49" s="10">
        <f t="shared" si="1"/>
        <v>0.23075961644527437</v>
      </c>
      <c r="D49" s="10">
        <f t="shared" si="2"/>
        <v>0.32689904111318591</v>
      </c>
      <c r="E49" s="10">
        <f t="shared" si="3"/>
        <v>7.6667568301399753E-9</v>
      </c>
      <c r="F49" s="10">
        <f t="shared" si="4"/>
        <v>7.6667568301398877E-9</v>
      </c>
      <c r="G49" s="10">
        <f t="shared" si="10"/>
        <v>12.617364786720982</v>
      </c>
      <c r="I49" s="10">
        <v>950</v>
      </c>
      <c r="J49" s="10">
        <f t="shared" si="5"/>
        <v>94.018649999999994</v>
      </c>
      <c r="K49" s="10">
        <f t="shared" si="6"/>
        <v>0.16999161854415251</v>
      </c>
      <c r="L49" s="10">
        <f t="shared" si="7"/>
        <v>0.19442116262264586</v>
      </c>
      <c r="M49" s="11">
        <f t="shared" si="11"/>
        <v>2.8127141956233624E-12</v>
      </c>
      <c r="N49" s="11">
        <f t="shared" si="8"/>
        <v>2.8127141956187891E-12</v>
      </c>
      <c r="O49" s="10">
        <f t="shared" si="9"/>
        <v>18.27921524121162</v>
      </c>
      <c r="R49" s="10">
        <v>34</v>
      </c>
      <c r="S49" s="10">
        <v>-3.0609000000000002</v>
      </c>
      <c r="T49" s="10">
        <v>-719.17</v>
      </c>
      <c r="U49" s="10">
        <v>0.1386</v>
      </c>
      <c r="V49" s="11">
        <v>1.152E-10</v>
      </c>
      <c r="W49" s="11">
        <v>3.2610000000000001E-5</v>
      </c>
      <c r="X49" s="11">
        <v>-7.5909999999999996E-8</v>
      </c>
      <c r="Y49" s="11">
        <v>0</v>
      </c>
      <c r="Z49" s="10">
        <v>-1</v>
      </c>
      <c r="AA49" s="11">
        <v>-1.8599999999999999E-4</v>
      </c>
      <c r="AB49" s="10">
        <v>20</v>
      </c>
      <c r="AG49" s="10">
        <v>37</v>
      </c>
      <c r="AH49" s="10">
        <v>-2.7610000000000001</v>
      </c>
      <c r="AI49" s="10">
        <v>-579.06299999999999</v>
      </c>
      <c r="AJ49" s="10">
        <v>0.1241</v>
      </c>
      <c r="AK49" s="11">
        <v>5.7250000000000004E-10</v>
      </c>
      <c r="AL49" s="11">
        <v>7.3629999999999998E-5</v>
      </c>
      <c r="AM49" s="11">
        <v>-3.8000000000000001E-7</v>
      </c>
      <c r="AN49" s="11">
        <v>0</v>
      </c>
      <c r="AO49" s="10">
        <v>-1</v>
      </c>
      <c r="AP49" s="11">
        <v>-6.0299999999999998E-3</v>
      </c>
      <c r="AQ49" s="10">
        <v>20</v>
      </c>
    </row>
    <row r="50" spans="1:43">
      <c r="A50" s="10">
        <v>400</v>
      </c>
      <c r="B50" s="10">
        <f t="shared" si="0"/>
        <v>39.586799999999997</v>
      </c>
      <c r="C50" s="10">
        <f t="shared" si="1"/>
        <v>0.22888566159347823</v>
      </c>
      <c r="D50" s="10">
        <f t="shared" si="2"/>
        <v>0.32221415398369552</v>
      </c>
      <c r="E50" s="10">
        <f t="shared" si="3"/>
        <v>7.0388503420888997E-9</v>
      </c>
      <c r="F50" s="10">
        <f t="shared" si="4"/>
        <v>7.0388503420888178E-9</v>
      </c>
      <c r="G50" s="10">
        <f t="shared" si="10"/>
        <v>12.755427270921757</v>
      </c>
      <c r="I50" s="10">
        <v>1000</v>
      </c>
      <c r="J50" s="10">
        <f t="shared" si="5"/>
        <v>98.966999999999999</v>
      </c>
      <c r="K50" s="10">
        <f t="shared" si="6"/>
        <v>0.16860925589446296</v>
      </c>
      <c r="L50" s="10">
        <f t="shared" si="7"/>
        <v>0.19058126637350822</v>
      </c>
      <c r="M50" s="11">
        <f t="shared" si="11"/>
        <v>2.415334415025729E-12</v>
      </c>
      <c r="N50" s="11">
        <f t="shared" si="8"/>
        <v>2.4153344150229179E-12</v>
      </c>
      <c r="O50" s="10">
        <f t="shared" si="9"/>
        <v>18.861256189186989</v>
      </c>
      <c r="R50" s="10">
        <v>35</v>
      </c>
      <c r="S50" s="10">
        <v>-3.1097000000000001</v>
      </c>
      <c r="T50" s="10">
        <v>-754.53</v>
      </c>
      <c r="U50" s="10">
        <v>0.13750000000000001</v>
      </c>
      <c r="V50" s="11">
        <v>9.5090000000000005E-11</v>
      </c>
      <c r="W50" s="11">
        <v>3.0049999999999999E-5</v>
      </c>
      <c r="X50" s="11">
        <v>-7.6910000000000005E-8</v>
      </c>
      <c r="Y50" s="11">
        <v>0</v>
      </c>
      <c r="Z50" s="10">
        <v>-1</v>
      </c>
      <c r="AA50" s="11">
        <v>-1.8799999999999999E-4</v>
      </c>
      <c r="AB50" s="10">
        <v>20</v>
      </c>
      <c r="AG50" s="10">
        <v>38</v>
      </c>
      <c r="AH50" s="10">
        <v>-2.7959000000000001</v>
      </c>
      <c r="AI50" s="10">
        <v>-605.64400000000001</v>
      </c>
      <c r="AJ50" s="10">
        <v>0.122</v>
      </c>
      <c r="AK50" s="11">
        <v>4.2680000000000002E-10</v>
      </c>
      <c r="AL50" s="11">
        <v>6.5930000000000001E-5</v>
      </c>
      <c r="AM50" s="11">
        <v>-3.8319999999999999E-7</v>
      </c>
      <c r="AN50" s="11">
        <v>0</v>
      </c>
      <c r="AO50" s="10">
        <v>-1</v>
      </c>
      <c r="AP50" s="11">
        <v>-6.0800000000000003E-3</v>
      </c>
      <c r="AQ50" s="10">
        <v>20</v>
      </c>
    </row>
    <row r="51" spans="1:43">
      <c r="A51" s="10">
        <v>500</v>
      </c>
      <c r="B51" s="10">
        <f t="shared" si="0"/>
        <v>49.483499999999999</v>
      </c>
      <c r="C51" s="10">
        <f t="shared" si="1"/>
        <v>0.21336064573561708</v>
      </c>
      <c r="D51" s="10">
        <f t="shared" si="2"/>
        <v>0.28340161433904265</v>
      </c>
      <c r="E51" s="10">
        <f t="shared" si="3"/>
        <v>3.2989164169494081E-9</v>
      </c>
      <c r="F51" s="10">
        <f t="shared" si="4"/>
        <v>3.2989164169494081E-9</v>
      </c>
      <c r="G51" s="10">
        <f t="shared" si="10"/>
        <v>14.023703783146017</v>
      </c>
      <c r="I51" s="10">
        <v>1050</v>
      </c>
      <c r="J51" s="10">
        <f t="shared" si="5"/>
        <v>103.91535</v>
      </c>
      <c r="K51" s="10">
        <f t="shared" si="6"/>
        <v>0.16731945555783567</v>
      </c>
      <c r="L51" s="10">
        <f t="shared" si="7"/>
        <v>0.18699848766065463</v>
      </c>
      <c r="M51" s="11">
        <f t="shared" si="11"/>
        <v>2.089532305609327E-12</v>
      </c>
      <c r="N51" s="11">
        <f t="shared" si="8"/>
        <v>2.0895323056080257E-12</v>
      </c>
      <c r="O51" s="10">
        <f t="shared" si="9"/>
        <v>19.432013294727607</v>
      </c>
      <c r="R51" s="10">
        <v>36</v>
      </c>
      <c r="S51" s="10">
        <v>-3.1558000000000002</v>
      </c>
      <c r="T51" s="10">
        <v>-795.46600000000001</v>
      </c>
      <c r="U51" s="10">
        <v>0.1363</v>
      </c>
      <c r="V51" s="11">
        <v>7.9260000000000006E-11</v>
      </c>
      <c r="W51" s="11">
        <v>2.775E-5</v>
      </c>
      <c r="X51" s="11">
        <v>-7.7779999999999999E-8</v>
      </c>
      <c r="Y51" s="11">
        <v>0</v>
      </c>
      <c r="Z51" s="10">
        <v>-1</v>
      </c>
      <c r="AA51" s="11">
        <v>-1.9000000000000001E-4</v>
      </c>
      <c r="AB51" s="10">
        <v>20</v>
      </c>
      <c r="AG51" s="10">
        <v>39</v>
      </c>
      <c r="AH51" s="10">
        <v>-2.8285</v>
      </c>
      <c r="AI51" s="10">
        <v>-638.096</v>
      </c>
      <c r="AJ51" s="10">
        <v>0.1201</v>
      </c>
      <c r="AK51" s="11">
        <v>3.4540000000000002E-10</v>
      </c>
      <c r="AL51" s="11">
        <v>6.0040000000000001E-5</v>
      </c>
      <c r="AM51" s="11">
        <v>-3.8589999999999998E-7</v>
      </c>
      <c r="AN51" s="11">
        <v>0</v>
      </c>
      <c r="AO51" s="10">
        <v>-1</v>
      </c>
      <c r="AP51" s="11">
        <v>-6.1199999999999996E-3</v>
      </c>
      <c r="AQ51" s="10">
        <v>20</v>
      </c>
    </row>
    <row r="52" spans="1:43">
      <c r="A52" s="10">
        <v>600</v>
      </c>
      <c r="B52" s="10">
        <f t="shared" si="0"/>
        <v>59.380200000000002</v>
      </c>
      <c r="C52" s="10">
        <f t="shared" si="1"/>
        <v>0.20195013147463556</v>
      </c>
      <c r="D52" s="10">
        <f t="shared" si="2"/>
        <v>0.25487532868658885</v>
      </c>
      <c r="E52" s="10">
        <f t="shared" si="3"/>
        <v>1.7669725491274764E-9</v>
      </c>
      <c r="F52" s="10">
        <f t="shared" si="4"/>
        <v>1.7669725491275163E-9</v>
      </c>
      <c r="G52" s="10">
        <f t="shared" si="10"/>
        <v>15.134547992475383</v>
      </c>
      <c r="I52" s="10">
        <v>1100</v>
      </c>
      <c r="J52" s="10">
        <f t="shared" si="5"/>
        <v>108.86369999999999</v>
      </c>
      <c r="K52" s="10">
        <f t="shared" si="6"/>
        <v>0.16611205436528753</v>
      </c>
      <c r="L52" s="10">
        <f t="shared" si="7"/>
        <v>0.18364459545913203</v>
      </c>
      <c r="M52" s="11">
        <f t="shared" si="11"/>
        <v>1.8198775845954178E-12</v>
      </c>
      <c r="N52" s="11">
        <f t="shared" si="8"/>
        <v>1.8198775845936043E-12</v>
      </c>
      <c r="O52" s="10">
        <f t="shared" si="9"/>
        <v>19.99223014668431</v>
      </c>
      <c r="R52" s="10">
        <v>37</v>
      </c>
      <c r="S52" s="10">
        <v>-3.1993</v>
      </c>
      <c r="T52" s="10">
        <v>-841.21600000000001</v>
      </c>
      <c r="U52" s="10">
        <v>0.13519999999999999</v>
      </c>
      <c r="V52" s="11">
        <v>6.9379999999999997E-11</v>
      </c>
      <c r="W52" s="11">
        <v>2.5890000000000001E-5</v>
      </c>
      <c r="X52" s="11">
        <v>-7.8470000000000001E-8</v>
      </c>
      <c r="Y52" s="11">
        <v>0</v>
      </c>
      <c r="Z52" s="10">
        <v>-1</v>
      </c>
      <c r="AA52" s="11">
        <v>-1.92E-4</v>
      </c>
      <c r="AB52" s="10">
        <v>20</v>
      </c>
      <c r="AG52" s="10">
        <v>40</v>
      </c>
      <c r="AH52" s="10">
        <v>-2.8588</v>
      </c>
      <c r="AI52" s="10">
        <v>-675.101</v>
      </c>
      <c r="AJ52" s="10">
        <v>0.1183</v>
      </c>
      <c r="AK52" s="11">
        <v>2.8829999999999998E-10</v>
      </c>
      <c r="AL52" s="11">
        <v>5.4639999999999999E-5</v>
      </c>
      <c r="AM52" s="11">
        <v>-3.8780000000000002E-7</v>
      </c>
      <c r="AN52" s="11">
        <v>0</v>
      </c>
      <c r="AO52" s="10">
        <v>-1</v>
      </c>
      <c r="AP52" s="11">
        <v>-6.1500000000000001E-3</v>
      </c>
      <c r="AQ52" s="10">
        <v>20</v>
      </c>
    </row>
    <row r="53" spans="1:43">
      <c r="A53" s="10">
        <v>700</v>
      </c>
      <c r="B53" s="10">
        <f t="shared" si="0"/>
        <v>69.276899999999998</v>
      </c>
      <c r="C53" s="10">
        <f t="shared" si="1"/>
        <v>0.19314337783293939</v>
      </c>
      <c r="D53" s="10">
        <f t="shared" si="2"/>
        <v>0.23285844458234845</v>
      </c>
      <c r="E53" s="10">
        <f t="shared" si="3"/>
        <v>1.0394626480252519E-9</v>
      </c>
      <c r="F53" s="10">
        <f t="shared" si="4"/>
        <v>1.0394626480251926E-9</v>
      </c>
      <c r="G53" s="10">
        <f t="shared" si="10"/>
        <v>16.131711179486896</v>
      </c>
      <c r="I53" s="10">
        <v>1150</v>
      </c>
      <c r="J53" s="10">
        <f t="shared" si="5"/>
        <v>113.81205</v>
      </c>
      <c r="K53" s="10">
        <f t="shared" si="6"/>
        <v>0.16497840200463804</v>
      </c>
      <c r="L53" s="10">
        <f t="shared" si="7"/>
        <v>0.18049556112399454</v>
      </c>
      <c r="M53" s="11">
        <f t="shared" si="11"/>
        <v>1.5947675798777032E-12</v>
      </c>
      <c r="N53" s="11">
        <f t="shared" si="8"/>
        <v>1.5947675798771402E-12</v>
      </c>
      <c r="O53" s="10">
        <f t="shared" si="9"/>
        <v>20.54256982742212</v>
      </c>
      <c r="R53" s="10">
        <v>38</v>
      </c>
      <c r="S53" s="10">
        <v>-3.2403</v>
      </c>
      <c r="T53" s="10">
        <v>-891.68100000000004</v>
      </c>
      <c r="U53" s="10">
        <v>0.13400000000000001</v>
      </c>
      <c r="V53" s="11">
        <v>5.8480000000000001E-11</v>
      </c>
      <c r="W53" s="11">
        <v>2.3819999999999999E-5</v>
      </c>
      <c r="X53" s="11">
        <v>-7.9140000000000006E-8</v>
      </c>
      <c r="Y53" s="11">
        <v>0</v>
      </c>
      <c r="Z53" s="10">
        <v>-1</v>
      </c>
      <c r="AA53" s="11">
        <v>-1.93E-4</v>
      </c>
      <c r="AB53" s="10">
        <v>20</v>
      </c>
      <c r="AG53" s="10">
        <v>41</v>
      </c>
      <c r="AH53" s="10">
        <v>-2.8868999999999998</v>
      </c>
      <c r="AI53" s="10">
        <v>-717.79399999999998</v>
      </c>
      <c r="AJ53" s="10">
        <v>0.11609999999999999</v>
      </c>
      <c r="AK53" s="11">
        <v>2.224E-10</v>
      </c>
      <c r="AL53" s="11">
        <v>4.8399999999999997E-5</v>
      </c>
      <c r="AM53" s="11">
        <v>-3.8949999999999999E-7</v>
      </c>
      <c r="AN53" s="11">
        <v>0</v>
      </c>
      <c r="AO53" s="10">
        <v>-1</v>
      </c>
      <c r="AP53" s="11">
        <v>-6.1799999999999997E-3</v>
      </c>
      <c r="AQ53" s="10">
        <v>20</v>
      </c>
    </row>
    <row r="54" spans="1:43">
      <c r="A54" s="10">
        <v>850</v>
      </c>
      <c r="B54" s="10">
        <f t="shared" si="0"/>
        <v>84.121949999999998</v>
      </c>
      <c r="C54" s="10">
        <f t="shared" si="1"/>
        <v>0.18307195490652928</v>
      </c>
      <c r="D54" s="10">
        <f t="shared" si="2"/>
        <v>0.20767988726632317</v>
      </c>
      <c r="E54" s="10">
        <f t="shared" si="3"/>
        <v>5.3139934505605009E-10</v>
      </c>
      <c r="F54" s="10">
        <f t="shared" si="4"/>
        <v>5.3139934505598795E-10</v>
      </c>
      <c r="G54" s="10">
        <f t="shared" si="10"/>
        <v>17.470437092623275</v>
      </c>
      <c r="I54" s="10">
        <v>1200</v>
      </c>
      <c r="J54" s="10">
        <f t="shared" si="5"/>
        <v>118.7604</v>
      </c>
      <c r="K54" s="10">
        <f t="shared" si="6"/>
        <v>0.16391108171762597</v>
      </c>
      <c r="L54" s="10">
        <f t="shared" si="7"/>
        <v>0.17753078254896101</v>
      </c>
      <c r="M54" s="11">
        <f t="shared" si="11"/>
        <v>1.4053633977271552E-12</v>
      </c>
      <c r="N54" s="11">
        <f t="shared" si="8"/>
        <v>1.4053633977266289E-12</v>
      </c>
      <c r="O54" s="10">
        <f t="shared" si="9"/>
        <v>21.08362674782763</v>
      </c>
      <c r="R54" s="10">
        <v>39</v>
      </c>
      <c r="S54" s="10">
        <v>-3.2787000000000002</v>
      </c>
      <c r="T54" s="10">
        <v>-950.096</v>
      </c>
      <c r="U54" s="10">
        <v>0.13250000000000001</v>
      </c>
      <c r="V54" s="11">
        <v>4.5869999999999999E-11</v>
      </c>
      <c r="W54" s="11">
        <v>2.1440000000000001E-5</v>
      </c>
      <c r="X54" s="11">
        <v>-7.9790000000000002E-8</v>
      </c>
      <c r="Y54" s="11">
        <v>0</v>
      </c>
      <c r="Z54" s="10">
        <v>-1</v>
      </c>
      <c r="AA54" s="11">
        <v>-1.95E-4</v>
      </c>
      <c r="AB54" s="10">
        <v>20</v>
      </c>
      <c r="AG54" s="10">
        <v>42</v>
      </c>
      <c r="AH54" s="10">
        <v>-2.9127000000000001</v>
      </c>
      <c r="AI54" s="10">
        <v>-774.01</v>
      </c>
      <c r="AJ54" s="10">
        <v>0.1133</v>
      </c>
      <c r="AK54" s="11">
        <v>1.3570000000000001E-10</v>
      </c>
      <c r="AL54" s="11">
        <v>4.019E-5</v>
      </c>
      <c r="AM54" s="11">
        <v>-3.911E-7</v>
      </c>
      <c r="AN54" s="11">
        <v>0</v>
      </c>
      <c r="AO54" s="10">
        <v>-1</v>
      </c>
      <c r="AP54" s="11">
        <v>-6.1999999999999998E-3</v>
      </c>
      <c r="AQ54" s="10">
        <v>20</v>
      </c>
    </row>
    <row r="55" spans="1:43">
      <c r="A55" s="10">
        <v>900</v>
      </c>
      <c r="B55" s="10">
        <f t="shared" si="0"/>
        <v>89.070300000000003</v>
      </c>
      <c r="C55" s="10">
        <f t="shared" si="1"/>
        <v>0.18031112587830767</v>
      </c>
      <c r="D55" s="10">
        <f t="shared" si="2"/>
        <v>0.20077781469576914</v>
      </c>
      <c r="E55" s="10">
        <f t="shared" si="3"/>
        <v>4.3595063285741296E-10</v>
      </c>
      <c r="F55" s="10">
        <f t="shared" si="4"/>
        <v>4.3595063285735707E-10</v>
      </c>
      <c r="G55" s="10">
        <f t="shared" si="10"/>
        <v>17.883340188296565</v>
      </c>
      <c r="I55" s="10">
        <v>1250</v>
      </c>
      <c r="J55" s="10">
        <f t="shared" si="5"/>
        <v>123.70874999999999</v>
      </c>
      <c r="K55" s="10">
        <f t="shared" si="6"/>
        <v>0.16290369174240621</v>
      </c>
      <c r="L55" s="10">
        <f t="shared" si="7"/>
        <v>0.17473247706223946</v>
      </c>
      <c r="M55" s="11">
        <f t="shared" si="11"/>
        <v>1.2448511031421131E-12</v>
      </c>
      <c r="N55" s="11">
        <f t="shared" si="8"/>
        <v>1.2448511031426067E-12</v>
      </c>
      <c r="O55" s="10">
        <f t="shared" si="9"/>
        <v>21.615936321773315</v>
      </c>
      <c r="R55" s="10">
        <v>40</v>
      </c>
      <c r="S55" s="10">
        <v>-3.3144999999999998</v>
      </c>
      <c r="T55" s="10">
        <v>-1019.6319999999999</v>
      </c>
      <c r="U55" s="10">
        <v>0.13120000000000001</v>
      </c>
      <c r="V55" s="11">
        <v>3.6570000000000003E-11</v>
      </c>
      <c r="W55" s="11">
        <v>1.9360000000000001E-5</v>
      </c>
      <c r="X55" s="11">
        <v>-8.036E-8</v>
      </c>
      <c r="Y55" s="11">
        <v>0</v>
      </c>
      <c r="Z55" s="10">
        <v>-1</v>
      </c>
      <c r="AA55" s="11">
        <v>-1.9599999999999999E-4</v>
      </c>
      <c r="AB55" s="10">
        <v>20</v>
      </c>
      <c r="AG55" s="10">
        <v>43</v>
      </c>
      <c r="AH55" s="10">
        <v>-2.9361999999999999</v>
      </c>
      <c r="AI55" s="10">
        <v>-851.65800000000002</v>
      </c>
      <c r="AJ55" s="10">
        <v>0.1108</v>
      </c>
      <c r="AK55" s="11">
        <v>1.019E-10</v>
      </c>
      <c r="AL55" s="11">
        <v>3.4480000000000002E-5</v>
      </c>
      <c r="AM55" s="11">
        <v>-3.925E-7</v>
      </c>
      <c r="AN55" s="11">
        <v>0</v>
      </c>
      <c r="AO55" s="10">
        <v>-1</v>
      </c>
      <c r="AP55" s="11">
        <v>-6.2199999999999998E-3</v>
      </c>
      <c r="AQ55" s="10">
        <v>20</v>
      </c>
    </row>
    <row r="56" spans="1:43">
      <c r="A56" s="10">
        <v>950</v>
      </c>
      <c r="B56" s="10">
        <f t="shared" si="0"/>
        <v>94.018649999999994</v>
      </c>
      <c r="C56" s="10">
        <f t="shared" si="1"/>
        <v>0.17778103427639214</v>
      </c>
      <c r="D56" s="10">
        <f t="shared" si="2"/>
        <v>0.19445258569098031</v>
      </c>
      <c r="E56" s="10">
        <f t="shared" si="3"/>
        <v>3.6143663132904968E-10</v>
      </c>
      <c r="F56" s="10">
        <f t="shared" si="4"/>
        <v>3.6143663132901612E-10</v>
      </c>
      <c r="G56" s="10">
        <f t="shared" si="10"/>
        <v>18.282169595675285</v>
      </c>
      <c r="I56" s="10">
        <v>1300</v>
      </c>
      <c r="J56" s="10">
        <f t="shared" si="5"/>
        <v>128.65709999999999</v>
      </c>
      <c r="K56" s="10">
        <f t="shared" si="6"/>
        <v>0.16195067244841033</v>
      </c>
      <c r="L56" s="10">
        <f t="shared" si="7"/>
        <v>0.17208520124558424</v>
      </c>
      <c r="M56" s="11">
        <f t="shared" si="11"/>
        <v>1.1079203205399907E-12</v>
      </c>
      <c r="N56" s="11">
        <f t="shared" si="8"/>
        <v>1.1079203205385985E-12</v>
      </c>
      <c r="O56" s="10">
        <f t="shared" si="9"/>
        <v>22.139982945173255</v>
      </c>
      <c r="R56" s="10">
        <v>41</v>
      </c>
      <c r="S56" s="10">
        <v>-3.3477000000000001</v>
      </c>
      <c r="T56" s="10">
        <v>-1099.992</v>
      </c>
      <c r="U56" s="10">
        <v>0.1298</v>
      </c>
      <c r="V56" s="11">
        <v>3E-11</v>
      </c>
      <c r="W56" s="11">
        <v>1.751E-5</v>
      </c>
      <c r="X56" s="11">
        <v>-8.0809999999999994E-8</v>
      </c>
      <c r="Y56" s="11">
        <v>0</v>
      </c>
      <c r="Z56" s="10">
        <v>-1</v>
      </c>
      <c r="AA56" s="11">
        <v>-1.9799999999999999E-4</v>
      </c>
      <c r="AB56" s="10">
        <v>20</v>
      </c>
      <c r="AG56" s="10">
        <v>44</v>
      </c>
      <c r="AH56" s="10">
        <v>-2.9575</v>
      </c>
      <c r="AI56" s="10">
        <v>-957.51099999999997</v>
      </c>
      <c r="AJ56" s="10">
        <v>0.1074</v>
      </c>
      <c r="AK56" s="11">
        <v>5.6120000000000002E-11</v>
      </c>
      <c r="AL56" s="11">
        <v>2.673E-5</v>
      </c>
      <c r="AM56" s="11">
        <v>-3.9350000000000002E-7</v>
      </c>
      <c r="AN56" s="11">
        <v>0</v>
      </c>
      <c r="AO56" s="10">
        <v>-1</v>
      </c>
      <c r="AP56" s="11">
        <v>-6.2399999999999999E-3</v>
      </c>
      <c r="AQ56" s="10">
        <v>20</v>
      </c>
    </row>
    <row r="57" spans="1:43">
      <c r="A57" s="10">
        <v>1000</v>
      </c>
      <c r="B57" s="10">
        <f t="shared" si="0"/>
        <v>98.966999999999999</v>
      </c>
      <c r="C57" s="10">
        <f t="shared" si="1"/>
        <v>0.17545200990621757</v>
      </c>
      <c r="D57" s="10">
        <f t="shared" si="2"/>
        <v>0.18863002476554389</v>
      </c>
      <c r="E57" s="10">
        <f t="shared" si="3"/>
        <v>3.025132829298133E-10</v>
      </c>
      <c r="F57" s="10">
        <f t="shared" si="4"/>
        <v>3.0251328292978269E-10</v>
      </c>
      <c r="G57" s="10">
        <f t="shared" si="10"/>
        <v>18.668147660971581</v>
      </c>
      <c r="I57" s="10">
        <v>1350</v>
      </c>
      <c r="J57" s="10">
        <f t="shared" si="5"/>
        <v>133.60544999999999</v>
      </c>
      <c r="K57" s="10">
        <f t="shared" si="6"/>
        <v>0.16104716826299947</v>
      </c>
      <c r="L57" s="10">
        <f t="shared" si="7"/>
        <v>0.16957546739722076</v>
      </c>
      <c r="M57" s="11">
        <f t="shared" si="11"/>
        <v>9.9039083026229733E-13</v>
      </c>
      <c r="N57" s="11">
        <f t="shared" si="8"/>
        <v>9.903908302614233E-13</v>
      </c>
      <c r="O57" s="10">
        <f t="shared" si="9"/>
        <v>22.656206630566007</v>
      </c>
      <c r="R57" s="10">
        <v>42</v>
      </c>
      <c r="S57" s="10">
        <v>-3.3782999999999999</v>
      </c>
      <c r="T57" s="10">
        <v>-1194.94</v>
      </c>
      <c r="U57" s="10">
        <v>0.12820000000000001</v>
      </c>
      <c r="V57" s="11">
        <v>2.223E-11</v>
      </c>
      <c r="W57" s="11">
        <v>1.5319999999999999E-5</v>
      </c>
      <c r="X57" s="11">
        <v>-8.1240000000000005E-8</v>
      </c>
      <c r="Y57" s="11">
        <v>0</v>
      </c>
      <c r="Z57" s="10">
        <v>-1</v>
      </c>
      <c r="AA57" s="11">
        <v>-1.9900000000000001E-4</v>
      </c>
      <c r="AB57" s="10">
        <v>20</v>
      </c>
      <c r="AG57" s="10">
        <v>45</v>
      </c>
      <c r="AH57" s="10">
        <v>-2.9765000000000001</v>
      </c>
      <c r="AI57" s="10">
        <v>-1134.1890000000001</v>
      </c>
      <c r="AJ57" s="10">
        <v>0.1036</v>
      </c>
      <c r="AK57" s="11">
        <v>2.8699999999999998E-11</v>
      </c>
      <c r="AL57" s="11">
        <v>1.9539999999999999E-5</v>
      </c>
      <c r="AM57" s="11">
        <v>-3.9439999999999998E-7</v>
      </c>
      <c r="AN57" s="11">
        <v>0</v>
      </c>
      <c r="AO57" s="10">
        <v>-1</v>
      </c>
      <c r="AP57" s="11">
        <v>-6.2500000000000003E-3</v>
      </c>
      <c r="AQ57" s="10">
        <v>20</v>
      </c>
    </row>
    <row r="58" spans="1:43">
      <c r="A58" s="10">
        <v>1050</v>
      </c>
      <c r="B58" s="10">
        <f t="shared" si="0"/>
        <v>103.91535</v>
      </c>
      <c r="C58" s="10">
        <f t="shared" si="1"/>
        <v>0.1732994006909494</v>
      </c>
      <c r="D58" s="10">
        <f t="shared" si="2"/>
        <v>0.18324850172737348</v>
      </c>
      <c r="E58" s="10">
        <f t="shared" si="3"/>
        <v>2.553754513773267E-10</v>
      </c>
      <c r="F58" s="10">
        <f t="shared" si="4"/>
        <v>2.5537545137731279E-10</v>
      </c>
      <c r="G58" s="10">
        <f t="shared" si="10"/>
        <v>19.042332193975621</v>
      </c>
      <c r="I58" s="10">
        <v>1400</v>
      </c>
      <c r="J58" s="10">
        <f t="shared" si="5"/>
        <v>138.5538</v>
      </c>
      <c r="K58" s="10">
        <f t="shared" si="6"/>
        <v>0.16018891638822852</v>
      </c>
      <c r="L58" s="10">
        <f t="shared" si="7"/>
        <v>0.16719143441174589</v>
      </c>
      <c r="M58" s="11">
        <f t="shared" si="11"/>
        <v>8.8894152201094097E-13</v>
      </c>
      <c r="N58" s="11">
        <f t="shared" si="8"/>
        <v>8.8894152201135345E-13</v>
      </c>
      <c r="O58" s="10">
        <f t="shared" si="9"/>
        <v>23.165008565198157</v>
      </c>
      <c r="R58" s="10">
        <v>43</v>
      </c>
      <c r="S58" s="10">
        <v>-3.4062999999999999</v>
      </c>
      <c r="T58" s="10">
        <v>-1312.251</v>
      </c>
      <c r="U58" s="10">
        <v>0.12659999999999999</v>
      </c>
      <c r="V58" s="11">
        <v>1.6669999999999999E-11</v>
      </c>
      <c r="W58" s="11">
        <v>1.342E-5</v>
      </c>
      <c r="X58" s="11">
        <v>-8.1610000000000001E-8</v>
      </c>
      <c r="Y58" s="11">
        <v>0</v>
      </c>
      <c r="Z58" s="10">
        <v>-1</v>
      </c>
      <c r="AA58" s="11">
        <v>-1.9900000000000001E-4</v>
      </c>
      <c r="AB58" s="10">
        <v>20</v>
      </c>
      <c r="AG58" s="10">
        <v>46</v>
      </c>
      <c r="AH58" s="10">
        <v>-2.9933000000000001</v>
      </c>
      <c r="AI58" s="10">
        <v>-1495.126</v>
      </c>
      <c r="AJ58" s="10">
        <v>9.8299999999999998E-2</v>
      </c>
      <c r="AK58" s="11">
        <v>7.9430000000000004E-12</v>
      </c>
      <c r="AL58" s="11">
        <v>1.112E-5</v>
      </c>
      <c r="AM58" s="11">
        <v>-3.9490000000000002E-7</v>
      </c>
      <c r="AN58" s="11">
        <v>0</v>
      </c>
      <c r="AO58" s="10">
        <v>-1</v>
      </c>
      <c r="AP58" s="11">
        <v>-6.2599999999999999E-3</v>
      </c>
      <c r="AQ58" s="10">
        <v>20</v>
      </c>
    </row>
    <row r="59" spans="1:43">
      <c r="A59" s="10">
        <v>1100</v>
      </c>
      <c r="B59" s="10">
        <f t="shared" si="0"/>
        <v>108.86369999999999</v>
      </c>
      <c r="C59" s="10">
        <f t="shared" si="1"/>
        <v>0.1713025396329953</v>
      </c>
      <c r="D59" s="10">
        <f t="shared" si="2"/>
        <v>0.17825634908248822</v>
      </c>
      <c r="E59" s="10">
        <f t="shared" si="3"/>
        <v>2.1726778220642891E-10</v>
      </c>
      <c r="F59" s="10">
        <f t="shared" si="4"/>
        <v>2.1726778220642888E-10</v>
      </c>
      <c r="G59" s="10">
        <f t="shared" si="10"/>
        <v>19.405645709611271</v>
      </c>
      <c r="I59" s="10">
        <v>1450</v>
      </c>
      <c r="J59" s="10">
        <f t="shared" si="5"/>
        <v>143.50215</v>
      </c>
      <c r="K59" s="10">
        <f t="shared" si="6"/>
        <v>0.15937215636016216</v>
      </c>
      <c r="L59" s="10">
        <f t="shared" si="7"/>
        <v>0.16492265655600599</v>
      </c>
      <c r="M59" s="11">
        <f t="shared" si="11"/>
        <v>8.0091118547868304E-13</v>
      </c>
      <c r="N59" s="11">
        <f t="shared" si="8"/>
        <v>8.0091118547673162E-13</v>
      </c>
      <c r="O59" s="10">
        <f t="shared" si="9"/>
        <v>23.666755799498457</v>
      </c>
      <c r="R59" s="10">
        <v>44</v>
      </c>
      <c r="S59" s="10">
        <v>-3.4317000000000002</v>
      </c>
      <c r="T59" s="10">
        <v>-1456.165</v>
      </c>
      <c r="U59" s="10">
        <v>0.12479999999999999</v>
      </c>
      <c r="V59" s="11">
        <v>1.2219999999999999E-11</v>
      </c>
      <c r="W59" s="11">
        <v>1.1559999999999999E-5</v>
      </c>
      <c r="X59" s="11">
        <v>-8.1890000000000001E-8</v>
      </c>
      <c r="Y59" s="11">
        <v>0</v>
      </c>
      <c r="Z59" s="10">
        <v>-1</v>
      </c>
      <c r="AA59" s="11">
        <v>-2.0000000000000001E-4</v>
      </c>
      <c r="AB59" s="10">
        <v>20</v>
      </c>
      <c r="AG59" s="10">
        <v>47</v>
      </c>
      <c r="AH59" s="10">
        <v>-3.0078</v>
      </c>
      <c r="AI59" s="10">
        <v>-2859.73</v>
      </c>
      <c r="AJ59" s="10">
        <v>9.06E-2</v>
      </c>
      <c r="AK59" s="11">
        <v>4.4980000000000001E-13</v>
      </c>
      <c r="AL59" s="11">
        <v>3.0860000000000002E-6</v>
      </c>
      <c r="AM59" s="11">
        <v>-3.953E-7</v>
      </c>
      <c r="AN59" s="11">
        <v>0</v>
      </c>
      <c r="AO59" s="10">
        <v>-1</v>
      </c>
      <c r="AP59" s="11">
        <v>-6.2700000000000004E-3</v>
      </c>
      <c r="AQ59" s="10">
        <v>20</v>
      </c>
    </row>
    <row r="60" spans="1:43">
      <c r="A60" s="10">
        <v>1150</v>
      </c>
      <c r="B60" s="10">
        <f t="shared" si="0"/>
        <v>113.81205</v>
      </c>
      <c r="C60" s="10">
        <f t="shared" si="1"/>
        <v>0.16944395899481179</v>
      </c>
      <c r="D60" s="10">
        <f t="shared" si="2"/>
        <v>0.17360989748702946</v>
      </c>
      <c r="E60" s="10">
        <f t="shared" si="3"/>
        <v>1.8616444276358865E-10</v>
      </c>
      <c r="F60" s="10">
        <f t="shared" si="4"/>
        <v>1.8616444276356523E-10</v>
      </c>
      <c r="G60" s="10">
        <f t="shared" si="10"/>
        <v>19.75889833328867</v>
      </c>
      <c r="I60" s="10">
        <v>1500</v>
      </c>
      <c r="J60" s="10">
        <f t="shared" si="5"/>
        <v>148.45050000000001</v>
      </c>
      <c r="K60" s="10">
        <f t="shared" si="6"/>
        <v>0.15859355597878599</v>
      </c>
      <c r="L60" s="10">
        <f t="shared" si="7"/>
        <v>0.16275987771884998</v>
      </c>
      <c r="M60" s="11">
        <f t="shared" si="11"/>
        <v>7.2415040509522157E-13</v>
      </c>
      <c r="N60" s="11">
        <f t="shared" si="8"/>
        <v>7.2415040509522157E-13</v>
      </c>
      <c r="O60" s="10">
        <f t="shared" si="9"/>
        <v>24.16178522730214</v>
      </c>
      <c r="R60" s="10">
        <v>45</v>
      </c>
      <c r="S60" s="10">
        <v>-3.4546000000000001</v>
      </c>
      <c r="T60" s="10">
        <v>-1640.1780000000001</v>
      </c>
      <c r="U60" s="10">
        <v>0.1229</v>
      </c>
      <c r="V60" s="11">
        <v>8.1439999999999992E-12</v>
      </c>
      <c r="W60" s="11">
        <v>9.6490000000000003E-6</v>
      </c>
      <c r="X60" s="11">
        <v>-8.2119999999999997E-8</v>
      </c>
      <c r="Y60" s="11">
        <v>0</v>
      </c>
      <c r="Z60" s="10">
        <v>-1</v>
      </c>
      <c r="AA60" s="11">
        <v>-2.0100000000000001E-4</v>
      </c>
      <c r="AB60" s="10">
        <v>20</v>
      </c>
      <c r="AG60" s="10">
        <v>48</v>
      </c>
      <c r="AH60" s="10">
        <v>-3.02</v>
      </c>
      <c r="AI60" s="10">
        <v>-2859.7579999999998</v>
      </c>
      <c r="AJ60" s="10">
        <v>0.3392</v>
      </c>
      <c r="AK60" s="11">
        <v>2.4600000000000001E-7</v>
      </c>
      <c r="AL60" s="11">
        <v>1.7710000000000001E-6</v>
      </c>
      <c r="AM60" s="11">
        <v>-3.953E-7</v>
      </c>
      <c r="AN60" s="11">
        <v>0</v>
      </c>
      <c r="AO60" s="10">
        <v>-1</v>
      </c>
      <c r="AP60" s="11">
        <v>-6.2700000000000004E-3</v>
      </c>
      <c r="AQ60" s="10">
        <v>20</v>
      </c>
    </row>
    <row r="61" spans="1:43">
      <c r="A61" s="10">
        <v>1200</v>
      </c>
      <c r="B61" s="10">
        <f t="shared" si="0"/>
        <v>118.7604</v>
      </c>
      <c r="C61" s="10">
        <f t="shared" si="1"/>
        <v>0.16770878497120362</v>
      </c>
      <c r="D61" s="10">
        <f t="shared" si="2"/>
        <v>0.16927196242800902</v>
      </c>
      <c r="E61" s="10">
        <f t="shared" si="3"/>
        <v>1.6055517122844766E-10</v>
      </c>
      <c r="F61" s="10">
        <f t="shared" si="4"/>
        <v>1.6055517122841525E-10</v>
      </c>
      <c r="G61" s="10">
        <f t="shared" si="10"/>
        <v>20.102805966735321</v>
      </c>
      <c r="I61" s="10">
        <v>1550</v>
      </c>
      <c r="J61" s="10">
        <f t="shared" si="5"/>
        <v>153.39885000000001</v>
      </c>
      <c r="K61" s="10">
        <f t="shared" si="6"/>
        <v>0.15785015021005408</v>
      </c>
      <c r="L61" s="10">
        <f t="shared" si="7"/>
        <v>0.16069486169459465</v>
      </c>
      <c r="M61" s="11">
        <f t="shared" si="11"/>
        <v>6.5691026782891644E-13</v>
      </c>
      <c r="N61" s="11">
        <f t="shared" si="8"/>
        <v>6.5691026782891644E-13</v>
      </c>
      <c r="O61" s="10">
        <f t="shared" si="9"/>
        <v>24.650406984859874</v>
      </c>
      <c r="R61" s="10">
        <v>46</v>
      </c>
      <c r="S61" s="10">
        <v>-3.4748000000000001</v>
      </c>
      <c r="T61" s="10">
        <v>-1889.1189999999999</v>
      </c>
      <c r="U61" s="10">
        <v>0.1207</v>
      </c>
      <c r="V61" s="11">
        <v>5.2270000000000002E-12</v>
      </c>
      <c r="W61" s="11">
        <v>7.8320000000000006E-6</v>
      </c>
      <c r="X61" s="11">
        <v>-8.2269999999999995E-8</v>
      </c>
      <c r="Y61" s="11">
        <v>0</v>
      </c>
      <c r="Z61" s="10">
        <v>-1</v>
      </c>
      <c r="AA61" s="11">
        <v>-2.0100000000000001E-4</v>
      </c>
      <c r="AB61" s="10">
        <v>20</v>
      </c>
      <c r="AG61" s="10">
        <v>49</v>
      </c>
      <c r="AH61" s="10">
        <v>-3.1257999999999999</v>
      </c>
      <c r="AI61" s="10">
        <v>-2859.8220000000001</v>
      </c>
      <c r="AJ61" s="10">
        <v>0.3392</v>
      </c>
      <c r="AK61" s="11">
        <v>2.4600000000000001E-7</v>
      </c>
      <c r="AL61" s="11">
        <v>1.7710000000000001E-6</v>
      </c>
      <c r="AM61" s="11">
        <v>-3.9499999999999998E-7</v>
      </c>
      <c r="AN61" s="11">
        <v>0</v>
      </c>
      <c r="AO61" s="10">
        <v>-1</v>
      </c>
      <c r="AP61" s="11">
        <v>-6.2599999999999999E-3</v>
      </c>
      <c r="AQ61" s="10">
        <v>20</v>
      </c>
    </row>
    <row r="62" spans="1:43">
      <c r="A62" s="10">
        <v>1250</v>
      </c>
      <c r="B62" s="10">
        <f t="shared" si="0"/>
        <v>123.70874999999999</v>
      </c>
      <c r="C62" s="10">
        <f t="shared" si="1"/>
        <v>0.16608426601147475</v>
      </c>
      <c r="D62" s="10">
        <f t="shared" si="2"/>
        <v>0.16521066502868684</v>
      </c>
      <c r="E62" s="10">
        <f t="shared" si="3"/>
        <v>1.3929970646037368E-10</v>
      </c>
      <c r="F62" s="10">
        <f t="shared" si="4"/>
        <v>1.3929970646034366E-10</v>
      </c>
      <c r="G62" s="10">
        <f t="shared" si="10"/>
        <v>20.438004857367563</v>
      </c>
      <c r="I62" s="10">
        <v>1600</v>
      </c>
      <c r="J62" s="10">
        <f t="shared" si="5"/>
        <v>158.34719999999999</v>
      </c>
      <c r="K62" s="10">
        <f t="shared" si="6"/>
        <v>0.1571392904517761</v>
      </c>
      <c r="L62" s="10">
        <f t="shared" si="7"/>
        <v>0.15872025125493361</v>
      </c>
      <c r="M62" s="11">
        <f t="shared" si="11"/>
        <v>5.9775789964894763E-13</v>
      </c>
      <c r="N62" s="11">
        <f t="shared" si="8"/>
        <v>5.9775789964894763E-13</v>
      </c>
      <c r="O62" s="10">
        <f t="shared" si="9"/>
        <v>25.13290736951522</v>
      </c>
      <c r="R62" s="10">
        <v>47</v>
      </c>
      <c r="S62" s="10">
        <v>-3.4925000000000002</v>
      </c>
      <c r="T62" s="10">
        <v>-2236.2339999999999</v>
      </c>
      <c r="U62" s="10">
        <v>0.11840000000000001</v>
      </c>
      <c r="V62" s="11">
        <v>3.1500000000000001E-12</v>
      </c>
      <c r="W62" s="11">
        <v>6.1689999999999997E-6</v>
      </c>
      <c r="X62" s="11">
        <v>-8.2370000000000002E-8</v>
      </c>
      <c r="Y62" s="11">
        <v>0</v>
      </c>
      <c r="Z62" s="10">
        <v>-1</v>
      </c>
      <c r="AA62" s="11">
        <v>-2.0100000000000001E-4</v>
      </c>
      <c r="AB62" s="10">
        <v>20</v>
      </c>
      <c r="AG62" s="10">
        <v>50</v>
      </c>
      <c r="AH62" s="10">
        <v>-3.2317</v>
      </c>
      <c r="AI62" s="10">
        <v>-2859.886</v>
      </c>
      <c r="AJ62" s="10">
        <v>0.3392</v>
      </c>
      <c r="AK62" s="11">
        <v>2.4600000000000001E-7</v>
      </c>
      <c r="AL62" s="11">
        <v>1.7710000000000001E-6</v>
      </c>
      <c r="AM62" s="11">
        <v>-3.9499999999999998E-7</v>
      </c>
      <c r="AN62" s="11">
        <v>0</v>
      </c>
      <c r="AO62" s="10">
        <v>-1</v>
      </c>
      <c r="AP62" s="11">
        <v>-6.2599999999999999E-3</v>
      </c>
      <c r="AQ62" s="10">
        <v>20</v>
      </c>
    </row>
    <row r="63" spans="1:43">
      <c r="A63" s="10">
        <v>1300</v>
      </c>
      <c r="B63" s="10">
        <f t="shared" si="0"/>
        <v>128.65709999999999</v>
      </c>
      <c r="C63" s="10">
        <f t="shared" si="1"/>
        <v>0.16455940139429176</v>
      </c>
      <c r="D63" s="10">
        <f t="shared" si="2"/>
        <v>0.16139850348572937</v>
      </c>
      <c r="E63" s="10">
        <f t="shared" si="3"/>
        <v>1.2152707492521389E-10</v>
      </c>
      <c r="F63" s="10">
        <f t="shared" si="4"/>
        <v>1.2152707492517672E-10</v>
      </c>
      <c r="G63" s="10">
        <f t="shared" si="10"/>
        <v>20.76506340281383</v>
      </c>
      <c r="I63" s="10">
        <v>1650</v>
      </c>
      <c r="J63" s="10">
        <f t="shared" si="5"/>
        <v>163.29554999999999</v>
      </c>
      <c r="K63" s="10">
        <f t="shared" si="6"/>
        <v>0.15645860214301036</v>
      </c>
      <c r="L63" s="10">
        <f t="shared" si="7"/>
        <v>0.15682945039725099</v>
      </c>
      <c r="M63" s="11">
        <f t="shared" si="11"/>
        <v>5.4551176711152149E-13</v>
      </c>
      <c r="N63" s="11">
        <f t="shared" si="8"/>
        <v>5.4551176711088535E-13</v>
      </c>
      <c r="O63" s="10">
        <f t="shared" si="9"/>
        <v>25.60955135881682</v>
      </c>
      <c r="R63" s="10">
        <v>48</v>
      </c>
      <c r="S63" s="10">
        <v>-3.5074999999999998</v>
      </c>
      <c r="T63" s="10">
        <v>-2757.93</v>
      </c>
      <c r="U63" s="10">
        <v>0.1157</v>
      </c>
      <c r="V63" s="11">
        <v>1.6109999999999999E-12</v>
      </c>
      <c r="W63" s="11">
        <v>4.5290000000000002E-6</v>
      </c>
      <c r="X63" s="11">
        <v>-8.2609999999999997E-8</v>
      </c>
      <c r="Y63" s="11">
        <v>0</v>
      </c>
      <c r="Z63" s="10">
        <v>-1</v>
      </c>
      <c r="AA63" s="11">
        <v>-2.02E-4</v>
      </c>
      <c r="AB63" s="10">
        <v>20</v>
      </c>
      <c r="AG63" s="10">
        <v>51</v>
      </c>
      <c r="AH63" s="10">
        <v>-3.3374999999999999</v>
      </c>
      <c r="AI63" s="10">
        <v>-2859.95</v>
      </c>
      <c r="AJ63" s="10">
        <v>0.3392</v>
      </c>
      <c r="AK63" s="11">
        <v>2.4600000000000001E-7</v>
      </c>
      <c r="AL63" s="11">
        <v>1.7710000000000001E-6</v>
      </c>
      <c r="AM63" s="11">
        <v>-3.953E-7</v>
      </c>
      <c r="AN63" s="11">
        <v>0</v>
      </c>
      <c r="AO63" s="10">
        <v>-1</v>
      </c>
      <c r="AP63" s="11">
        <v>-6.2700000000000004E-3</v>
      </c>
      <c r="AQ63" s="10">
        <v>20</v>
      </c>
    </row>
    <row r="64" spans="1:43">
      <c r="A64" s="10">
        <v>1350</v>
      </c>
      <c r="B64" s="10">
        <f t="shared" si="0"/>
        <v>133.60544999999999</v>
      </c>
      <c r="C64" s="10">
        <f t="shared" si="1"/>
        <v>0.16312464590192821</v>
      </c>
      <c r="D64" s="10">
        <f t="shared" si="2"/>
        <v>0.1578116147548205</v>
      </c>
      <c r="E64" s="10">
        <f t="shared" si="3"/>
        <v>1.0656483680235012E-10</v>
      </c>
      <c r="F64" s="10">
        <f t="shared" si="4"/>
        <v>1.0656483680235013E-10</v>
      </c>
      <c r="G64" s="10">
        <f t="shared" si="10"/>
        <v>21.084491804544431</v>
      </c>
      <c r="I64" s="10">
        <v>1700</v>
      </c>
      <c r="J64" s="10">
        <f t="shared" si="5"/>
        <v>168.2439</v>
      </c>
      <c r="K64" s="10">
        <f t="shared" si="6"/>
        <v>0.15580594913858453</v>
      </c>
      <c r="L64" s="10">
        <f t="shared" si="7"/>
        <v>0.15501652538495703</v>
      </c>
      <c r="M64" s="11">
        <f t="shared" si="11"/>
        <v>4.9919168819877948E-13</v>
      </c>
      <c r="N64" s="11">
        <f t="shared" si="8"/>
        <v>4.9919168819908291E-13</v>
      </c>
      <c r="O64" s="10">
        <f t="shared" si="9"/>
        <v>26.080584795214172</v>
      </c>
      <c r="R64" s="10">
        <v>49</v>
      </c>
      <c r="S64" s="10">
        <v>-3.52</v>
      </c>
      <c r="T64" s="10">
        <v>-2757.933</v>
      </c>
      <c r="U64" s="10">
        <v>0.33939999999999998</v>
      </c>
      <c r="V64" s="11">
        <v>1.342E-7</v>
      </c>
      <c r="W64" s="11">
        <v>1.469E-6</v>
      </c>
      <c r="X64" s="11">
        <v>-8.2430000000000004E-8</v>
      </c>
      <c r="Y64" s="11">
        <v>0</v>
      </c>
      <c r="Z64" s="10">
        <v>-1</v>
      </c>
      <c r="AA64" s="11">
        <v>-2.02E-4</v>
      </c>
      <c r="AB64" s="10">
        <v>20</v>
      </c>
      <c r="AG64" s="10" t="s">
        <v>111</v>
      </c>
    </row>
    <row r="65" spans="1:28">
      <c r="A65" s="10">
        <v>1400</v>
      </c>
      <c r="B65" s="10">
        <f t="shared" si="0"/>
        <v>138.5538</v>
      </c>
      <c r="C65" s="10">
        <f t="shared" si="1"/>
        <v>0.16177167289523467</v>
      </c>
      <c r="D65" s="10">
        <f t="shared" si="2"/>
        <v>0.15442918223808666</v>
      </c>
      <c r="E65" s="10">
        <f t="shared" si="3"/>
        <v>9.3888673974273024E-11</v>
      </c>
      <c r="F65" s="10">
        <f t="shared" si="4"/>
        <v>9.3888673974256881E-11</v>
      </c>
      <c r="G65" s="10">
        <f t="shared" si="10"/>
        <v>21.396750029979412</v>
      </c>
      <c r="I65" s="10">
        <v>1750</v>
      </c>
      <c r="J65" s="10">
        <f t="shared" si="5"/>
        <v>173.19225</v>
      </c>
      <c r="K65" s="10">
        <f t="shared" si="6"/>
        <v>0.15517940360572374</v>
      </c>
      <c r="L65" s="10">
        <f t="shared" si="7"/>
        <v>0.15327612112701039</v>
      </c>
      <c r="M65" s="11">
        <f t="shared" si="11"/>
        <v>4.5797989385240215E-13</v>
      </c>
      <c r="N65" s="11">
        <f t="shared" si="8"/>
        <v>4.5797989385182255E-13</v>
      </c>
      <c r="O65" s="10">
        <f t="shared" si="9"/>
        <v>26.546236289259465</v>
      </c>
      <c r="R65" s="10">
        <v>50</v>
      </c>
      <c r="S65" s="10">
        <v>-3.6787999999999998</v>
      </c>
      <c r="T65" s="10">
        <v>-2757.8710000000001</v>
      </c>
      <c r="U65" s="10">
        <v>0.33939999999999998</v>
      </c>
      <c r="V65" s="11">
        <v>1.342E-7</v>
      </c>
      <c r="W65" s="11">
        <v>1.469E-6</v>
      </c>
      <c r="X65" s="11">
        <v>-8.2399999999999997E-8</v>
      </c>
      <c r="Y65" s="11">
        <v>0</v>
      </c>
      <c r="Z65" s="10">
        <v>-1</v>
      </c>
      <c r="AA65" s="11">
        <v>-2.0100000000000001E-4</v>
      </c>
      <c r="AB65" s="10">
        <v>20</v>
      </c>
    </row>
    <row r="66" spans="1:28">
      <c r="A66" s="10">
        <v>1450</v>
      </c>
      <c r="B66" s="10">
        <f t="shared" si="0"/>
        <v>143.50215</v>
      </c>
      <c r="C66" s="10">
        <f t="shared" si="1"/>
        <v>0.16049318266249171</v>
      </c>
      <c r="D66" s="10">
        <f t="shared" si="2"/>
        <v>0.15123295665622927</v>
      </c>
      <c r="E66" s="10">
        <f t="shared" si="3"/>
        <v>8.3086001327342749E-11</v>
      </c>
      <c r="F66" s="10">
        <f t="shared" si="4"/>
        <v>8.3086001327335188E-11</v>
      </c>
      <c r="G66" s="10">
        <f t="shared" si="10"/>
        <v>21.702254431025711</v>
      </c>
      <c r="I66" s="10">
        <v>1800</v>
      </c>
      <c r="J66" s="10">
        <f t="shared" si="5"/>
        <v>178.14060000000001</v>
      </c>
      <c r="K66" s="10">
        <f t="shared" si="6"/>
        <v>0.1545772204564938</v>
      </c>
      <c r="L66" s="10">
        <f t="shared" si="7"/>
        <v>0.15160339015692723</v>
      </c>
      <c r="M66" s="11">
        <f t="shared" si="11"/>
        <v>4.2119046558135498E-13</v>
      </c>
      <c r="N66" s="11">
        <f t="shared" si="8"/>
        <v>4.2119046558024628E-13</v>
      </c>
      <c r="O66" s="10">
        <f t="shared" si="9"/>
        <v>27.006718884589112</v>
      </c>
      <c r="R66" s="10">
        <v>51</v>
      </c>
      <c r="S66" s="10">
        <v>-3.8374999999999999</v>
      </c>
      <c r="T66" s="10">
        <v>-2757.81</v>
      </c>
      <c r="U66" s="10">
        <v>0.33939999999999998</v>
      </c>
      <c r="V66" s="11">
        <v>1.342E-7</v>
      </c>
      <c r="W66" s="11">
        <v>1.469E-6</v>
      </c>
      <c r="X66" s="11">
        <v>-8.2399999999999997E-8</v>
      </c>
      <c r="Y66" s="11">
        <v>0</v>
      </c>
      <c r="Z66" s="10">
        <v>-1</v>
      </c>
      <c r="AA66" s="11">
        <v>-2.0100000000000001E-4</v>
      </c>
      <c r="AB66" s="10">
        <v>20</v>
      </c>
    </row>
    <row r="67" spans="1:28">
      <c r="A67" s="10">
        <v>1500</v>
      </c>
      <c r="B67" s="10">
        <f t="shared" si="0"/>
        <v>148.45050000000001</v>
      </c>
      <c r="C67" s="10">
        <f t="shared" si="1"/>
        <v>0.15928274619644872</v>
      </c>
      <c r="D67" s="10">
        <f t="shared" si="2"/>
        <v>0.14820686549112178</v>
      </c>
      <c r="E67" s="10">
        <f t="shared" si="3"/>
        <v>7.3829382169610461E-11</v>
      </c>
      <c r="F67" s="10">
        <f t="shared" si="4"/>
        <v>7.3829382169596283E-11</v>
      </c>
      <c r="G67" s="10">
        <f t="shared" si="10"/>
        <v>22.001383285589775</v>
      </c>
      <c r="I67" s="10">
        <v>1850</v>
      </c>
      <c r="J67" s="10">
        <f t="shared" si="5"/>
        <v>183.08895000000001</v>
      </c>
      <c r="K67" s="10">
        <f t="shared" si="6"/>
        <v>0.15399781552794037</v>
      </c>
      <c r="L67" s="10">
        <f t="shared" si="7"/>
        <v>0.14999393202205658</v>
      </c>
      <c r="M67" s="11">
        <f t="shared" si="11"/>
        <v>3.8824517499115535E-13</v>
      </c>
      <c r="N67" s="11">
        <f t="shared" si="8"/>
        <v>3.882451749900938E-13</v>
      </c>
      <c r="O67" s="10">
        <f t="shared" si="9"/>
        <v>27.462231520289716</v>
      </c>
      <c r="R67" s="10" t="s">
        <v>111</v>
      </c>
    </row>
    <row r="68" spans="1:28">
      <c r="A68" s="10">
        <v>1550</v>
      </c>
      <c r="B68" s="10">
        <f t="shared" si="0"/>
        <v>153.39885000000001</v>
      </c>
      <c r="C68" s="10">
        <f t="shared" si="1"/>
        <v>0.15813467693763586</v>
      </c>
      <c r="D68" s="10">
        <f t="shared" si="2"/>
        <v>0.14533669234408964</v>
      </c>
      <c r="E68" s="10">
        <f t="shared" si="3"/>
        <v>6.5856887812528257E-11</v>
      </c>
      <c r="F68" s="10">
        <f t="shared" si="4"/>
        <v>6.5856887812534926E-11</v>
      </c>
      <c r="G68" s="10">
        <f t="shared" si="10"/>
        <v>22.294481468387154</v>
      </c>
      <c r="I68" s="10">
        <v>1900</v>
      </c>
      <c r="J68" s="10">
        <f t="shared" si="5"/>
        <v>188.03729999999999</v>
      </c>
      <c r="K68" s="10">
        <f t="shared" si="6"/>
        <v>0.15343974687596817</v>
      </c>
      <c r="L68" s="10">
        <f t="shared" si="7"/>
        <v>0.14844374132213381</v>
      </c>
      <c r="M68" s="11">
        <f t="shared" si="11"/>
        <v>3.5865425491518845E-13</v>
      </c>
      <c r="N68" s="11">
        <f t="shared" si="8"/>
        <v>3.5865425491442519E-13</v>
      </c>
      <c r="O68" s="10">
        <f t="shared" si="9"/>
        <v>27.912960320112472</v>
      </c>
    </row>
    <row r="69" spans="1:28">
      <c r="A69" s="10">
        <v>1600</v>
      </c>
      <c r="B69" s="10">
        <f t="shared" si="0"/>
        <v>158.34719999999999</v>
      </c>
      <c r="C69" s="10">
        <f t="shared" si="1"/>
        <v>0.15704392477366239</v>
      </c>
      <c r="D69" s="10">
        <f t="shared" si="2"/>
        <v>0.14260981193415595</v>
      </c>
      <c r="E69" s="10">
        <f t="shared" si="3"/>
        <v>5.8957435524090865E-11</v>
      </c>
      <c r="F69" s="10">
        <f t="shared" si="4"/>
        <v>5.8957435524078315E-11</v>
      </c>
      <c r="G69" s="10">
        <f t="shared" si="10"/>
        <v>22.581864412300177</v>
      </c>
      <c r="I69" s="10">
        <v>1950</v>
      </c>
      <c r="J69" s="10">
        <f t="shared" si="5"/>
        <v>192.98564999999999</v>
      </c>
      <c r="K69" s="10">
        <f t="shared" si="6"/>
        <v>0.15290169866981868</v>
      </c>
      <c r="L69" s="10">
        <f t="shared" si="7"/>
        <v>0.14694916297171853</v>
      </c>
      <c r="M69" s="11">
        <f t="shared" si="11"/>
        <v>3.3200099771337837E-13</v>
      </c>
      <c r="N69" s="11">
        <f t="shared" si="8"/>
        <v>3.3200099771313421E-13</v>
      </c>
      <c r="O69" s="10">
        <f t="shared" si="9"/>
        <v>28.359079733053033</v>
      </c>
    </row>
    <row r="70" spans="1:28">
      <c r="A70" s="10">
        <v>1650</v>
      </c>
      <c r="B70" s="10">
        <f t="shared" si="0"/>
        <v>163.29554999999999</v>
      </c>
      <c r="C70" s="10">
        <f t="shared" si="1"/>
        <v>0.15600598788501044</v>
      </c>
      <c r="D70" s="10">
        <f t="shared" si="2"/>
        <v>0.14001496971252608</v>
      </c>
      <c r="E70" s="10">
        <f t="shared" si="3"/>
        <v>5.295973603364563E-11</v>
      </c>
      <c r="F70" s="10">
        <f t="shared" si="4"/>
        <v>5.2959736033639717E-11</v>
      </c>
      <c r="G70" s="10">
        <f t="shared" si="10"/>
        <v>22.863821487440287</v>
      </c>
      <c r="I70" s="10">
        <v>2000</v>
      </c>
      <c r="J70" s="10">
        <f t="shared" si="5"/>
        <v>197.934</v>
      </c>
      <c r="K70" s="10">
        <f t="shared" si="6"/>
        <v>0.15238246726933813</v>
      </c>
      <c r="L70" s="10">
        <f t="shared" si="7"/>
        <v>0.14550685352593923</v>
      </c>
      <c r="M70" s="11">
        <f t="shared" si="11"/>
        <v>3.079293444840812E-13</v>
      </c>
      <c r="N70" s="11">
        <f t="shared" si="8"/>
        <v>3.0792934448337756E-13</v>
      </c>
      <c r="O70" s="10">
        <f t="shared" si="9"/>
        <v>28.800753545803254</v>
      </c>
    </row>
    <row r="71" spans="1:28">
      <c r="A71" s="10">
        <v>1700</v>
      </c>
      <c r="B71" s="10">
        <f t="shared" si="0"/>
        <v>168.2439</v>
      </c>
      <c r="C71" s="10">
        <f t="shared" si="1"/>
        <v>0.1550168390034328</v>
      </c>
      <c r="D71" s="10">
        <f t="shared" si="2"/>
        <v>0.13754209750858198</v>
      </c>
      <c r="E71" s="10">
        <f t="shared" si="3"/>
        <v>4.7723885856695501E-11</v>
      </c>
      <c r="F71" s="10">
        <f t="shared" si="4"/>
        <v>4.7723885856695507E-11</v>
      </c>
      <c r="G71" s="10">
        <f t="shared" si="10"/>
        <v>23.140618899024116</v>
      </c>
      <c r="I71" s="10">
        <v>2050</v>
      </c>
      <c r="J71" s="10">
        <f t="shared" si="5"/>
        <v>202.88235</v>
      </c>
      <c r="K71" s="10">
        <f t="shared" si="6"/>
        <v>0.15188094914294606</v>
      </c>
      <c r="L71" s="10">
        <f t="shared" si="7"/>
        <v>0.1441137476192946</v>
      </c>
      <c r="M71" s="11">
        <f t="shared" si="11"/>
        <v>2.8613382716086874E-13</v>
      </c>
      <c r="N71" s="11">
        <f t="shared" si="8"/>
        <v>2.8613382716086874E-13</v>
      </c>
      <c r="O71" s="10">
        <f t="shared" si="9"/>
        <v>29.238135784309396</v>
      </c>
    </row>
    <row r="72" spans="1:28">
      <c r="A72" s="10">
        <v>1750</v>
      </c>
      <c r="B72" s="10">
        <f t="shared" si="0"/>
        <v>173.19225</v>
      </c>
      <c r="C72" s="10">
        <f t="shared" si="1"/>
        <v>0.1540728633875616</v>
      </c>
      <c r="D72" s="10">
        <f t="shared" si="2"/>
        <v>0.13518215846890397</v>
      </c>
      <c r="E72" s="10">
        <f t="shared" si="3"/>
        <v>4.3134916772554812E-11</v>
      </c>
      <c r="F72" s="10">
        <f t="shared" si="4"/>
        <v>4.3134916772528316E-11</v>
      </c>
      <c r="G72" s="10">
        <f t="shared" si="10"/>
        <v>23.412502185086034</v>
      </c>
      <c r="I72" s="10">
        <v>2100</v>
      </c>
      <c r="J72" s="10">
        <f t="shared" si="5"/>
        <v>207.83070000000001</v>
      </c>
      <c r="K72" s="10">
        <f t="shared" si="6"/>
        <v>0.15139613034473026</v>
      </c>
      <c r="L72" s="10">
        <f t="shared" si="7"/>
        <v>0.14276702873536182</v>
      </c>
      <c r="M72" s="11">
        <f t="shared" si="11"/>
        <v>2.6635137321072216E-13</v>
      </c>
      <c r="N72" s="11">
        <f t="shared" si="8"/>
        <v>2.6635137321050502E-13</v>
      </c>
      <c r="O72" s="10">
        <f t="shared" si="9"/>
        <v>29.671371518990362</v>
      </c>
    </row>
    <row r="73" spans="1:28">
      <c r="A73" s="10">
        <v>1800</v>
      </c>
      <c r="B73" s="10">
        <f t="shared" si="0"/>
        <v>178.14060000000001</v>
      </c>
      <c r="C73" s="10">
        <f t="shared" si="1"/>
        <v>0.15317080638423031</v>
      </c>
      <c r="D73" s="10">
        <f t="shared" si="2"/>
        <v>0.13292701596057574</v>
      </c>
      <c r="E73" s="10">
        <f t="shared" si="3"/>
        <v>3.9097807058679456E-11</v>
      </c>
      <c r="F73" s="10">
        <f t="shared" si="4"/>
        <v>3.9097807058679456E-11</v>
      </c>
      <c r="G73" s="10">
        <f t="shared" si="10"/>
        <v>23.67969837942654</v>
      </c>
      <c r="I73" s="10">
        <v>2150</v>
      </c>
      <c r="J73" s="10">
        <f t="shared" si="5"/>
        <v>212.77905000000001</v>
      </c>
      <c r="K73" s="10">
        <f t="shared" si="6"/>
        <v>0.15092707731773755</v>
      </c>
      <c r="L73" s="10">
        <f t="shared" si="7"/>
        <v>0.14146410366038209</v>
      </c>
      <c r="M73" s="11">
        <f t="shared" si="11"/>
        <v>2.4835459360135747E-13</v>
      </c>
      <c r="N73" s="11">
        <f t="shared" si="8"/>
        <v>2.4835459360135747E-13</v>
      </c>
      <c r="O73" s="10">
        <f t="shared" si="9"/>
        <v>30.100597585957626</v>
      </c>
    </row>
    <row r="74" spans="1:28">
      <c r="A74" s="10">
        <v>1850</v>
      </c>
      <c r="B74" s="10">
        <f t="shared" si="0"/>
        <v>183.08895000000001</v>
      </c>
      <c r="C74" s="10">
        <f t="shared" si="1"/>
        <v>0.15230772887811125</v>
      </c>
      <c r="D74" s="10">
        <f t="shared" si="2"/>
        <v>0.13076932219527812</v>
      </c>
      <c r="E74" s="10">
        <f t="shared" si="3"/>
        <v>3.5533594027723475E-11</v>
      </c>
      <c r="F74" s="10">
        <f t="shared" si="4"/>
        <v>3.5533594027723481E-11</v>
      </c>
      <c r="G74" s="10">
        <f t="shared" si="10"/>
        <v>23.942417892945169</v>
      </c>
      <c r="I74" s="10">
        <v>2200</v>
      </c>
      <c r="J74" s="10">
        <f t="shared" si="5"/>
        <v>217.72739999999999</v>
      </c>
      <c r="K74" s="10">
        <f t="shared" si="6"/>
        <v>0.15047292882985502</v>
      </c>
      <c r="L74" s="10">
        <f t="shared" si="7"/>
        <v>0.1402025800829306</v>
      </c>
      <c r="M74" s="11">
        <f t="shared" si="11"/>
        <v>2.319462586633222E-13</v>
      </c>
      <c r="N74" s="11">
        <f t="shared" si="8"/>
        <v>2.3194625866251552E-13</v>
      </c>
      <c r="O74" s="10">
        <f t="shared" si="9"/>
        <v>30.525943234748262</v>
      </c>
    </row>
    <row r="75" spans="1:28">
      <c r="A75" s="10">
        <v>1900</v>
      </c>
      <c r="B75" s="10">
        <f t="shared" si="0"/>
        <v>188.03729999999999</v>
      </c>
      <c r="C75" s="10">
        <f t="shared" si="1"/>
        <v>0.15148096926902538</v>
      </c>
      <c r="D75" s="10">
        <f t="shared" si="2"/>
        <v>0.12870242317256342</v>
      </c>
      <c r="E75" s="10">
        <f t="shared" si="3"/>
        <v>3.2376323130792673E-11</v>
      </c>
      <c r="F75" s="10">
        <f t="shared" si="4"/>
        <v>3.2376323130765467E-11</v>
      </c>
      <c r="G75" s="10">
        <f t="shared" si="10"/>
        <v>24.200856156826259</v>
      </c>
      <c r="I75" s="10">
        <v>2250</v>
      </c>
      <c r="J75" s="10">
        <f t="shared" si="5"/>
        <v>222.67574999999999</v>
      </c>
      <c r="K75" s="10">
        <f t="shared" si="6"/>
        <v>0.15003288888062866</v>
      </c>
      <c r="L75" s="10">
        <f t="shared" si="7"/>
        <v>0.13898024689063515</v>
      </c>
      <c r="M75" s="11">
        <f t="shared" si="11"/>
        <v>2.1695473040507658E-13</v>
      </c>
      <c r="N75" s="11">
        <f t="shared" si="8"/>
        <v>2.1695473040468735E-13</v>
      </c>
      <c r="O75" s="10">
        <f t="shared" si="9"/>
        <v>30.947530711557349</v>
      </c>
    </row>
    <row r="76" spans="1:28">
      <c r="A76" s="10">
        <v>1950</v>
      </c>
      <c r="B76" s="10">
        <f t="shared" si="0"/>
        <v>192.98564999999999</v>
      </c>
      <c r="C76" s="10">
        <f t="shared" si="1"/>
        <v>0.15068811087942199</v>
      </c>
      <c r="D76" s="10">
        <f t="shared" si="2"/>
        <v>0.12672027719855497</v>
      </c>
      <c r="E76" s="10">
        <f t="shared" si="3"/>
        <v>2.957063746603949E-11</v>
      </c>
      <c r="F76" s="10">
        <f t="shared" si="4"/>
        <v>2.9570637466030856E-11</v>
      </c>
      <c r="G76" s="10">
        <f t="shared" si="10"/>
        <v>24.455195063343311</v>
      </c>
      <c r="I76" s="10">
        <v>2300</v>
      </c>
      <c r="J76" s="10">
        <f t="shared" si="5"/>
        <v>227.6241</v>
      </c>
      <c r="K76" s="10">
        <f t="shared" si="6"/>
        <v>0.14960622044346655</v>
      </c>
      <c r="L76" s="10">
        <f t="shared" si="7"/>
        <v>0.13779505678740708</v>
      </c>
      <c r="M76" s="11">
        <f t="shared" si="11"/>
        <v>2.0323016890249106E-13</v>
      </c>
      <c r="N76" s="11">
        <f t="shared" si="8"/>
        <v>2.0323016890192709E-13</v>
      </c>
      <c r="O76" s="10">
        <f t="shared" si="9"/>
        <v>31.365475785682428</v>
      </c>
    </row>
    <row r="77" spans="1:28">
      <c r="A77" s="10">
        <v>2000</v>
      </c>
      <c r="B77" s="10">
        <f t="shared" si="0"/>
        <v>197.934</v>
      </c>
      <c r="C77" s="10">
        <f t="shared" si="1"/>
        <v>0.14992695390155567</v>
      </c>
      <c r="D77" s="10">
        <f t="shared" si="2"/>
        <v>0.12481738475388915</v>
      </c>
      <c r="E77" s="10">
        <f t="shared" si="3"/>
        <v>2.706986112752027E-11</v>
      </c>
      <c r="F77" s="10">
        <f t="shared" si="4"/>
        <v>2.7069861127516164E-11</v>
      </c>
      <c r="G77" s="10">
        <f t="shared" si="10"/>
        <v>24.705604233876294</v>
      </c>
      <c r="I77" s="10">
        <v>2350</v>
      </c>
      <c r="J77" s="10">
        <f t="shared" si="5"/>
        <v>232.57245</v>
      </c>
      <c r="K77" s="10">
        <f t="shared" si="6"/>
        <v>0.1491922399290897</v>
      </c>
      <c r="L77" s="10">
        <f t="shared" si="7"/>
        <v>0.13664511091413803</v>
      </c>
      <c r="M77" s="11">
        <f t="shared" si="11"/>
        <v>1.9064136821276087E-13</v>
      </c>
      <c r="N77" s="11">
        <f t="shared" si="8"/>
        <v>1.906413682125792E-13</v>
      </c>
      <c r="O77" s="10">
        <f t="shared" si="9"/>
        <v>31.779888225822823</v>
      </c>
    </row>
    <row r="78" spans="1:28">
      <c r="A78" s="10">
        <v>2050</v>
      </c>
      <c r="B78" s="10">
        <f t="shared" ref="B78:B141" si="12">0.098967*A78</f>
        <v>202.88235</v>
      </c>
      <c r="C78" s="10">
        <f t="shared" ref="C78:C141" si="13">$B$6+(($B$7-$B$6)/(1+($B$3*A78)^$B$4)^$B$5)</f>
        <v>0.14919549115782749</v>
      </c>
      <c r="D78" s="10">
        <f t="shared" ref="D78:D141" si="14">(C78-$B$6)/($B$7-$B$6)</f>
        <v>0.1229887278945687</v>
      </c>
      <c r="E78" s="10">
        <f t="shared" ref="E78:E141" si="15">$B$8*D78^$B$9*(1-(1-D78^(1/$B$5))^$B$5)^2</f>
        <v>2.4834466018622397E-11</v>
      </c>
      <c r="F78" s="10">
        <f t="shared" ref="F78:F141" si="16">$B$8*((1-(($B$3*A78)^($B$4-1))*(1+($B$3*A78)^$B$4)^(-1+1/$B$4))^2)/(1+($B$3*A78)^$B$4)^(0.5-(1/(2*$B$4)))</f>
        <v>2.4834466018618475E-11</v>
      </c>
      <c r="G78" s="10">
        <f t="shared" si="10"/>
        <v>24.952242138760649</v>
      </c>
      <c r="I78" s="10">
        <v>2400</v>
      </c>
      <c r="J78" s="10">
        <f t="shared" ref="J78:J141" si="17">0.098967*I78</f>
        <v>237.52080000000001</v>
      </c>
      <c r="K78" s="10">
        <f t="shared" ref="K78:K141" si="18">$J$6+(($J$7-$J$6)/(1+($J$3*I78)^$J$4)^$J$5)</f>
        <v>0.14879031227375011</v>
      </c>
      <c r="L78" s="10">
        <f t="shared" ref="L78:L141" si="19">(K78-$J$6)/($J$7-$J$6)</f>
        <v>0.13552864520486141</v>
      </c>
      <c r="M78" s="11">
        <f t="shared" si="11"/>
        <v>1.7907310666253749E-13</v>
      </c>
      <c r="N78" s="11">
        <f t="shared" ref="N78:N141" si="20">$J$8*((1-(($J$3*I78)^($J$4-1))*(1+($J$3*I78)^$J$4)^(-1+1/$J$4))^2)/(1+($J$3*I78)^$J$4)^(0.5-(1/(2*$J$4)))</f>
        <v>1.7907310666236182E-13</v>
      </c>
      <c r="O78" s="10">
        <f t="shared" ref="O78:O141" si="21">L78*J78</f>
        <v>32.190872231974843</v>
      </c>
    </row>
    <row r="79" spans="1:28">
      <c r="A79" s="10">
        <v>2100</v>
      </c>
      <c r="B79" s="10">
        <f t="shared" si="12"/>
        <v>207.83070000000001</v>
      </c>
      <c r="C79" s="10">
        <f t="shared" si="13"/>
        <v>0.14849188707837879</v>
      </c>
      <c r="D79" s="10">
        <f t="shared" si="14"/>
        <v>0.12122971769594697</v>
      </c>
      <c r="E79" s="10">
        <f t="shared" si="15"/>
        <v>2.2830838385114733E-11</v>
      </c>
      <c r="F79" s="10">
        <f t="shared" si="16"/>
        <v>2.2830838385118481E-11</v>
      </c>
      <c r="G79" s="10">
        <f t="shared" ref="G79:G142" si="22">D79*B79</f>
        <v>25.195257089551045</v>
      </c>
      <c r="I79" s="10">
        <v>2450</v>
      </c>
      <c r="J79" s="10">
        <f t="shared" si="17"/>
        <v>242.46914999999998</v>
      </c>
      <c r="K79" s="10">
        <f t="shared" si="18"/>
        <v>0.1483998465703539</v>
      </c>
      <c r="L79" s="10">
        <f t="shared" si="19"/>
        <v>0.13444401825098307</v>
      </c>
      <c r="M79" s="11">
        <f t="shared" ref="M79:M142" si="23">$J$8*L79^$J$9*(1-(1-L79^(1/$J$5))^$J$5)^2</f>
        <v>1.6842391928719854E-13</v>
      </c>
      <c r="N79" s="11">
        <f t="shared" si="20"/>
        <v>1.6842391928719854E-13</v>
      </c>
      <c r="O79" s="10">
        <f t="shared" si="21"/>
        <v>32.598526827900351</v>
      </c>
    </row>
    <row r="80" spans="1:28">
      <c r="A80" s="10">
        <v>2150</v>
      </c>
      <c r="B80" s="10">
        <f t="shared" si="12"/>
        <v>212.77905000000001</v>
      </c>
      <c r="C80" s="10">
        <f t="shared" si="13"/>
        <v>0.14781445940470489</v>
      </c>
      <c r="D80" s="10">
        <f t="shared" si="14"/>
        <v>0.11953614851176221</v>
      </c>
      <c r="E80" s="10">
        <f t="shared" si="15"/>
        <v>2.1030281076442224E-11</v>
      </c>
      <c r="F80" s="10">
        <f t="shared" si="16"/>
        <v>2.1030281076427877E-11</v>
      </c>
      <c r="G80" s="10">
        <f t="shared" si="22"/>
        <v>25.43478812099168</v>
      </c>
      <c r="I80" s="10">
        <v>2500</v>
      </c>
      <c r="J80" s="10">
        <f t="shared" si="17"/>
        <v>247.41749999999999</v>
      </c>
      <c r="K80" s="10">
        <f t="shared" si="18"/>
        <v>0.14802029217278334</v>
      </c>
      <c r="L80" s="10">
        <f t="shared" si="19"/>
        <v>0.13338970047995372</v>
      </c>
      <c r="M80" s="11">
        <f t="shared" si="23"/>
        <v>1.5860421822560451E-13</v>
      </c>
      <c r="N80" s="11">
        <f t="shared" si="20"/>
        <v>1.5860421822560454E-13</v>
      </c>
      <c r="O80" s="10">
        <f t="shared" si="21"/>
        <v>33.002946218498948</v>
      </c>
    </row>
    <row r="81" spans="1:15">
      <c r="A81" s="10">
        <v>2200</v>
      </c>
      <c r="B81" s="10">
        <f t="shared" si="12"/>
        <v>217.72739999999999</v>
      </c>
      <c r="C81" s="10">
        <f t="shared" si="13"/>
        <v>0.14716166321241142</v>
      </c>
      <c r="D81" s="10">
        <f t="shared" si="14"/>
        <v>0.11790415803102854</v>
      </c>
      <c r="E81" s="10">
        <f t="shared" si="15"/>
        <v>1.9408202308084211E-11</v>
      </c>
      <c r="F81" s="10">
        <f t="shared" si="16"/>
        <v>1.9408202308070469E-11</v>
      </c>
      <c r="G81" s="10">
        <f t="shared" si="22"/>
        <v>25.670965777284962</v>
      </c>
      <c r="I81" s="10">
        <v>2550</v>
      </c>
      <c r="J81" s="10">
        <f t="shared" si="17"/>
        <v>252.36584999999999</v>
      </c>
      <c r="K81" s="10">
        <f t="shared" si="18"/>
        <v>0.14765113521385625</v>
      </c>
      <c r="L81" s="10">
        <f t="shared" si="19"/>
        <v>0.13236426448293404</v>
      </c>
      <c r="M81" s="11">
        <f t="shared" si="23"/>
        <v>1.4953470107931849E-13</v>
      </c>
      <c r="N81" s="11">
        <f t="shared" si="20"/>
        <v>1.495347010794781E-13</v>
      </c>
      <c r="O81" s="10">
        <f t="shared" si="21"/>
        <v>33.404220115860454</v>
      </c>
    </row>
    <row r="82" spans="1:15">
      <c r="A82" s="10">
        <v>2250</v>
      </c>
      <c r="B82" s="10">
        <f t="shared" si="12"/>
        <v>222.67574999999999</v>
      </c>
      <c r="C82" s="10">
        <f t="shared" si="13"/>
        <v>0.14653207691457307</v>
      </c>
      <c r="D82" s="10">
        <f t="shared" si="14"/>
        <v>0.11633019228643265</v>
      </c>
      <c r="E82" s="10">
        <f t="shared" si="15"/>
        <v>1.7943452812186682E-11</v>
      </c>
      <c r="F82" s="10">
        <f t="shared" si="16"/>
        <v>1.7943452812173512E-11</v>
      </c>
      <c r="G82" s="10">
        <f t="shared" si="22"/>
        <v>25.903912815025606</v>
      </c>
      <c r="I82" s="10">
        <v>2600</v>
      </c>
      <c r="J82" s="10">
        <f t="shared" si="17"/>
        <v>257.31419999999997</v>
      </c>
      <c r="K82" s="10">
        <f t="shared" si="18"/>
        <v>0.14729189548586469</v>
      </c>
      <c r="L82" s="10">
        <f t="shared" si="19"/>
        <v>0.13136637634962411</v>
      </c>
      <c r="M82" s="11">
        <f t="shared" si="23"/>
        <v>1.411449985289184E-13</v>
      </c>
      <c r="N82" s="11">
        <f t="shared" si="20"/>
        <v>1.4114499852814446E-13</v>
      </c>
      <c r="O82" s="10">
        <f t="shared" si="21"/>
        <v>33.802434037302447</v>
      </c>
    </row>
    <row r="83" spans="1:15">
      <c r="A83" s="10">
        <v>2300</v>
      </c>
      <c r="B83" s="10">
        <f t="shared" si="12"/>
        <v>227.6241</v>
      </c>
      <c r="C83" s="10">
        <f t="shared" si="13"/>
        <v>0.14592438996279283</v>
      </c>
      <c r="D83" s="10">
        <f t="shared" si="14"/>
        <v>0.11481097490698207</v>
      </c>
      <c r="E83" s="10">
        <f t="shared" si="15"/>
        <v>1.6617781688573071E-11</v>
      </c>
      <c r="F83" s="10">
        <f t="shared" si="16"/>
        <v>1.6617781688560443E-11</v>
      </c>
      <c r="G83" s="10">
        <f t="shared" si="22"/>
        <v>26.133744833324378</v>
      </c>
      <c r="I83" s="10">
        <v>2650</v>
      </c>
      <c r="J83" s="10">
        <f t="shared" si="17"/>
        <v>262.26254999999998</v>
      </c>
      <c r="K83" s="10">
        <f t="shared" si="18"/>
        <v>0.14694212363978443</v>
      </c>
      <c r="L83" s="10">
        <f t="shared" si="19"/>
        <v>0.13039478788829006</v>
      </c>
      <c r="M83" s="11">
        <f t="shared" si="23"/>
        <v>1.3337252148291526E-13</v>
      </c>
      <c r="N83" s="11">
        <f t="shared" si="20"/>
        <v>1.3337252148261491E-13</v>
      </c>
      <c r="O83" s="10">
        <f t="shared" si="21"/>
        <v>34.197669578292064</v>
      </c>
    </row>
    <row r="84" spans="1:15">
      <c r="A84" s="10">
        <v>2350</v>
      </c>
      <c r="B84" s="10">
        <f t="shared" si="12"/>
        <v>232.57245</v>
      </c>
      <c r="C84" s="10">
        <f t="shared" si="13"/>
        <v>0.1453373920085754</v>
      </c>
      <c r="D84" s="10">
        <f t="shared" si="14"/>
        <v>0.11334348002143849</v>
      </c>
      <c r="E84" s="10">
        <f t="shared" si="15"/>
        <v>1.5415387695828835E-11</v>
      </c>
      <c r="F84" s="10">
        <f t="shared" si="16"/>
        <v>1.5415387695816709E-11</v>
      </c>
      <c r="G84" s="10">
        <f t="shared" si="22"/>
        <v>26.360570840112</v>
      </c>
      <c r="I84" s="10">
        <v>2700</v>
      </c>
      <c r="J84" s="10">
        <f t="shared" si="17"/>
        <v>267.21089999999998</v>
      </c>
      <c r="K84" s="10">
        <f t="shared" si="18"/>
        <v>0.14660139866528177</v>
      </c>
      <c r="L84" s="10">
        <f t="shared" si="19"/>
        <v>0.12944832962578268</v>
      </c>
      <c r="M84" s="11">
        <f t="shared" si="23"/>
        <v>1.2616147523369451E-13</v>
      </c>
      <c r="N84" s="11">
        <f t="shared" si="20"/>
        <v>1.2616147523354875E-13</v>
      </c>
      <c r="O84" s="10">
        <f t="shared" si="21"/>
        <v>34.590004662802052</v>
      </c>
    </row>
    <row r="85" spans="1:15">
      <c r="A85" s="10">
        <v>2400</v>
      </c>
      <c r="B85" s="10">
        <f t="shared" si="12"/>
        <v>237.52080000000001</v>
      </c>
      <c r="C85" s="10">
        <f t="shared" si="13"/>
        <v>0.14476996332503533</v>
      </c>
      <c r="D85" s="10">
        <f t="shared" si="14"/>
        <v>0.11192490831258832</v>
      </c>
      <c r="E85" s="10">
        <f t="shared" si="15"/>
        <v>1.4322547656855341E-11</v>
      </c>
      <c r="F85" s="10">
        <f t="shared" si="16"/>
        <v>1.432254765684078E-11</v>
      </c>
      <c r="G85" s="10">
        <f t="shared" si="22"/>
        <v>26.584493762332627</v>
      </c>
      <c r="I85" s="10">
        <v>2750</v>
      </c>
      <c r="J85" s="10">
        <f t="shared" si="17"/>
        <v>272.15924999999999</v>
      </c>
      <c r="K85" s="10">
        <f t="shared" si="18"/>
        <v>0.14626932561875425</v>
      </c>
      <c r="L85" s="10">
        <f t="shared" si="19"/>
        <v>0.12852590449653956</v>
      </c>
      <c r="M85" s="11">
        <f t="shared" si="23"/>
        <v>1.194620138815266E-13</v>
      </c>
      <c r="N85" s="11">
        <f t="shared" si="20"/>
        <v>1.194620138811017E-13</v>
      </c>
      <c r="O85" s="10">
        <f t="shared" si="21"/>
        <v>34.979513773349829</v>
      </c>
    </row>
    <row r="86" spans="1:15">
      <c r="A86" s="10">
        <v>2450</v>
      </c>
      <c r="B86" s="10">
        <f t="shared" si="12"/>
        <v>242.46914999999998</v>
      </c>
      <c r="C86" s="10">
        <f t="shared" si="13"/>
        <v>0.14422106631983583</v>
      </c>
      <c r="D86" s="10">
        <f t="shared" si="14"/>
        <v>0.11055266579958957</v>
      </c>
      <c r="E86" s="10">
        <f t="shared" si="15"/>
        <v>1.3327307464400976E-11</v>
      </c>
      <c r="F86" s="10">
        <f t="shared" si="16"/>
        <v>1.3327307464386969E-11</v>
      </c>
      <c r="G86" s="10">
        <f t="shared" si="22"/>
        <v>26.805610906660551</v>
      </c>
      <c r="I86" s="10">
        <v>2800</v>
      </c>
      <c r="J86" s="10">
        <f t="shared" si="17"/>
        <v>277.10759999999999</v>
      </c>
      <c r="K86" s="10">
        <f t="shared" si="18"/>
        <v>0.14594553357098361</v>
      </c>
      <c r="L86" s="10">
        <f t="shared" si="19"/>
        <v>0.12762648214162112</v>
      </c>
      <c r="M86" s="11">
        <f t="shared" si="23"/>
        <v>1.1322951296071104E-13</v>
      </c>
      <c r="N86" s="11">
        <f t="shared" si="20"/>
        <v>1.1322951296002279E-13</v>
      </c>
      <c r="O86" s="10">
        <f t="shared" si="21"/>
        <v>35.366268162707485</v>
      </c>
    </row>
    <row r="87" spans="1:15">
      <c r="A87" s="10">
        <v>2500</v>
      </c>
      <c r="B87" s="10">
        <f t="shared" si="12"/>
        <v>247.41749999999999</v>
      </c>
      <c r="C87" s="10">
        <f t="shared" si="13"/>
        <v>0.1436897379958457</v>
      </c>
      <c r="D87" s="10">
        <f t="shared" si="14"/>
        <v>0.10922434498961422</v>
      </c>
      <c r="E87" s="10">
        <f t="shared" si="15"/>
        <v>1.2419224132146557E-11</v>
      </c>
      <c r="F87" s="10">
        <f t="shared" si="16"/>
        <v>1.2419224132146559E-11</v>
      </c>
      <c r="G87" s="10">
        <f t="shared" si="22"/>
        <v>27.024014376467875</v>
      </c>
      <c r="I87" s="10">
        <v>2850</v>
      </c>
      <c r="J87" s="10">
        <f t="shared" si="17"/>
        <v>282.05595</v>
      </c>
      <c r="K87" s="10">
        <f t="shared" si="18"/>
        <v>0.14562967374967939</v>
      </c>
      <c r="L87" s="10">
        <f t="shared" si="19"/>
        <v>0.12674909374910939</v>
      </c>
      <c r="M87" s="11">
        <f t="shared" si="23"/>
        <v>1.0742394199493001E-13</v>
      </c>
      <c r="N87" s="11">
        <f t="shared" si="20"/>
        <v>1.074239419951977E-13</v>
      </c>
      <c r="O87" s="10">
        <f t="shared" si="21"/>
        <v>35.750336049044108</v>
      </c>
    </row>
    <row r="88" spans="1:15">
      <c r="A88" s="10">
        <v>2550</v>
      </c>
      <c r="B88" s="10">
        <f t="shared" si="12"/>
        <v>252.36584999999999</v>
      </c>
      <c r="C88" s="10">
        <f t="shared" si="13"/>
        <v>0.14317508323729911</v>
      </c>
      <c r="D88" s="10">
        <f t="shared" si="14"/>
        <v>0.10793770809324775</v>
      </c>
      <c r="E88" s="10">
        <f t="shared" si="15"/>
        <v>1.1589149648583588E-11</v>
      </c>
      <c r="F88" s="10">
        <f t="shared" si="16"/>
        <v>1.1589149648580993E-11</v>
      </c>
      <c r="G88" s="10">
        <f t="shared" si="22"/>
        <v>27.239791450004347</v>
      </c>
      <c r="I88" s="10">
        <v>2900</v>
      </c>
      <c r="J88" s="10">
        <f t="shared" si="17"/>
        <v>287.0043</v>
      </c>
      <c r="K88" s="10">
        <f t="shared" si="18"/>
        <v>0.14532141785535357</v>
      </c>
      <c r="L88" s="10">
        <f t="shared" si="19"/>
        <v>0.12589282737598215</v>
      </c>
      <c r="M88" s="11">
        <f t="shared" si="23"/>
        <v>1.020093217952359E-13</v>
      </c>
      <c r="N88" s="11">
        <f t="shared" si="20"/>
        <v>1.0200932179536609E-13</v>
      </c>
      <c r="O88" s="10">
        <f t="shared" si="21"/>
        <v>36.131782796064591</v>
      </c>
    </row>
    <row r="89" spans="1:15">
      <c r="A89" s="10">
        <v>2600</v>
      </c>
      <c r="B89" s="10">
        <f t="shared" si="12"/>
        <v>257.31419999999997</v>
      </c>
      <c r="C89" s="10">
        <f t="shared" si="13"/>
        <v>0.14267626881703391</v>
      </c>
      <c r="D89" s="10">
        <f t="shared" si="14"/>
        <v>0.10669067204258476</v>
      </c>
      <c r="E89" s="10">
        <f t="shared" si="15"/>
        <v>1.0829049205654112E-11</v>
      </c>
      <c r="F89" s="10">
        <f t="shared" si="16"/>
        <v>1.08290492056416E-11</v>
      </c>
      <c r="G89" s="10">
        <f t="shared" si="22"/>
        <v>27.45302492410006</v>
      </c>
      <c r="I89" s="10">
        <v>2950</v>
      </c>
      <c r="J89" s="10">
        <f t="shared" si="17"/>
        <v>291.95265000000001</v>
      </c>
      <c r="K89" s="10">
        <f t="shared" si="18"/>
        <v>0.14502045653167842</v>
      </c>
      <c r="L89" s="10">
        <f t="shared" si="19"/>
        <v>0.1250568236991067</v>
      </c>
      <c r="M89" s="11">
        <f t="shared" si="23"/>
        <v>9.6953253834074141E-14</v>
      </c>
      <c r="N89" s="11">
        <f t="shared" si="20"/>
        <v>9.6953253833567238E-14</v>
      </c>
      <c r="O89" s="10">
        <f t="shared" si="21"/>
        <v>36.510671079537005</v>
      </c>
    </row>
    <row r="90" spans="1:15">
      <c r="A90" s="10">
        <v>2650</v>
      </c>
      <c r="B90" s="10">
        <f t="shared" si="12"/>
        <v>262.26254999999998</v>
      </c>
      <c r="C90" s="10">
        <f t="shared" si="13"/>
        <v>0.14219251803530089</v>
      </c>
      <c r="D90" s="10">
        <f t="shared" si="14"/>
        <v>0.10548129508825221</v>
      </c>
      <c r="E90" s="10">
        <f t="shared" si="15"/>
        <v>1.0131847805842345E-11</v>
      </c>
      <c r="F90" s="10">
        <f t="shared" si="16"/>
        <v>1.013184780583752E-11</v>
      </c>
      <c r="G90" s="10">
        <f t="shared" si="22"/>
        <v>27.6637934271475</v>
      </c>
      <c r="I90" s="10">
        <v>3000</v>
      </c>
      <c r="J90" s="10">
        <f t="shared" si="17"/>
        <v>296.90100000000001</v>
      </c>
      <c r="K90" s="10">
        <f t="shared" si="18"/>
        <v>0.14472649797380979</v>
      </c>
      <c r="L90" s="10">
        <f t="shared" si="19"/>
        <v>0.12424027214947163</v>
      </c>
      <c r="M90" s="11">
        <f t="shared" si="23"/>
        <v>9.2226511100173047E-14</v>
      </c>
      <c r="N90" s="11">
        <f t="shared" si="20"/>
        <v>9.2226511100049669E-14</v>
      </c>
      <c r="O90" s="10">
        <f t="shared" si="21"/>
        <v>36.887061041450281</v>
      </c>
    </row>
    <row r="91" spans="1:15">
      <c r="A91" s="10">
        <v>2700</v>
      </c>
      <c r="B91" s="10">
        <f t="shared" si="12"/>
        <v>267.21089999999998</v>
      </c>
      <c r="C91" s="10">
        <f t="shared" si="13"/>
        <v>0.14172310591318849</v>
      </c>
      <c r="D91" s="10">
        <f t="shared" si="14"/>
        <v>0.1043077647829712</v>
      </c>
      <c r="E91" s="10">
        <f t="shared" si="15"/>
        <v>9.4913003864100401E-12</v>
      </c>
      <c r="F91" s="10">
        <f t="shared" si="16"/>
        <v>9.4913003864030511E-12</v>
      </c>
      <c r="G91" s="10">
        <f t="shared" si="22"/>
        <v>27.872171704646036</v>
      </c>
      <c r="I91" s="10">
        <v>3050</v>
      </c>
      <c r="J91" s="10">
        <f t="shared" si="17"/>
        <v>301.84935000000002</v>
      </c>
      <c r="K91" s="10">
        <f t="shared" si="18"/>
        <v>0.14443926666016718</v>
      </c>
      <c r="L91" s="10">
        <f t="shared" si="19"/>
        <v>0.12344240738935328</v>
      </c>
      <c r="M91" s="11">
        <f t="shared" si="23"/>
        <v>8.7802681542913366E-14</v>
      </c>
      <c r="N91" s="11">
        <f t="shared" si="20"/>
        <v>8.780268154255275E-14</v>
      </c>
      <c r="O91" s="10">
        <f t="shared" si="21"/>
        <v>37.261010432911483</v>
      </c>
    </row>
    <row r="92" spans="1:15">
      <c r="A92" s="10">
        <v>2750</v>
      </c>
      <c r="B92" s="10">
        <f t="shared" si="12"/>
        <v>272.15924999999999</v>
      </c>
      <c r="C92" s="10">
        <f t="shared" si="13"/>
        <v>0.14126735487430297</v>
      </c>
      <c r="D92" s="10">
        <f t="shared" si="14"/>
        <v>0.10316838718575742</v>
      </c>
      <c r="E92" s="10">
        <f t="shared" si="15"/>
        <v>8.9018815033876957E-12</v>
      </c>
      <c r="F92" s="10">
        <f t="shared" si="16"/>
        <v>8.901881503376448E-12</v>
      </c>
      <c r="G92" s="10">
        <f t="shared" si="22"/>
        <v>28.078230880185348</v>
      </c>
      <c r="I92" s="10">
        <v>3100</v>
      </c>
      <c r="J92" s="10">
        <f t="shared" si="17"/>
        <v>306.79770000000002</v>
      </c>
      <c r="K92" s="10">
        <f t="shared" si="18"/>
        <v>0.14415850219489729</v>
      </c>
      <c r="L92" s="10">
        <f t="shared" si="19"/>
        <v>0.12266250609693689</v>
      </c>
      <c r="M92" s="11">
        <f t="shared" si="23"/>
        <v>8.3657856619274164E-14</v>
      </c>
      <c r="N92" s="11">
        <f t="shared" si="20"/>
        <v>8.3657856618336972E-14</v>
      </c>
      <c r="O92" s="10">
        <f t="shared" si="21"/>
        <v>37.632574746776221</v>
      </c>
    </row>
    <row r="93" spans="1:15">
      <c r="A93" s="10">
        <v>2800</v>
      </c>
      <c r="B93" s="10">
        <f t="shared" si="12"/>
        <v>277.10759999999999</v>
      </c>
      <c r="C93" s="10">
        <f t="shared" si="13"/>
        <v>0.140824630857321</v>
      </c>
      <c r="D93" s="10">
        <f t="shared" si="14"/>
        <v>0.10206157714330248</v>
      </c>
      <c r="E93" s="10">
        <f t="shared" si="15"/>
        <v>8.3586913409952696E-12</v>
      </c>
      <c r="F93" s="10">
        <f t="shared" si="16"/>
        <v>8.3586913409865745E-12</v>
      </c>
      <c r="G93" s="10">
        <f t="shared" si="22"/>
        <v>28.282038694395407</v>
      </c>
      <c r="I93" s="10">
        <v>3150</v>
      </c>
      <c r="J93" s="10">
        <f t="shared" si="17"/>
        <v>311.74605000000003</v>
      </c>
      <c r="K93" s="10">
        <f t="shared" si="18"/>
        <v>0.14388395824975231</v>
      </c>
      <c r="L93" s="10">
        <f t="shared" si="19"/>
        <v>0.12189988402708973</v>
      </c>
      <c r="M93" s="11">
        <f t="shared" si="23"/>
        <v>7.9770358622451791E-14</v>
      </c>
      <c r="N93" s="11">
        <f t="shared" si="20"/>
        <v>7.977035862233759E-14</v>
      </c>
      <c r="O93" s="10">
        <f t="shared" si="21"/>
        <v>38.001807340903319</v>
      </c>
    </row>
    <row r="94" spans="1:15">
      <c r="A94" s="10">
        <v>2850</v>
      </c>
      <c r="B94" s="10">
        <f t="shared" si="12"/>
        <v>282.05595</v>
      </c>
      <c r="C94" s="10">
        <f t="shared" si="13"/>
        <v>0.14039433980965765</v>
      </c>
      <c r="D94" s="10">
        <f t="shared" si="14"/>
        <v>0.10098584952414412</v>
      </c>
      <c r="E94" s="10">
        <f t="shared" si="15"/>
        <v>7.8573753930731907E-12</v>
      </c>
      <c r="F94" s="10">
        <f t="shared" si="16"/>
        <v>7.857375393075291E-12</v>
      </c>
      <c r="G94" s="10">
        <f t="shared" si="22"/>
        <v>28.483659724089517</v>
      </c>
      <c r="I94" s="10">
        <v>3200</v>
      </c>
      <c r="J94" s="10">
        <f t="shared" si="17"/>
        <v>316.69439999999997</v>
      </c>
      <c r="K94" s="10">
        <f t="shared" si="18"/>
        <v>0.14361540159542024</v>
      </c>
      <c r="L94" s="10">
        <f t="shared" si="19"/>
        <v>0.12115389332061179</v>
      </c>
      <c r="M94" s="11">
        <f t="shared" si="23"/>
        <v>7.6120501443621534E-14</v>
      </c>
      <c r="N94" s="11">
        <f t="shared" si="20"/>
        <v>7.6120501443732946E-14</v>
      </c>
      <c r="O94" s="10">
        <f t="shared" si="21"/>
        <v>38.368759552835151</v>
      </c>
    </row>
    <row r="95" spans="1:15">
      <c r="A95" s="10">
        <v>2900</v>
      </c>
      <c r="B95" s="10">
        <f t="shared" si="12"/>
        <v>287.0043</v>
      </c>
      <c r="C95" s="10">
        <f t="shared" si="13"/>
        <v>0.13997592451899199</v>
      </c>
      <c r="D95" s="10">
        <f t="shared" si="14"/>
        <v>9.9939811297479961E-2</v>
      </c>
      <c r="E95" s="10">
        <f t="shared" si="15"/>
        <v>7.3940556316271344E-12</v>
      </c>
      <c r="F95" s="10">
        <f t="shared" si="16"/>
        <v>7.3940556316251004E-12</v>
      </c>
      <c r="G95" s="10">
        <f t="shared" si="22"/>
        <v>28.683155583565327</v>
      </c>
      <c r="I95" s="10">
        <v>3250</v>
      </c>
      <c r="J95" s="10">
        <f t="shared" si="17"/>
        <v>321.64274999999998</v>
      </c>
      <c r="K95" s="10">
        <f t="shared" si="18"/>
        <v>0.14335261121348006</v>
      </c>
      <c r="L95" s="10">
        <f t="shared" si="19"/>
        <v>0.12042392003744459</v>
      </c>
      <c r="M95" s="11">
        <f t="shared" si="23"/>
        <v>7.2690380221231357E-14</v>
      </c>
      <c r="N95" s="11">
        <f t="shared" si="20"/>
        <v>7.2690380221448741E-14</v>
      </c>
      <c r="O95" s="10">
        <f t="shared" si="21"/>
        <v>38.733480806623781</v>
      </c>
    </row>
    <row r="96" spans="1:15">
      <c r="A96" s="10">
        <v>2950</v>
      </c>
      <c r="B96" s="10">
        <f t="shared" si="12"/>
        <v>291.95265000000001</v>
      </c>
      <c r="C96" s="10">
        <f t="shared" si="13"/>
        <v>0.13956886174494942</v>
      </c>
      <c r="D96" s="10">
        <f t="shared" si="14"/>
        <v>9.8922154362373546E-2</v>
      </c>
      <c r="E96" s="10">
        <f t="shared" si="15"/>
        <v>6.9652713570682545E-12</v>
      </c>
      <c r="F96" s="10">
        <f t="shared" si="16"/>
        <v>6.9652713570682545E-12</v>
      </c>
      <c r="G96" s="10">
        <f t="shared" si="22"/>
        <v>28.880585109804016</v>
      </c>
      <c r="I96" s="10">
        <v>3300</v>
      </c>
      <c r="J96" s="10">
        <f t="shared" si="17"/>
        <v>326.59109999999998</v>
      </c>
      <c r="K96" s="10">
        <f t="shared" si="18"/>
        <v>0.14309537748114837</v>
      </c>
      <c r="L96" s="10">
        <f t="shared" si="19"/>
        <v>0.11970938189207879</v>
      </c>
      <c r="M96" s="11">
        <f t="shared" si="23"/>
        <v>6.9463686013583333E-14</v>
      </c>
      <c r="N96" s="11">
        <f t="shared" si="20"/>
        <v>6.9463686013477235E-14</v>
      </c>
      <c r="O96" s="10">
        <f t="shared" si="21"/>
        <v>39.096018712454089</v>
      </c>
    </row>
    <row r="97" spans="1:15">
      <c r="A97" s="10">
        <v>3000</v>
      </c>
      <c r="B97" s="10">
        <f t="shared" si="12"/>
        <v>296.90100000000001</v>
      </c>
      <c r="C97" s="10">
        <f t="shared" si="13"/>
        <v>0.1391726596180006</v>
      </c>
      <c r="D97" s="10">
        <f t="shared" si="14"/>
        <v>9.7931649045001484E-2</v>
      </c>
      <c r="E97" s="10">
        <f t="shared" si="15"/>
        <v>6.5679282331965158E-12</v>
      </c>
      <c r="F97" s="10">
        <f t="shared" si="16"/>
        <v>6.5679282331907934E-12</v>
      </c>
      <c r="G97" s="10">
        <f t="shared" si="22"/>
        <v>29.076004533109987</v>
      </c>
      <c r="I97" s="10">
        <v>3350</v>
      </c>
      <c r="J97" s="10">
        <f t="shared" si="17"/>
        <v>331.53944999999999</v>
      </c>
      <c r="K97" s="10">
        <f t="shared" si="18"/>
        <v>0.14284350142184996</v>
      </c>
      <c r="L97" s="10">
        <f t="shared" si="19"/>
        <v>0.11900972617180543</v>
      </c>
      <c r="M97" s="11">
        <f t="shared" si="23"/>
        <v>6.6425542191201186E-14</v>
      </c>
      <c r="N97" s="11">
        <f t="shared" si="20"/>
        <v>6.6425542190993987E-14</v>
      </c>
      <c r="O97" s="10">
        <f t="shared" si="21"/>
        <v>39.456419159650977</v>
      </c>
    </row>
    <row r="98" spans="1:15">
      <c r="A98" s="10">
        <v>3050</v>
      </c>
      <c r="B98" s="10">
        <f t="shared" si="12"/>
        <v>301.84935000000002</v>
      </c>
      <c r="C98" s="10">
        <f t="shared" si="13"/>
        <v>0.13878685527673032</v>
      </c>
      <c r="D98" s="10">
        <f t="shared" si="14"/>
        <v>9.6967138191825786E-2</v>
      </c>
      <c r="E98" s="10">
        <f t="shared" si="15"/>
        <v>6.1992542616463495E-12</v>
      </c>
      <c r="F98" s="10">
        <f t="shared" si="16"/>
        <v>6.1992542616371075E-12</v>
      </c>
      <c r="G98" s="10">
        <f t="shared" si="22"/>
        <v>29.26946763456279</v>
      </c>
      <c r="I98" s="10">
        <v>3400</v>
      </c>
      <c r="J98" s="10">
        <f t="shared" si="17"/>
        <v>336.48779999999999</v>
      </c>
      <c r="K98" s="10">
        <f t="shared" si="18"/>
        <v>0.14259679401540465</v>
      </c>
      <c r="L98" s="10">
        <f t="shared" si="19"/>
        <v>0.11832442782056846</v>
      </c>
      <c r="M98" s="11">
        <f t="shared" si="23"/>
        <v>6.3562359728736357E-14</v>
      </c>
      <c r="N98" s="11">
        <f t="shared" si="20"/>
        <v>6.3562359728331564E-14</v>
      </c>
      <c r="O98" s="10">
        <f t="shared" si="21"/>
        <v>39.814726403601874</v>
      </c>
    </row>
    <row r="99" spans="1:15">
      <c r="A99" s="10">
        <v>3100</v>
      </c>
      <c r="B99" s="10">
        <f t="shared" si="12"/>
        <v>306.79770000000002</v>
      </c>
      <c r="C99" s="10">
        <f t="shared" si="13"/>
        <v>0.13841101271815609</v>
      </c>
      <c r="D99" s="10">
        <f t="shared" si="14"/>
        <v>9.6027531795390211E-2</v>
      </c>
      <c r="E99" s="10">
        <f t="shared" si="15"/>
        <v>5.8567616565802827E-12</v>
      </c>
      <c r="F99" s="10">
        <f t="shared" si="16"/>
        <v>5.8567616565802835E-12</v>
      </c>
      <c r="G99" s="10">
        <f t="shared" si="22"/>
        <v>29.46102589150259</v>
      </c>
      <c r="I99" s="10">
        <v>3450</v>
      </c>
      <c r="J99" s="10">
        <f t="shared" si="17"/>
        <v>341.43615</v>
      </c>
      <c r="K99" s="10">
        <f t="shared" si="18"/>
        <v>0.14235507556229055</v>
      </c>
      <c r="L99" s="10">
        <f t="shared" si="19"/>
        <v>0.11765298767302929</v>
      </c>
      <c r="M99" s="11">
        <f t="shared" si="23"/>
        <v>6.0861708972615262E-14</v>
      </c>
      <c r="N99" s="11">
        <f t="shared" si="20"/>
        <v>6.0861708972417504E-14</v>
      </c>
      <c r="O99" s="10">
        <f t="shared" si="21"/>
        <v>40.170983147076576</v>
      </c>
    </row>
    <row r="100" spans="1:15">
      <c r="A100" s="10">
        <v>3150</v>
      </c>
      <c r="B100" s="10">
        <f t="shared" si="12"/>
        <v>311.74605000000003</v>
      </c>
      <c r="C100" s="10">
        <f t="shared" si="13"/>
        <v>0.13804472083882346</v>
      </c>
      <c r="D100" s="10">
        <f t="shared" si="14"/>
        <v>9.5111802097058648E-2</v>
      </c>
      <c r="E100" s="10">
        <f t="shared" si="15"/>
        <v>5.538213749729267E-12</v>
      </c>
      <c r="F100" s="10">
        <f t="shared" si="16"/>
        <v>5.5382137497205727E-12</v>
      </c>
      <c r="G100" s="10">
        <f t="shared" si="22"/>
        <v>29.650728612139751</v>
      </c>
      <c r="I100" s="10">
        <v>3500</v>
      </c>
      <c r="J100" s="10">
        <f t="shared" si="17"/>
        <v>346.3845</v>
      </c>
      <c r="K100" s="10">
        <f t="shared" si="18"/>
        <v>0.14211817509703006</v>
      </c>
      <c r="L100" s="10">
        <f t="shared" si="19"/>
        <v>0.1169949308250835</v>
      </c>
      <c r="M100" s="11">
        <f t="shared" si="23"/>
        <v>5.8312205804546395E-14</v>
      </c>
      <c r="N100" s="11">
        <f t="shared" si="20"/>
        <v>5.831220580444975E-14</v>
      </c>
      <c r="O100" s="10">
        <f t="shared" si="21"/>
        <v>40.525230616381137</v>
      </c>
    </row>
    <row r="101" spans="1:15">
      <c r="A101" s="10">
        <v>3200</v>
      </c>
      <c r="B101" s="10">
        <f t="shared" si="12"/>
        <v>316.69439999999997</v>
      </c>
      <c r="C101" s="10">
        <f t="shared" si="13"/>
        <v>0.13768759164704253</v>
      </c>
      <c r="D101" s="10">
        <f t="shared" si="14"/>
        <v>9.4218979117606308E-2</v>
      </c>
      <c r="E101" s="10">
        <f t="shared" si="15"/>
        <v>5.2415961954454466E-12</v>
      </c>
      <c r="F101" s="10">
        <f t="shared" si="16"/>
        <v>5.2415961954437592E-12</v>
      </c>
      <c r="G101" s="10">
        <f t="shared" si="22"/>
        <v>29.838623060262858</v>
      </c>
      <c r="I101" s="10">
        <v>3550</v>
      </c>
      <c r="J101" s="10">
        <f t="shared" si="17"/>
        <v>351.33285000000001</v>
      </c>
      <c r="K101" s="10">
        <f t="shared" si="18"/>
        <v>0.14188592984626258</v>
      </c>
      <c r="L101" s="10">
        <f t="shared" si="19"/>
        <v>0.11634980512850716</v>
      </c>
      <c r="M101" s="11">
        <f t="shared" si="23"/>
        <v>5.5903410406202831E-14</v>
      </c>
      <c r="N101" s="11">
        <f t="shared" si="20"/>
        <v>5.5903410405919302E-14</v>
      </c>
      <c r="O101" s="10">
        <f t="shared" si="21"/>
        <v>40.877508632743037</v>
      </c>
    </row>
    <row r="102" spans="1:15">
      <c r="A102" s="10">
        <v>3250</v>
      </c>
      <c r="B102" s="10">
        <f t="shared" si="12"/>
        <v>321.64274999999998</v>
      </c>
      <c r="C102" s="10">
        <f t="shared" si="13"/>
        <v>0.1373392586289226</v>
      </c>
      <c r="D102" s="10">
        <f t="shared" si="14"/>
        <v>9.3348146572306487E-2</v>
      </c>
      <c r="E102" s="10">
        <f t="shared" si="15"/>
        <v>4.9650918608446485E-12</v>
      </c>
      <c r="F102" s="10">
        <f t="shared" si="16"/>
        <v>4.9650918608446493E-12</v>
      </c>
      <c r="G102" s="10">
        <f t="shared" si="22"/>
        <v>30.024754570919729</v>
      </c>
      <c r="I102" s="10">
        <v>3600</v>
      </c>
      <c r="J102" s="10">
        <f t="shared" si="17"/>
        <v>356.28120000000001</v>
      </c>
      <c r="K102" s="10">
        <f t="shared" si="18"/>
        <v>0.1416581847275247</v>
      </c>
      <c r="L102" s="10">
        <f t="shared" si="19"/>
        <v>0.11571717979867971</v>
      </c>
      <c r="M102" s="11">
        <f t="shared" si="23"/>
        <v>5.3625737078282225E-14</v>
      </c>
      <c r="N102" s="11">
        <f t="shared" si="20"/>
        <v>5.3625737078374674E-14</v>
      </c>
      <c r="O102" s="10">
        <f t="shared" si="21"/>
        <v>41.22785567928937</v>
      </c>
    </row>
    <row r="103" spans="1:15">
      <c r="A103" s="10">
        <v>3300</v>
      </c>
      <c r="B103" s="10">
        <f t="shared" si="12"/>
        <v>326.59109999999998</v>
      </c>
      <c r="C103" s="10">
        <f t="shared" si="13"/>
        <v>0.1369993752528518</v>
      </c>
      <c r="D103" s="10">
        <f t="shared" si="14"/>
        <v>9.249843813212949E-2</v>
      </c>
      <c r="E103" s="10">
        <f t="shared" si="15"/>
        <v>4.7070588818539169E-12</v>
      </c>
      <c r="F103" s="10">
        <f t="shared" si="16"/>
        <v>4.7070588818586925E-12</v>
      </c>
      <c r="G103" s="10">
        <f t="shared" si="22"/>
        <v>30.209166657854112</v>
      </c>
      <c r="I103" s="10">
        <v>3650</v>
      </c>
      <c r="J103" s="10">
        <f t="shared" si="17"/>
        <v>361.22955000000002</v>
      </c>
      <c r="K103" s="10">
        <f t="shared" si="18"/>
        <v>0.14143479188516289</v>
      </c>
      <c r="L103" s="10">
        <f t="shared" si="19"/>
        <v>0.11509664412545247</v>
      </c>
      <c r="M103" s="11">
        <f t="shared" si="23"/>
        <v>5.147037377222339E-14</v>
      </c>
      <c r="N103" s="11">
        <f t="shared" si="20"/>
        <v>5.1470373772223396E-14</v>
      </c>
      <c r="O103" s="10">
        <f t="shared" si="21"/>
        <v>41.576308963947341</v>
      </c>
    </row>
    <row r="104" spans="1:15">
      <c r="A104" s="10">
        <v>3350</v>
      </c>
      <c r="B104" s="10">
        <f t="shared" si="12"/>
        <v>331.53944999999999</v>
      </c>
      <c r="C104" s="10">
        <f t="shared" si="13"/>
        <v>0.13666761359880911</v>
      </c>
      <c r="D104" s="10">
        <f t="shared" si="14"/>
        <v>9.1669033997022753E-2</v>
      </c>
      <c r="E104" s="10">
        <f t="shared" si="15"/>
        <v>4.4660114456244358E-12</v>
      </c>
      <c r="F104" s="10">
        <f t="shared" si="16"/>
        <v>4.4660114456213411E-12</v>
      </c>
      <c r="G104" s="10">
        <f t="shared" si="22"/>
        <v>30.391901113404224</v>
      </c>
      <c r="I104" s="10">
        <v>3700</v>
      </c>
      <c r="J104" s="10">
        <f t="shared" si="17"/>
        <v>366.17790000000002</v>
      </c>
      <c r="K104" s="10">
        <f t="shared" si="18"/>
        <v>0.14121561026016144</v>
      </c>
      <c r="L104" s="10">
        <f t="shared" si="19"/>
        <v>0.1144878062782262</v>
      </c>
      <c r="M104" s="11">
        <f t="shared" si="23"/>
        <v>4.9429210174920364E-14</v>
      </c>
      <c r="N104" s="11">
        <f t="shared" si="20"/>
        <v>4.9429210175008887E-14</v>
      </c>
      <c r="O104" s="10">
        <f t="shared" si="21"/>
        <v>41.922904478567688</v>
      </c>
    </row>
    <row r="105" spans="1:15">
      <c r="A105" s="10">
        <v>3400</v>
      </c>
      <c r="B105" s="10">
        <f t="shared" si="12"/>
        <v>336.48779999999999</v>
      </c>
      <c r="C105" s="10">
        <f t="shared" si="13"/>
        <v>0.13634366310041199</v>
      </c>
      <c r="D105" s="10">
        <f t="shared" si="14"/>
        <v>9.0859157751029956E-2</v>
      </c>
      <c r="E105" s="10">
        <f t="shared" si="15"/>
        <v>4.2406029262534973E-12</v>
      </c>
      <c r="F105" s="10">
        <f t="shared" si="16"/>
        <v>4.2406029262489842E-12</v>
      </c>
      <c r="G105" s="10">
        <f t="shared" si="22"/>
        <v>30.572998101497017</v>
      </c>
      <c r="I105" s="10">
        <v>3750</v>
      </c>
      <c r="J105" s="10">
        <f t="shared" si="17"/>
        <v>371.12624999999997</v>
      </c>
      <c r="K105" s="10">
        <f t="shared" si="18"/>
        <v>0.14100050519098684</v>
      </c>
      <c r="L105" s="10">
        <f t="shared" si="19"/>
        <v>0.11389029219718565</v>
      </c>
      <c r="M105" s="11">
        <f t="shared" si="23"/>
        <v>4.7494773335002721E-14</v>
      </c>
      <c r="N105" s="11">
        <f t="shared" si="20"/>
        <v>4.7494773334309552E-14</v>
      </c>
      <c r="O105" s="10">
        <f t="shared" si="21"/>
        <v>42.267677054545764</v>
      </c>
    </row>
    <row r="106" spans="1:15">
      <c r="A106" s="10">
        <v>3450</v>
      </c>
      <c r="B106" s="10">
        <f t="shared" si="12"/>
        <v>341.43615</v>
      </c>
      <c r="C106" s="10">
        <f t="shared" si="13"/>
        <v>0.13602722938893463</v>
      </c>
      <c r="D106" s="10">
        <f t="shared" si="14"/>
        <v>9.0068073472336571E-2</v>
      </c>
      <c r="E106" s="10">
        <f t="shared" si="15"/>
        <v>4.0296110563355181E-12</v>
      </c>
      <c r="F106" s="10">
        <f t="shared" si="16"/>
        <v>4.0296110563369818E-12</v>
      </c>
      <c r="G106" s="10">
        <f t="shared" si="22"/>
        <v>30.752496244311729</v>
      </c>
      <c r="I106" s="10">
        <v>3800</v>
      </c>
      <c r="J106" s="10">
        <f t="shared" si="17"/>
        <v>376.07459999999998</v>
      </c>
      <c r="K106" s="10">
        <f t="shared" si="18"/>
        <v>0.14078934804283261</v>
      </c>
      <c r="L106" s="10">
        <f t="shared" si="19"/>
        <v>0.1133037445634239</v>
      </c>
      <c r="M106" s="11">
        <f t="shared" si="23"/>
        <v>4.5660169953908011E-14</v>
      </c>
      <c r="N106" s="11">
        <f t="shared" si="20"/>
        <v>4.5660169953738318E-14</v>
      </c>
      <c r="O106" s="10">
        <f t="shared" si="21"/>
        <v>42.610660415191816</v>
      </c>
    </row>
    <row r="107" spans="1:15">
      <c r="A107" s="10">
        <v>3500</v>
      </c>
      <c r="B107" s="10">
        <f t="shared" si="12"/>
        <v>346.3845</v>
      </c>
      <c r="C107" s="10">
        <f t="shared" si="13"/>
        <v>0.13571803322969681</v>
      </c>
      <c r="D107" s="10">
        <f t="shared" si="14"/>
        <v>8.9295083074241999E-2</v>
      </c>
      <c r="E107" s="10">
        <f t="shared" si="15"/>
        <v>3.8319248635829245E-12</v>
      </c>
      <c r="F107" s="10">
        <f t="shared" si="16"/>
        <v>3.8319248635786521E-12</v>
      </c>
      <c r="G107" s="10">
        <f t="shared" si="22"/>
        <v>30.930432703129778</v>
      </c>
      <c r="I107" s="10">
        <v>3850</v>
      </c>
      <c r="J107" s="10">
        <f t="shared" si="17"/>
        <v>381.02294999999998</v>
      </c>
      <c r="K107" s="10">
        <f t="shared" si="18"/>
        <v>0.14058201586290023</v>
      </c>
      <c r="L107" s="10">
        <f t="shared" si="19"/>
        <v>0.11272782184138951</v>
      </c>
      <c r="M107" s="11">
        <f t="shared" si="23"/>
        <v>4.3919034573942234E-14</v>
      </c>
      <c r="N107" s="11">
        <f t="shared" si="20"/>
        <v>4.3919034573609801E-14</v>
      </c>
      <c r="O107" s="10">
        <f t="shared" si="21"/>
        <v>42.951887225080661</v>
      </c>
    </row>
    <row r="108" spans="1:15">
      <c r="A108" s="10">
        <v>3550</v>
      </c>
      <c r="B108" s="10">
        <f t="shared" si="12"/>
        <v>351.33285000000001</v>
      </c>
      <c r="C108" s="10">
        <f t="shared" si="13"/>
        <v>0.13541580954224955</v>
      </c>
      <c r="D108" s="10">
        <f t="shared" si="14"/>
        <v>8.8539523855623858E-2</v>
      </c>
      <c r="E108" s="10">
        <f t="shared" si="15"/>
        <v>3.6465331409520929E-12</v>
      </c>
      <c r="F108" s="10">
        <f t="shared" si="16"/>
        <v>3.6465331409479352E-12</v>
      </c>
      <c r="G108" s="10">
        <f t="shared" si="22"/>
        <v>31.106843253839319</v>
      </c>
      <c r="I108" s="10">
        <v>3900</v>
      </c>
      <c r="J108" s="10">
        <f t="shared" si="17"/>
        <v>385.97129999999999</v>
      </c>
      <c r="K108" s="10">
        <f t="shared" si="18"/>
        <v>0.140378391059576</v>
      </c>
      <c r="L108" s="10">
        <f t="shared" si="19"/>
        <v>0.1121621973877111</v>
      </c>
      <c r="M108" s="11">
        <f t="shared" si="23"/>
        <v>4.2265482994620706E-14</v>
      </c>
      <c r="N108" s="11">
        <f t="shared" si="20"/>
        <v>4.2265482994457866E-14</v>
      </c>
      <c r="O108" s="10">
        <f t="shared" si="21"/>
        <v>43.291389136591455</v>
      </c>
    </row>
    <row r="109" spans="1:15">
      <c r="A109" s="10">
        <v>3600</v>
      </c>
      <c r="B109" s="10">
        <f t="shared" si="12"/>
        <v>356.28120000000001</v>
      </c>
      <c r="C109" s="10">
        <f t="shared" si="13"/>
        <v>0.1351203064966878</v>
      </c>
      <c r="D109" s="10">
        <f t="shared" si="14"/>
        <v>8.780076624171948E-2</v>
      </c>
      <c r="E109" s="10">
        <f t="shared" si="15"/>
        <v>3.4725142518572084E-12</v>
      </c>
      <c r="F109" s="10">
        <f t="shared" si="16"/>
        <v>3.4725142518558574E-12</v>
      </c>
      <c r="G109" s="10">
        <f t="shared" si="22"/>
        <v>31.281762357519309</v>
      </c>
      <c r="I109" s="10">
        <v>3950</v>
      </c>
      <c r="J109" s="10">
        <f t="shared" si="17"/>
        <v>390.91964999999999</v>
      </c>
      <c r="K109" s="10">
        <f t="shared" si="18"/>
        <v>0.14017836110356613</v>
      </c>
      <c r="L109" s="10">
        <f t="shared" si="19"/>
        <v>0.11160655862101701</v>
      </c>
      <c r="M109" s="11">
        <f t="shared" si="23"/>
        <v>4.0694070330216488E-14</v>
      </c>
      <c r="N109" s="11">
        <f t="shared" si="20"/>
        <v>4.0694070330216488E-14</v>
      </c>
      <c r="O109" s="10">
        <f t="shared" si="21"/>
        <v>43.629196833832452</v>
      </c>
    </row>
    <row r="110" spans="1:15">
      <c r="A110" s="10">
        <v>3650</v>
      </c>
      <c r="B110" s="10">
        <f t="shared" si="12"/>
        <v>361.22955000000002</v>
      </c>
      <c r="C110" s="10">
        <f t="shared" si="13"/>
        <v>0.13483128467921635</v>
      </c>
      <c r="D110" s="10">
        <f t="shared" si="14"/>
        <v>8.707821169804085E-2</v>
      </c>
      <c r="E110" s="10">
        <f t="shared" si="15"/>
        <v>3.3090271000325622E-12</v>
      </c>
      <c r="F110" s="10">
        <f t="shared" si="16"/>
        <v>3.3090271000286177E-12</v>
      </c>
      <c r="G110" s="10">
        <f t="shared" si="22"/>
        <v>31.455223226488034</v>
      </c>
      <c r="I110" s="10">
        <v>4000</v>
      </c>
      <c r="J110" s="10">
        <f t="shared" si="17"/>
        <v>395.86799999999999</v>
      </c>
      <c r="K110" s="10">
        <f t="shared" si="18"/>
        <v>0.13998181824922937</v>
      </c>
      <c r="L110" s="10">
        <f t="shared" si="19"/>
        <v>0.11106060624785934</v>
      </c>
      <c r="M110" s="11">
        <f t="shared" si="23"/>
        <v>3.919975319518692E-14</v>
      </c>
      <c r="N110" s="11">
        <f t="shared" si="20"/>
        <v>3.9199753195186932E-14</v>
      </c>
      <c r="O110" s="10">
        <f t="shared" si="21"/>
        <v>43.965340074127582</v>
      </c>
    </row>
    <row r="111" spans="1:15">
      <c r="A111" s="10">
        <v>3700</v>
      </c>
      <c r="B111" s="10">
        <f t="shared" si="12"/>
        <v>366.17790000000002</v>
      </c>
      <c r="C111" s="10">
        <f t="shared" si="13"/>
        <v>0.13454851632080086</v>
      </c>
      <c r="D111" s="10">
        <f t="shared" si="14"/>
        <v>8.6371290802002149E-2</v>
      </c>
      <c r="E111" s="10">
        <f t="shared" si="15"/>
        <v>3.1553031173295108E-12</v>
      </c>
      <c r="F111" s="10">
        <f t="shared" si="16"/>
        <v>3.1553031173269489E-12</v>
      </c>
      <c r="G111" s="10">
        <f t="shared" si="22"/>
        <v>31.627257886166465</v>
      </c>
      <c r="I111" s="10">
        <v>4050</v>
      </c>
      <c r="J111" s="10">
        <f t="shared" si="17"/>
        <v>400.81635</v>
      </c>
      <c r="K111" s="10">
        <f t="shared" si="18"/>
        <v>0.13978865927451048</v>
      </c>
      <c r="L111" s="10">
        <f t="shared" si="19"/>
        <v>0.11052405354030688</v>
      </c>
      <c r="M111" s="11">
        <f t="shared" si="23"/>
        <v>3.7777855565962424E-14</v>
      </c>
      <c r="N111" s="11">
        <f t="shared" si="20"/>
        <v>3.7777855565809038E-14</v>
      </c>
      <c r="O111" s="10">
        <f t="shared" si="21"/>
        <v>44.299847727230379</v>
      </c>
    </row>
    <row r="112" spans="1:15">
      <c r="A112" s="10">
        <v>3750</v>
      </c>
      <c r="B112" s="10">
        <f t="shared" si="12"/>
        <v>371.12624999999997</v>
      </c>
      <c r="C112" s="10">
        <f t="shared" si="13"/>
        <v>0.13427178458335948</v>
      </c>
      <c r="D112" s="10">
        <f t="shared" si="14"/>
        <v>8.5679461458398679E-2</v>
      </c>
      <c r="E112" s="10">
        <f t="shared" si="15"/>
        <v>3.0106391429090848E-12</v>
      </c>
      <c r="F112" s="10">
        <f t="shared" si="16"/>
        <v>3.0106391429090852E-12</v>
      </c>
      <c r="G112" s="10">
        <f t="shared" si="22"/>
        <v>31.79789723307503</v>
      </c>
      <c r="I112" s="10">
        <v>4100</v>
      </c>
      <c r="J112" s="10">
        <f t="shared" si="17"/>
        <v>405.7647</v>
      </c>
      <c r="K112" s="10">
        <f t="shared" si="18"/>
        <v>0.13959878523801955</v>
      </c>
      <c r="L112" s="10">
        <f t="shared" si="19"/>
        <v>0.10999662566116541</v>
      </c>
      <c r="M112" s="11">
        <f t="shared" si="23"/>
        <v>3.6424037921122666E-14</v>
      </c>
      <c r="N112" s="11">
        <f t="shared" si="20"/>
        <v>3.6424037921047452E-14</v>
      </c>
      <c r="O112" s="10">
        <f t="shared" si="21"/>
        <v>44.63274781241509</v>
      </c>
    </row>
    <row r="113" spans="1:15">
      <c r="A113" s="10">
        <v>3800</v>
      </c>
      <c r="B113" s="10">
        <f t="shared" si="12"/>
        <v>376.07459999999998</v>
      </c>
      <c r="C113" s="10">
        <f t="shared" si="13"/>
        <v>0.13400088289850404</v>
      </c>
      <c r="D113" s="10">
        <f t="shared" si="14"/>
        <v>8.5002207246260078E-2</v>
      </c>
      <c r="E113" s="10">
        <f t="shared" si="15"/>
        <v>2.8743910844210165E-12</v>
      </c>
      <c r="F113" s="10">
        <f t="shared" si="16"/>
        <v>2.8743910844173621E-12</v>
      </c>
      <c r="G113" s="10">
        <f t="shared" si="22"/>
        <v>31.967171089254357</v>
      </c>
      <c r="I113" s="10">
        <v>4150</v>
      </c>
      <c r="J113" s="10">
        <f t="shared" si="17"/>
        <v>410.71305000000001</v>
      </c>
      <c r="K113" s="10">
        <f t="shared" si="18"/>
        <v>0.13941210125193393</v>
      </c>
      <c r="L113" s="10">
        <f t="shared" si="19"/>
        <v>0.10947805903314979</v>
      </c>
      <c r="M113" s="11">
        <f t="shared" si="23"/>
        <v>3.5134269310118046E-14</v>
      </c>
      <c r="N113" s="11">
        <f t="shared" si="20"/>
        <v>3.5134269309822886E-14</v>
      </c>
      <c r="O113" s="10">
        <f t="shared" si="21"/>
        <v>44.964067533585002</v>
      </c>
    </row>
    <row r="114" spans="1:15">
      <c r="A114" s="10">
        <v>3850</v>
      </c>
      <c r="B114" s="10">
        <f t="shared" si="12"/>
        <v>381.02294999999998</v>
      </c>
      <c r="C114" s="10">
        <f t="shared" si="13"/>
        <v>0.13373561435433232</v>
      </c>
      <c r="D114" s="10">
        <f t="shared" si="14"/>
        <v>8.4339035885830776E-2</v>
      </c>
      <c r="E114" s="10">
        <f t="shared" si="15"/>
        <v>2.7459682664348037E-12</v>
      </c>
      <c r="F114" s="10">
        <f t="shared" si="16"/>
        <v>2.7459682664312393E-12</v>
      </c>
      <c r="G114" s="10">
        <f t="shared" si="22"/>
        <v>32.135108253375101</v>
      </c>
      <c r="I114" s="10">
        <v>4200</v>
      </c>
      <c r="J114" s="10">
        <f t="shared" si="17"/>
        <v>415.66140000000001</v>
      </c>
      <c r="K114" s="10">
        <f t="shared" si="18"/>
        <v>0.1392285162695151</v>
      </c>
      <c r="L114" s="10">
        <f t="shared" si="19"/>
        <v>0.10896810074865305</v>
      </c>
      <c r="M114" s="11">
        <f t="shared" si="23"/>
        <v>3.3904802041994019E-14</v>
      </c>
      <c r="N114" s="11">
        <f t="shared" si="20"/>
        <v>3.3904802041921614E-14</v>
      </c>
      <c r="O114" s="10">
        <f t="shared" si="21"/>
        <v>45.293833312526175</v>
      </c>
    </row>
    <row r="115" spans="1:15">
      <c r="A115" s="10">
        <v>3900</v>
      </c>
      <c r="B115" s="10">
        <f t="shared" si="12"/>
        <v>385.97129999999999</v>
      </c>
      <c r="C115" s="10">
        <f t="shared" si="13"/>
        <v>0.13347579112620994</v>
      </c>
      <c r="D115" s="10">
        <f t="shared" si="14"/>
        <v>8.368947781552484E-2</v>
      </c>
      <c r="E115" s="10">
        <f t="shared" si="15"/>
        <v>2.6248283839043983E-12</v>
      </c>
      <c r="F115" s="10">
        <f t="shared" si="16"/>
        <v>2.624828383905557E-12</v>
      </c>
      <c r="G115" s="10">
        <f t="shared" si="22"/>
        <v>32.301736548779282</v>
      </c>
      <c r="I115" s="10">
        <v>4250</v>
      </c>
      <c r="J115" s="10">
        <f t="shared" si="17"/>
        <v>420.60975000000002</v>
      </c>
      <c r="K115" s="10">
        <f t="shared" si="18"/>
        <v>0.13904794288613936</v>
      </c>
      <c r="L115" s="10">
        <f t="shared" si="19"/>
        <v>0.10846650801705378</v>
      </c>
      <c r="M115" s="11">
        <f t="shared" si="23"/>
        <v>3.2732148719534857E-14</v>
      </c>
      <c r="N115" s="11">
        <f t="shared" si="20"/>
        <v>3.2732148719534857E-14</v>
      </c>
      <c r="O115" s="10">
        <f t="shared" si="21"/>
        <v>45.622070820425989</v>
      </c>
    </row>
    <row r="116" spans="1:15">
      <c r="A116" s="10">
        <v>3950</v>
      </c>
      <c r="B116" s="10">
        <f t="shared" si="12"/>
        <v>390.91964999999999</v>
      </c>
      <c r="C116" s="10">
        <f t="shared" si="13"/>
        <v>0.13322123394787033</v>
      </c>
      <c r="D116" s="10">
        <f t="shared" si="14"/>
        <v>8.3053084869675817E-2</v>
      </c>
      <c r="E116" s="10">
        <f t="shared" si="15"/>
        <v>2.5104729891834725E-12</v>
      </c>
      <c r="F116" s="10">
        <f t="shared" si="16"/>
        <v>2.5104729891846046E-12</v>
      </c>
      <c r="G116" s="10">
        <f t="shared" si="22"/>
        <v>32.467082868673963</v>
      </c>
      <c r="I116" s="10">
        <v>4300</v>
      </c>
      <c r="J116" s="10">
        <f t="shared" si="17"/>
        <v>425.55810000000002</v>
      </c>
      <c r="K116" s="10">
        <f t="shared" si="18"/>
        <v>0.13887029715283447</v>
      </c>
      <c r="L116" s="10">
        <f t="shared" si="19"/>
        <v>0.10797304764676241</v>
      </c>
      <c r="M116" s="11">
        <f t="shared" si="23"/>
        <v>3.1613061378882271E-14</v>
      </c>
      <c r="N116" s="11">
        <f t="shared" si="20"/>
        <v>3.1613061378882277E-14</v>
      </c>
      <c r="O116" s="10">
        <f t="shared" si="21"/>
        <v>45.948805007765685</v>
      </c>
    </row>
    <row r="117" spans="1:15">
      <c r="A117" s="10">
        <v>4000</v>
      </c>
      <c r="B117" s="10">
        <f t="shared" si="12"/>
        <v>395.86799999999999</v>
      </c>
      <c r="C117" s="10">
        <f t="shared" si="13"/>
        <v>0.13297177161951099</v>
      </c>
      <c r="D117" s="10">
        <f t="shared" si="14"/>
        <v>8.2429429048777453E-2</v>
      </c>
      <c r="E117" s="10">
        <f t="shared" si="15"/>
        <v>2.4024434503206658E-12</v>
      </c>
      <c r="F117" s="10">
        <f t="shared" si="16"/>
        <v>2.4024434503162459E-12</v>
      </c>
      <c r="G117" s="10">
        <f t="shared" si="22"/>
        <v>32.631173218681433</v>
      </c>
      <c r="I117" s="10">
        <v>4350</v>
      </c>
      <c r="J117" s="10">
        <f t="shared" si="17"/>
        <v>430.50644999999997</v>
      </c>
      <c r="K117" s="10">
        <f t="shared" si="18"/>
        <v>0.13869549840140172</v>
      </c>
      <c r="L117" s="10">
        <f t="shared" si="19"/>
        <v>0.10748749555944921</v>
      </c>
      <c r="M117" s="11">
        <f t="shared" si="23"/>
        <v>3.0544512517856075E-14</v>
      </c>
      <c r="N117" s="11">
        <f t="shared" si="20"/>
        <v>3.0544512517650605E-14</v>
      </c>
      <c r="O117" s="10">
        <f t="shared" si="21"/>
        <v>46.274060132689243</v>
      </c>
    </row>
    <row r="118" spans="1:15">
      <c r="A118" s="10">
        <v>4050</v>
      </c>
      <c r="B118" s="10">
        <f t="shared" si="12"/>
        <v>400.81635</v>
      </c>
      <c r="C118" s="10">
        <f t="shared" si="13"/>
        <v>0.13272724054987339</v>
      </c>
      <c r="D118" s="10">
        <f t="shared" si="14"/>
        <v>8.1818101374683469E-2</v>
      </c>
      <c r="E118" s="10">
        <f t="shared" si="15"/>
        <v>2.3003173263139208E-12</v>
      </c>
      <c r="F118" s="10">
        <f t="shared" si="16"/>
        <v>2.3003173263074455E-12</v>
      </c>
      <c r="G118" s="10">
        <f t="shared" si="22"/>
        <v>32.794032756930612</v>
      </c>
      <c r="I118" s="10">
        <v>4400</v>
      </c>
      <c r="J118" s="10">
        <f t="shared" si="17"/>
        <v>435.45479999999998</v>
      </c>
      <c r="K118" s="10">
        <f t="shared" si="18"/>
        <v>0.13852346908027946</v>
      </c>
      <c r="L118" s="10">
        <f t="shared" si="19"/>
        <v>0.10700963633410961</v>
      </c>
      <c r="M118" s="11">
        <f t="shared" si="23"/>
        <v>2.9523677824189761E-14</v>
      </c>
      <c r="N118" s="11">
        <f t="shared" si="20"/>
        <v>2.9523677824055238E-14</v>
      </c>
      <c r="O118" s="10">
        <f t="shared" si="21"/>
        <v>46.597859787942433</v>
      </c>
    </row>
    <row r="119" spans="1:15">
      <c r="A119" s="10">
        <v>4100</v>
      </c>
      <c r="B119" s="10">
        <f t="shared" si="12"/>
        <v>405.7647</v>
      </c>
      <c r="C119" s="10">
        <f t="shared" si="13"/>
        <v>0.13248748432957513</v>
      </c>
      <c r="D119" s="10">
        <f t="shared" si="14"/>
        <v>8.121871082393782E-2</v>
      </c>
      <c r="E119" s="10">
        <f t="shared" si="15"/>
        <v>2.2037051118168224E-12</v>
      </c>
      <c r="F119" s="10">
        <f t="shared" si="16"/>
        <v>2.2037051118104962E-12</v>
      </c>
      <c r="G119" s="10">
        <f t="shared" si="22"/>
        <v>32.955685831861885</v>
      </c>
      <c r="I119" s="10">
        <v>4450</v>
      </c>
      <c r="J119" s="10">
        <f t="shared" si="17"/>
        <v>440.40314999999998</v>
      </c>
      <c r="K119" s="10">
        <f t="shared" si="18"/>
        <v>0.13835413460037535</v>
      </c>
      <c r="L119" s="10">
        <f t="shared" si="19"/>
        <v>0.10653926277882041</v>
      </c>
      <c r="M119" s="11">
        <f t="shared" si="23"/>
        <v>2.8547920433594788E-14</v>
      </c>
      <c r="N119" s="11">
        <f t="shared" si="20"/>
        <v>2.8547920433396595E-14</v>
      </c>
      <c r="O119" s="10">
        <f t="shared" si="21"/>
        <v>46.920226926470257</v>
      </c>
    </row>
    <row r="120" spans="1:15">
      <c r="A120" s="10">
        <v>4150</v>
      </c>
      <c r="B120" s="10">
        <f t="shared" si="12"/>
        <v>410.71305000000001</v>
      </c>
      <c r="C120" s="10">
        <f t="shared" si="13"/>
        <v>0.13225235333321045</v>
      </c>
      <c r="D120" s="10">
        <f t="shared" si="14"/>
        <v>8.0630883333026107E-2</v>
      </c>
      <c r="E120" s="10">
        <f t="shared" si="15"/>
        <v>2.1122473097324141E-12</v>
      </c>
      <c r="F120" s="10">
        <f t="shared" si="16"/>
        <v>2.1122473097324137E-12</v>
      </c>
      <c r="G120" s="10">
        <f t="shared" si="22"/>
        <v>33.116156017901318</v>
      </c>
      <c r="I120" s="10">
        <v>4500</v>
      </c>
      <c r="J120" s="10">
        <f t="shared" si="17"/>
        <v>445.35149999999999</v>
      </c>
      <c r="K120" s="10">
        <f t="shared" si="18"/>
        <v>0.13818742319015648</v>
      </c>
      <c r="L120" s="10">
        <f t="shared" si="19"/>
        <v>0.10607617552821243</v>
      </c>
      <c r="M120" s="11">
        <f t="shared" si="23"/>
        <v>2.7614776566739008E-14</v>
      </c>
      <c r="N120" s="11">
        <f t="shared" si="20"/>
        <v>2.7614776566674114E-14</v>
      </c>
      <c r="O120" s="10">
        <f t="shared" si="21"/>
        <v>47.241183885752697</v>
      </c>
    </row>
    <row r="121" spans="1:15">
      <c r="A121" s="10">
        <v>4200</v>
      </c>
      <c r="B121" s="10">
        <f t="shared" si="12"/>
        <v>415.66140000000001</v>
      </c>
      <c r="C121" s="10">
        <f t="shared" si="13"/>
        <v>0.13202170434796157</v>
      </c>
      <c r="D121" s="10">
        <f t="shared" si="14"/>
        <v>8.0054260869903901E-2</v>
      </c>
      <c r="E121" s="10">
        <f t="shared" si="15"/>
        <v>2.0256117951988548E-12</v>
      </c>
      <c r="F121" s="10">
        <f t="shared" si="16"/>
        <v>2.0256117951948259E-12</v>
      </c>
      <c r="G121" s="10">
        <f t="shared" si="22"/>
        <v>33.275466149149473</v>
      </c>
      <c r="I121" s="10">
        <v>4550</v>
      </c>
      <c r="J121" s="10">
        <f t="shared" si="17"/>
        <v>450.29984999999999</v>
      </c>
      <c r="K121" s="10">
        <f t="shared" si="18"/>
        <v>0.1380232657593469</v>
      </c>
      <c r="L121" s="10">
        <f t="shared" si="19"/>
        <v>0.10562018266485249</v>
      </c>
      <c r="M121" s="11">
        <f t="shared" si="23"/>
        <v>2.6721942411110711E-14</v>
      </c>
      <c r="N121" s="11">
        <f t="shared" si="20"/>
        <v>2.6721942410855593E-14</v>
      </c>
      <c r="O121" s="10">
        <f t="shared" si="21"/>
        <v>47.560752410955672</v>
      </c>
    </row>
    <row r="122" spans="1:15">
      <c r="A122" s="10">
        <v>4250</v>
      </c>
      <c r="B122" s="10">
        <f t="shared" si="12"/>
        <v>420.60975000000002</v>
      </c>
      <c r="C122" s="10">
        <f t="shared" si="13"/>
        <v>0.13179540022666336</v>
      </c>
      <c r="D122" s="10">
        <f t="shared" si="14"/>
        <v>7.948850056665839E-2</v>
      </c>
      <c r="E122" s="10">
        <f t="shared" si="15"/>
        <v>1.9434914389372799E-12</v>
      </c>
      <c r="F122" s="10">
        <f t="shared" si="16"/>
        <v>1.9434914389372795E-12</v>
      </c>
      <c r="G122" s="10">
        <f t="shared" si="22"/>
        <v>33.433638351217049</v>
      </c>
      <c r="I122" s="10">
        <v>4600</v>
      </c>
      <c r="J122" s="10">
        <f t="shared" si="17"/>
        <v>455.2482</v>
      </c>
      <c r="K122" s="10">
        <f t="shared" si="18"/>
        <v>0.13786159577063178</v>
      </c>
      <c r="L122" s="10">
        <f t="shared" si="19"/>
        <v>0.10517109936286606</v>
      </c>
      <c r="M122" s="11">
        <f t="shared" si="23"/>
        <v>2.5867262127166822E-14</v>
      </c>
      <c r="N122" s="11">
        <f t="shared" si="20"/>
        <v>2.5867262127166825E-14</v>
      </c>
      <c r="O122" s="10">
        <f t="shared" si="21"/>
        <v>47.878953676965921</v>
      </c>
    </row>
    <row r="123" spans="1:15">
      <c r="A123" s="10">
        <v>4300</v>
      </c>
      <c r="B123" s="10">
        <f t="shared" si="12"/>
        <v>425.55810000000002</v>
      </c>
      <c r="C123" s="10">
        <f t="shared" si="13"/>
        <v>0.13157330956344718</v>
      </c>
      <c r="D123" s="10">
        <f t="shared" si="14"/>
        <v>7.8933273908617929E-2</v>
      </c>
      <c r="E123" s="10">
        <f t="shared" si="15"/>
        <v>1.8656019617791698E-12</v>
      </c>
      <c r="F123" s="10">
        <f t="shared" si="16"/>
        <v>1.8656019617801327E-12</v>
      </c>
      <c r="G123" s="10">
        <f t="shared" si="22"/>
        <v>33.590694071331022</v>
      </c>
      <c r="I123" s="10">
        <v>4650</v>
      </c>
      <c r="J123" s="10">
        <f t="shared" si="17"/>
        <v>460.19655</v>
      </c>
      <c r="K123" s="10">
        <f t="shared" si="18"/>
        <v>0.1377023491188179</v>
      </c>
      <c r="L123" s="10">
        <f t="shared" si="19"/>
        <v>0.10472874755227193</v>
      </c>
      <c r="M123" s="11">
        <f t="shared" si="23"/>
        <v>2.5048716871760069E-14</v>
      </c>
      <c r="N123" s="11">
        <f t="shared" si="20"/>
        <v>2.5048716871698449E-14</v>
      </c>
      <c r="O123" s="10">
        <f t="shared" si="21"/>
        <v>48.195808309376488</v>
      </c>
    </row>
    <row r="124" spans="1:15">
      <c r="A124" s="10">
        <v>4350</v>
      </c>
      <c r="B124" s="10">
        <f t="shared" si="12"/>
        <v>430.50644999999997</v>
      </c>
      <c r="C124" s="10">
        <f t="shared" si="13"/>
        <v>0.13135530639025145</v>
      </c>
      <c r="D124" s="10">
        <f t="shared" si="14"/>
        <v>7.8388265975628604E-2</v>
      </c>
      <c r="E124" s="10">
        <f t="shared" si="15"/>
        <v>1.7916799955107348E-12</v>
      </c>
      <c r="F124" s="10">
        <f t="shared" si="16"/>
        <v>1.7916799955097927E-12</v>
      </c>
      <c r="G124" s="10">
        <f t="shared" si="22"/>
        <v>33.746654106823655</v>
      </c>
      <c r="I124" s="10">
        <v>4700</v>
      </c>
      <c r="J124" s="10">
        <f t="shared" si="17"/>
        <v>465.14490000000001</v>
      </c>
      <c r="K124" s="10">
        <f t="shared" si="18"/>
        <v>0.13754546401694093</v>
      </c>
      <c r="L124" s="10">
        <f t="shared" si="19"/>
        <v>0.10429295560261367</v>
      </c>
      <c r="M124" s="11">
        <f t="shared" si="23"/>
        <v>2.4264414742643053E-14</v>
      </c>
      <c r="N124" s="11">
        <f t="shared" si="20"/>
        <v>2.4264414742218967E-14</v>
      </c>
      <c r="O124" s="10">
        <f t="shared" si="21"/>
        <v>48.511336404482179</v>
      </c>
    </row>
    <row r="125" spans="1:15">
      <c r="A125" s="10">
        <v>4400</v>
      </c>
      <c r="B125" s="10">
        <f t="shared" si="12"/>
        <v>435.45479999999998</v>
      </c>
      <c r="C125" s="10">
        <f t="shared" si="13"/>
        <v>0.1311412698926358</v>
      </c>
      <c r="D125" s="10">
        <f t="shared" si="14"/>
        <v>7.7853174731589495E-2</v>
      </c>
      <c r="E125" s="10">
        <f t="shared" si="15"/>
        <v>1.7214813281172784E-12</v>
      </c>
      <c r="F125" s="10">
        <f t="shared" si="16"/>
        <v>1.7214813281154346E-12</v>
      </c>
      <c r="G125" s="10">
        <f t="shared" si="22"/>
        <v>33.901538632109357</v>
      </c>
      <c r="I125" s="10">
        <v>4750</v>
      </c>
      <c r="J125" s="10">
        <f t="shared" si="17"/>
        <v>470.09325000000001</v>
      </c>
      <c r="K125" s="10">
        <f t="shared" si="18"/>
        <v>0.13739088088885212</v>
      </c>
      <c r="L125" s="10">
        <f t="shared" si="19"/>
        <v>0.10386355802458921</v>
      </c>
      <c r="M125" s="11">
        <f t="shared" si="23"/>
        <v>2.3512581558389624E-14</v>
      </c>
      <c r="N125" s="11">
        <f t="shared" si="20"/>
        <v>2.351258155791301E-14</v>
      </c>
      <c r="O125" s="10">
        <f t="shared" si="21"/>
        <v>48.825557548342722</v>
      </c>
    </row>
    <row r="126" spans="1:15">
      <c r="A126" s="10">
        <v>4450</v>
      </c>
      <c r="B126" s="10">
        <f t="shared" si="12"/>
        <v>440.40314999999998</v>
      </c>
      <c r="C126" s="10">
        <f t="shared" si="13"/>
        <v>0.13093108414346788</v>
      </c>
      <c r="D126" s="10">
        <f t="shared" si="14"/>
        <v>7.7327710358669685E-2</v>
      </c>
      <c r="E126" s="10">
        <f t="shared" si="15"/>
        <v>1.6547793140559582E-12</v>
      </c>
      <c r="F126" s="10">
        <f t="shared" si="16"/>
        <v>1.6547793140505435E-12</v>
      </c>
      <c r="G126" s="10">
        <f t="shared" si="22"/>
        <v>34.055367224245757</v>
      </c>
      <c r="I126" s="10">
        <v>4800</v>
      </c>
      <c r="J126" s="10">
        <f t="shared" si="17"/>
        <v>475.04160000000002</v>
      </c>
      <c r="K126" s="10">
        <f t="shared" si="18"/>
        <v>0.13723854226785154</v>
      </c>
      <c r="L126" s="10">
        <f t="shared" si="19"/>
        <v>0.10344039518847647</v>
      </c>
      <c r="M126" s="11">
        <f t="shared" si="23"/>
        <v>2.2791552395635956E-14</v>
      </c>
      <c r="N126" s="11">
        <f t="shared" si="20"/>
        <v>2.279155239528439E-14</v>
      </c>
      <c r="O126" s="10">
        <f t="shared" si="21"/>
        <v>49.13849083496617</v>
      </c>
    </row>
    <row r="127" spans="1:15">
      <c r="A127" s="10">
        <v>4500</v>
      </c>
      <c r="B127" s="10">
        <f t="shared" si="12"/>
        <v>445.35149999999999</v>
      </c>
      <c r="C127" s="10">
        <f t="shared" si="13"/>
        <v>0.1307246378531734</v>
      </c>
      <c r="D127" s="10">
        <f t="shared" si="14"/>
        <v>7.681159463293348E-2</v>
      </c>
      <c r="E127" s="10">
        <f t="shared" si="15"/>
        <v>1.5913634323889249E-12</v>
      </c>
      <c r="F127" s="10">
        <f t="shared" si="16"/>
        <v>1.5913634323889243E-12</v>
      </c>
      <c r="G127" s="10">
        <f t="shared" si="22"/>
        <v>34.208158887168871</v>
      </c>
      <c r="I127" s="10">
        <v>4850</v>
      </c>
      <c r="J127" s="10">
        <f t="shared" si="17"/>
        <v>479.98995000000002</v>
      </c>
      <c r="K127" s="10">
        <f t="shared" si="18"/>
        <v>0.1370883927009684</v>
      </c>
      <c r="L127" s="10">
        <f t="shared" si="19"/>
        <v>0.10302331305824554</v>
      </c>
      <c r="M127" s="11">
        <f t="shared" si="23"/>
        <v>2.2099763815106882E-14</v>
      </c>
      <c r="N127" s="11">
        <f t="shared" si="20"/>
        <v>2.2099763815222166E-14</v>
      </c>
      <c r="O127" s="10">
        <f t="shared" si="21"/>
        <v>49.450154883661625</v>
      </c>
    </row>
    <row r="128" spans="1:15">
      <c r="A128" s="10">
        <v>4550</v>
      </c>
      <c r="B128" s="10">
        <f t="shared" si="12"/>
        <v>450.29984999999999</v>
      </c>
      <c r="C128" s="10">
        <f t="shared" si="13"/>
        <v>0.1305218241353488</v>
      </c>
      <c r="D128" s="10">
        <f t="shared" si="14"/>
        <v>7.6304560338371977E-2</v>
      </c>
      <c r="E128" s="10">
        <f t="shared" si="15"/>
        <v>1.5310379775797293E-12</v>
      </c>
      <c r="F128" s="10">
        <f t="shared" si="16"/>
        <v>1.5310379775745378E-12</v>
      </c>
      <c r="G128" s="10">
        <f t="shared" si="22"/>
        <v>34.359932074684849</v>
      </c>
      <c r="I128" s="10">
        <v>4900</v>
      </c>
      <c r="J128" s="10">
        <f t="shared" si="17"/>
        <v>484.93829999999997</v>
      </c>
      <c r="K128" s="10">
        <f t="shared" si="18"/>
        <v>0.1369403786585196</v>
      </c>
      <c r="L128" s="10">
        <f t="shared" si="19"/>
        <v>0.10261216294033221</v>
      </c>
      <c r="M128" s="11">
        <f t="shared" si="23"/>
        <v>2.1435746713531637E-14</v>
      </c>
      <c r="N128" s="11">
        <f t="shared" si="20"/>
        <v>2.1435746713304799E-14</v>
      </c>
      <c r="O128" s="10">
        <f t="shared" si="21"/>
        <v>49.760567855607697</v>
      </c>
    </row>
    <row r="129" spans="1:15">
      <c r="A129" s="10">
        <v>4600</v>
      </c>
      <c r="B129" s="10">
        <f t="shared" si="12"/>
        <v>455.2482</v>
      </c>
      <c r="C129" s="10">
        <f t="shared" si="13"/>
        <v>0.13032254028663517</v>
      </c>
      <c r="D129" s="10">
        <f t="shared" si="14"/>
        <v>7.5806350716587922E-2</v>
      </c>
      <c r="E129" s="10">
        <f t="shared" si="15"/>
        <v>1.4736208694684074E-12</v>
      </c>
      <c r="F129" s="10">
        <f t="shared" si="16"/>
        <v>1.4736208694658653E-12</v>
      </c>
      <c r="G129" s="10">
        <f t="shared" si="22"/>
        <v>34.510704712295365</v>
      </c>
      <c r="I129" s="10">
        <v>10000</v>
      </c>
      <c r="J129" s="10">
        <f t="shared" si="17"/>
        <v>989.67</v>
      </c>
      <c r="K129" s="10">
        <f t="shared" si="18"/>
        <v>0.12797053289165303</v>
      </c>
      <c r="L129" s="10">
        <f t="shared" si="19"/>
        <v>7.7695924699036176E-2</v>
      </c>
      <c r="M129" s="11">
        <f t="shared" si="23"/>
        <v>2.5679588463577935E-15</v>
      </c>
      <c r="N129" s="11">
        <f t="shared" si="20"/>
        <v>2.567958846321173E-15</v>
      </c>
      <c r="O129" s="10">
        <f t="shared" si="21"/>
        <v>76.893325796895127</v>
      </c>
    </row>
    <row r="130" spans="1:15">
      <c r="A130" s="10">
        <v>4650</v>
      </c>
      <c r="B130" s="10">
        <f t="shared" si="12"/>
        <v>460.19655</v>
      </c>
      <c r="C130" s="10">
        <f t="shared" si="13"/>
        <v>0.13012668757984225</v>
      </c>
      <c r="D130" s="10">
        <f t="shared" si="14"/>
        <v>7.5316718949605607E-2</v>
      </c>
      <c r="E130" s="10">
        <f t="shared" si="15"/>
        <v>1.4189425704058579E-12</v>
      </c>
      <c r="F130" s="10">
        <f t="shared" si="16"/>
        <v>1.4189425704000463E-12</v>
      </c>
      <c r="G130" s="10">
        <f t="shared" si="22"/>
        <v>34.660494217928125</v>
      </c>
      <c r="I130" s="10">
        <v>20000</v>
      </c>
      <c r="J130" s="10">
        <f t="shared" si="17"/>
        <v>1979.34</v>
      </c>
      <c r="K130" s="10">
        <f t="shared" si="18"/>
        <v>0.12134555278394839</v>
      </c>
      <c r="L130" s="10">
        <f t="shared" si="19"/>
        <v>5.9293202177634396E-2</v>
      </c>
      <c r="M130" s="11">
        <f t="shared" si="23"/>
        <v>3.2663760188538935E-16</v>
      </c>
      <c r="N130" s="11">
        <f t="shared" si="20"/>
        <v>3.2663760185487138E-16</v>
      </c>
      <c r="O130" s="10">
        <f t="shared" si="21"/>
        <v>117.36140679827886</v>
      </c>
    </row>
    <row r="131" spans="1:15">
      <c r="A131" s="10">
        <v>4700</v>
      </c>
      <c r="B131" s="10">
        <f t="shared" si="12"/>
        <v>465.14490000000001</v>
      </c>
      <c r="C131" s="10">
        <f t="shared" si="13"/>
        <v>0.12993417106939173</v>
      </c>
      <c r="D131" s="10">
        <f t="shared" si="14"/>
        <v>7.483542767347931E-2</v>
      </c>
      <c r="E131" s="10">
        <f t="shared" si="15"/>
        <v>1.3668450989039435E-12</v>
      </c>
      <c r="F131" s="10">
        <f t="shared" si="16"/>
        <v>1.3668450989023164E-12</v>
      </c>
      <c r="G131" s="10">
        <f t="shared" si="22"/>
        <v>34.809317521637766</v>
      </c>
      <c r="I131" s="10">
        <v>30000</v>
      </c>
      <c r="J131" s="10">
        <f t="shared" si="17"/>
        <v>2969.0099999999998</v>
      </c>
      <c r="K131" s="10">
        <f t="shared" si="18"/>
        <v>0.11822359430512079</v>
      </c>
      <c r="L131" s="10">
        <f t="shared" si="19"/>
        <v>5.0621095292002184E-2</v>
      </c>
      <c r="M131" s="11">
        <f t="shared" si="23"/>
        <v>9.7770073648957711E-17</v>
      </c>
      <c r="N131" s="11">
        <f t="shared" si="20"/>
        <v>9.7770073629698473E-17</v>
      </c>
      <c r="O131" s="10">
        <f t="shared" si="21"/>
        <v>150.29453813290741</v>
      </c>
    </row>
    <row r="132" spans="1:15">
      <c r="A132" s="10">
        <v>4750</v>
      </c>
      <c r="B132" s="10">
        <f t="shared" si="12"/>
        <v>470.09325000000001</v>
      </c>
      <c r="C132" s="10">
        <f t="shared" si="13"/>
        <v>0.1297448994082262</v>
      </c>
      <c r="D132" s="10">
        <f t="shared" si="14"/>
        <v>7.4362248520565485E-2</v>
      </c>
      <c r="E132" s="10">
        <f t="shared" si="15"/>
        <v>1.3171811302673952E-12</v>
      </c>
      <c r="F132" s="10">
        <f t="shared" si="16"/>
        <v>1.3171811302665975E-12</v>
      </c>
      <c r="G132" s="10">
        <f t="shared" si="22"/>
        <v>34.957191084340323</v>
      </c>
      <c r="I132" s="10">
        <v>40000</v>
      </c>
      <c r="J132" s="10">
        <f t="shared" si="17"/>
        <v>3958.68</v>
      </c>
      <c r="K132" s="10">
        <f t="shared" si="18"/>
        <v>0.11628954296072713</v>
      </c>
      <c r="L132" s="10">
        <f t="shared" si="19"/>
        <v>4.5248730446464241E-2</v>
      </c>
      <c r="M132" s="11">
        <f t="shared" si="23"/>
        <v>4.1544936887392565E-17</v>
      </c>
      <c r="N132" s="11">
        <f t="shared" si="20"/>
        <v>4.1544936879254473E-17</v>
      </c>
      <c r="O132" s="10">
        <f t="shared" si="21"/>
        <v>179.12524424380905</v>
      </c>
    </row>
    <row r="133" spans="1:15">
      <c r="A133" s="10">
        <v>4800</v>
      </c>
      <c r="B133" s="10">
        <f t="shared" si="12"/>
        <v>475.04160000000002</v>
      </c>
      <c r="C133" s="10">
        <f t="shared" si="13"/>
        <v>0.12955878467539422</v>
      </c>
      <c r="D133" s="10">
        <f t="shared" si="14"/>
        <v>7.3896961688485543E-2</v>
      </c>
      <c r="E133" s="10">
        <f t="shared" si="15"/>
        <v>1.2698131757335891E-12</v>
      </c>
      <c r="F133" s="10">
        <f t="shared" si="16"/>
        <v>1.2698131757304621E-12</v>
      </c>
      <c r="G133" s="10">
        <f t="shared" si="22"/>
        <v>35.104130915636873</v>
      </c>
      <c r="I133" s="10">
        <v>50000</v>
      </c>
      <c r="J133" s="10">
        <f t="shared" si="17"/>
        <v>4948.3500000000004</v>
      </c>
      <c r="K133" s="10">
        <f t="shared" si="18"/>
        <v>0.11493188097561975</v>
      </c>
      <c r="L133" s="10">
        <f t="shared" si="19"/>
        <v>4.1477447154499296E-2</v>
      </c>
      <c r="M133" s="11">
        <f t="shared" si="23"/>
        <v>2.1390132469257479E-17</v>
      </c>
      <c r="N133" s="11">
        <f t="shared" si="20"/>
        <v>2.139013246782904E-17</v>
      </c>
      <c r="O133" s="10">
        <f t="shared" si="21"/>
        <v>205.24492562696662</v>
      </c>
    </row>
    <row r="134" spans="1:15">
      <c r="A134" s="10">
        <v>4850</v>
      </c>
      <c r="B134" s="10">
        <f t="shared" si="12"/>
        <v>479.98995000000002</v>
      </c>
      <c r="C134" s="10">
        <f t="shared" si="13"/>
        <v>0.12937574221358644</v>
      </c>
      <c r="D134" s="10">
        <f t="shared" si="14"/>
        <v>7.3439355533966091E-2</v>
      </c>
      <c r="E134" s="10">
        <f t="shared" si="15"/>
        <v>1.2246128325315404E-12</v>
      </c>
      <c r="F134" s="10">
        <f t="shared" si="16"/>
        <v>1.2246128325315411E-12</v>
      </c>
      <c r="G134" s="10">
        <f t="shared" si="22"/>
        <v>35.250152590780608</v>
      </c>
      <c r="I134" s="10">
        <v>60000</v>
      </c>
      <c r="J134" s="10">
        <f t="shared" si="17"/>
        <v>5938.0199999999995</v>
      </c>
      <c r="K134" s="10">
        <f t="shared" si="18"/>
        <v>0.11390702248241941</v>
      </c>
      <c r="L134" s="10">
        <f t="shared" si="19"/>
        <v>3.863061800672056E-2</v>
      </c>
      <c r="M134" s="11">
        <f t="shared" si="23"/>
        <v>1.2435146445976265E-17</v>
      </c>
      <c r="N134" s="11">
        <f t="shared" si="20"/>
        <v>1.2435146440626553E-17</v>
      </c>
      <c r="O134" s="10">
        <f t="shared" si="21"/>
        <v>229.38938233626681</v>
      </c>
    </row>
    <row r="135" spans="1:15">
      <c r="A135" s="10">
        <v>4900</v>
      </c>
      <c r="B135" s="10">
        <f t="shared" si="12"/>
        <v>484.93829999999997</v>
      </c>
      <c r="C135" s="10">
        <f t="shared" si="13"/>
        <v>0.12919569047595289</v>
      </c>
      <c r="D135" s="10">
        <f t="shared" si="14"/>
        <v>7.2989226189882211E-2</v>
      </c>
      <c r="E135" s="10">
        <f t="shared" si="15"/>
        <v>1.1814600980951258E-12</v>
      </c>
      <c r="F135" s="10">
        <f t="shared" si="16"/>
        <v>1.1814600980973809E-12</v>
      </c>
      <c r="G135" s="10">
        <f t="shared" si="22"/>
        <v>35.395271266836957</v>
      </c>
      <c r="I135" s="10">
        <v>70000</v>
      </c>
      <c r="J135" s="10">
        <f t="shared" si="17"/>
        <v>6927.69</v>
      </c>
      <c r="K135" s="10">
        <f t="shared" si="18"/>
        <v>0.11309559166847855</v>
      </c>
      <c r="L135" s="10">
        <f t="shared" si="19"/>
        <v>3.6376643523551501E-2</v>
      </c>
      <c r="M135" s="11">
        <f t="shared" si="23"/>
        <v>7.8611358182528506E-18</v>
      </c>
      <c r="N135" s="11">
        <f t="shared" si="20"/>
        <v>7.8611358123867654E-18</v>
      </c>
      <c r="O135" s="10">
        <f t="shared" si="21"/>
        <v>252.00610957167248</v>
      </c>
    </row>
    <row r="136" spans="1:15">
      <c r="A136" s="10">
        <v>10000</v>
      </c>
      <c r="B136" s="10">
        <f t="shared" si="12"/>
        <v>989.67</v>
      </c>
      <c r="C136" s="10">
        <f t="shared" si="13"/>
        <v>0.11903441644335384</v>
      </c>
      <c r="D136" s="10">
        <f t="shared" si="14"/>
        <v>4.7586041108384595E-2</v>
      </c>
      <c r="E136" s="10">
        <f t="shared" si="15"/>
        <v>9.7394678789786857E-14</v>
      </c>
      <c r="F136" s="10">
        <f t="shared" si="16"/>
        <v>9.7394678789205094E-14</v>
      </c>
      <c r="G136" s="10">
        <f t="shared" si="22"/>
        <v>47.094477303734983</v>
      </c>
      <c r="I136" s="10">
        <v>80000</v>
      </c>
      <c r="J136" s="10">
        <f t="shared" si="17"/>
        <v>7917.36</v>
      </c>
      <c r="K136" s="10">
        <f t="shared" si="18"/>
        <v>0.11243106733436994</v>
      </c>
      <c r="L136" s="10">
        <f t="shared" si="19"/>
        <v>3.453074259547205E-2</v>
      </c>
      <c r="M136" s="11">
        <f t="shared" si="23"/>
        <v>5.2839662315040503E-18</v>
      </c>
      <c r="N136" s="11">
        <f t="shared" si="20"/>
        <v>5.2839662321822141E-18</v>
      </c>
      <c r="O136" s="10">
        <f t="shared" si="21"/>
        <v>273.39232019568658</v>
      </c>
    </row>
    <row r="137" spans="1:15">
      <c r="A137" s="10">
        <v>20000</v>
      </c>
      <c r="B137" s="10">
        <f t="shared" si="12"/>
        <v>1979.34</v>
      </c>
      <c r="C137" s="10">
        <f t="shared" si="13"/>
        <v>0.1125589700617583</v>
      </c>
      <c r="D137" s="10">
        <f t="shared" si="14"/>
        <v>3.1397425154395739E-2</v>
      </c>
      <c r="E137" s="10">
        <f t="shared" si="15"/>
        <v>8.6112357627448548E-15</v>
      </c>
      <c r="F137" s="10">
        <f t="shared" si="16"/>
        <v>8.6112357624850119E-15</v>
      </c>
      <c r="G137" s="10">
        <f t="shared" si="22"/>
        <v>62.146179505101657</v>
      </c>
      <c r="I137" s="10">
        <v>90000</v>
      </c>
      <c r="J137" s="10">
        <f t="shared" si="17"/>
        <v>8907.0300000000007</v>
      </c>
      <c r="K137" s="10">
        <f t="shared" si="18"/>
        <v>0.11187296120063708</v>
      </c>
      <c r="L137" s="10">
        <f t="shared" si="19"/>
        <v>3.2980447779547437E-2</v>
      </c>
      <c r="M137" s="11">
        <f t="shared" si="23"/>
        <v>3.7220470086339795E-18</v>
      </c>
      <c r="N137" s="11">
        <f t="shared" si="20"/>
        <v>3.7220470080713059E-18</v>
      </c>
      <c r="O137" s="10">
        <f t="shared" si="21"/>
        <v>293.75783778586242</v>
      </c>
    </row>
    <row r="138" spans="1:15">
      <c r="A138" s="10">
        <v>30000</v>
      </c>
      <c r="B138" s="10">
        <f t="shared" si="12"/>
        <v>2969.0099999999998</v>
      </c>
      <c r="C138" s="10">
        <f t="shared" si="13"/>
        <v>0.10984706707869718</v>
      </c>
      <c r="D138" s="10">
        <f t="shared" si="14"/>
        <v>2.4617667696742937E-2</v>
      </c>
      <c r="E138" s="10">
        <f t="shared" si="15"/>
        <v>2.0834249027868702E-15</v>
      </c>
      <c r="F138" s="10">
        <f t="shared" si="16"/>
        <v>2.0834249027147076E-15</v>
      </c>
      <c r="G138" s="10">
        <f t="shared" si="22"/>
        <v>73.090101568306736</v>
      </c>
      <c r="I138" s="10">
        <v>100000</v>
      </c>
      <c r="J138" s="10">
        <f t="shared" si="17"/>
        <v>9896.7000000000007</v>
      </c>
      <c r="K138" s="10">
        <f t="shared" si="18"/>
        <v>0.11139498385451981</v>
      </c>
      <c r="L138" s="10">
        <f t="shared" si="19"/>
        <v>3.1652732929221668E-2</v>
      </c>
      <c r="M138" s="11">
        <f t="shared" si="23"/>
        <v>2.720531504259828E-18</v>
      </c>
      <c r="N138" s="11">
        <f t="shared" si="20"/>
        <v>2.7205315028314182E-18</v>
      </c>
      <c r="O138" s="10">
        <f t="shared" si="21"/>
        <v>313.25760198062812</v>
      </c>
    </row>
    <row r="139" spans="1:15">
      <c r="A139" s="10">
        <v>40000</v>
      </c>
      <c r="B139" s="10">
        <f t="shared" si="12"/>
        <v>3958.68</v>
      </c>
      <c r="C139" s="10">
        <f t="shared" si="13"/>
        <v>0.1082860344693664</v>
      </c>
      <c r="D139" s="10">
        <f t="shared" si="14"/>
        <v>2.0715086173415977E-2</v>
      </c>
      <c r="E139" s="10">
        <f t="shared" si="15"/>
        <v>7.6121109755798916E-16</v>
      </c>
      <c r="F139" s="10">
        <f t="shared" si="16"/>
        <v>7.6121109755798926E-16</v>
      </c>
      <c r="G139" s="10">
        <f t="shared" si="22"/>
        <v>82.004397332978357</v>
      </c>
      <c r="I139" s="10">
        <v>200000</v>
      </c>
      <c r="J139" s="10">
        <f t="shared" si="17"/>
        <v>19793.400000000001</v>
      </c>
      <c r="K139" s="10">
        <f t="shared" si="18"/>
        <v>0.10869585634485186</v>
      </c>
      <c r="L139" s="10">
        <f t="shared" si="19"/>
        <v>2.4155156513477383E-2</v>
      </c>
      <c r="M139" s="11">
        <f t="shared" si="23"/>
        <v>3.4601206944951546E-19</v>
      </c>
      <c r="N139" s="11">
        <f t="shared" si="20"/>
        <v>3.4601206881468163E-19</v>
      </c>
      <c r="O139" s="10">
        <f t="shared" si="21"/>
        <v>478.11267493386327</v>
      </c>
    </row>
    <row r="140" spans="1:15">
      <c r="A140" s="10">
        <v>50000</v>
      </c>
      <c r="B140" s="10">
        <f t="shared" si="12"/>
        <v>4948.3500000000004</v>
      </c>
      <c r="C140" s="10">
        <f t="shared" si="13"/>
        <v>0.10724773507849009</v>
      </c>
      <c r="D140" s="10">
        <f t="shared" si="14"/>
        <v>1.8119337696225202E-2</v>
      </c>
      <c r="E140" s="10">
        <f t="shared" si="15"/>
        <v>3.485994200001514E-16</v>
      </c>
      <c r="F140" s="10">
        <f t="shared" si="16"/>
        <v>3.4859942000015155E-16</v>
      </c>
      <c r="G140" s="10">
        <f t="shared" si="22"/>
        <v>89.660824689115984</v>
      </c>
      <c r="I140" s="10">
        <v>300000</v>
      </c>
      <c r="J140" s="10">
        <f t="shared" si="17"/>
        <v>29690.1</v>
      </c>
      <c r="K140" s="10">
        <f t="shared" si="18"/>
        <v>0.10742398107568168</v>
      </c>
      <c r="L140" s="10">
        <f t="shared" si="19"/>
        <v>2.0622169654671334E-2</v>
      </c>
      <c r="M140" s="11">
        <f t="shared" si="23"/>
        <v>1.035667173619877E-19</v>
      </c>
      <c r="N140" s="11">
        <f t="shared" si="20"/>
        <v>1.0356671702813441E-19</v>
      </c>
      <c r="O140" s="10">
        <f t="shared" si="21"/>
        <v>612.27427926415737</v>
      </c>
    </row>
    <row r="141" spans="1:15">
      <c r="A141" s="10">
        <v>60000</v>
      </c>
      <c r="B141" s="10">
        <f t="shared" si="12"/>
        <v>5938.0199999999995</v>
      </c>
      <c r="C141" s="10">
        <f t="shared" si="13"/>
        <v>0.10649672518328213</v>
      </c>
      <c r="D141" s="10">
        <f t="shared" si="14"/>
        <v>1.6241812958205301E-2</v>
      </c>
      <c r="E141" s="10">
        <f t="shared" si="15"/>
        <v>1.8416037377118424E-16</v>
      </c>
      <c r="F141" s="10">
        <f t="shared" si="16"/>
        <v>1.841603737840748E-16</v>
      </c>
      <c r="G141" s="10">
        <f t="shared" si="22"/>
        <v>96.44421018208223</v>
      </c>
      <c r="I141" s="10">
        <v>400000</v>
      </c>
      <c r="J141" s="10">
        <f t="shared" si="17"/>
        <v>39586.800000000003</v>
      </c>
      <c r="K141" s="10">
        <f t="shared" si="18"/>
        <v>0.10663606739978221</v>
      </c>
      <c r="L141" s="10">
        <f t="shared" si="19"/>
        <v>1.8433520554950563E-2</v>
      </c>
      <c r="M141" s="11">
        <f t="shared" si="23"/>
        <v>4.4007598440788459E-20</v>
      </c>
      <c r="N141" s="11">
        <f t="shared" si="20"/>
        <v>4.4007598282083971E-20</v>
      </c>
      <c r="O141" s="10">
        <f t="shared" si="21"/>
        <v>729.72409150471697</v>
      </c>
    </row>
    <row r="142" spans="1:15">
      <c r="A142" s="10">
        <v>70000</v>
      </c>
      <c r="B142" s="10">
        <f t="shared" ref="B142:B154" si="24">0.098967*A142</f>
        <v>6927.69</v>
      </c>
      <c r="C142" s="10">
        <f t="shared" ref="C142:C154" si="25">$B$6+(($B$7-$B$6)/(1+($B$3*A142)^$B$4)^$B$5)</f>
        <v>0.10592279941239824</v>
      </c>
      <c r="D142" s="10">
        <f t="shared" ref="D142:D154" si="26">(C142-$B$6)/($B$7-$B$6)</f>
        <v>1.4806998530995583E-2</v>
      </c>
      <c r="E142" s="24">
        <f t="shared" ref="E142:E154" si="27">$B$8*D142^$B$9*(1-(1-D142^(1/$B$5))^$B$5)^2</f>
        <v>1.0737048959452126E-16</v>
      </c>
      <c r="F142" s="10">
        <f t="shared" ref="F142:F154" si="28">$B$8*((1-(($B$3*A142)^($B$4-1))*(1+($B$3*A142)^$B$4)^(-1+1/$B$4))^2)/(1+($B$3*A142)^$B$4)^(0.5-(1/(2*$B$4)))</f>
        <v>1.0737048958490341E-16</v>
      </c>
      <c r="G142" s="10">
        <f t="shared" si="22"/>
        <v>102.57829565319278</v>
      </c>
      <c r="I142" s="10">
        <v>500000</v>
      </c>
      <c r="J142" s="10">
        <f t="shared" ref="J142:J147" si="29">0.098967*I142</f>
        <v>49483.5</v>
      </c>
      <c r="K142" s="10">
        <f t="shared" ref="K142:K147" si="30">$J$6+(($J$7-$J$6)/(1+($J$3*I142)^$J$4)^$J$5)</f>
        <v>0.10608297322191833</v>
      </c>
      <c r="L142" s="10">
        <f t="shared" ref="L142:L147" si="31">(K142-$J$6)/($J$7-$J$6)</f>
        <v>1.6897147838662009E-2</v>
      </c>
      <c r="M142" s="11">
        <f t="shared" si="23"/>
        <v>2.2657943463482913E-20</v>
      </c>
      <c r="N142" s="11">
        <f t="shared" ref="N142:N147" si="32">$J$8*((1-(($J$3*I142)^($J$4-1))*(1+($J$3*I142)^$J$4)^(-1+1/$J$4))^2)/(1+($J$3*I142)^$J$4)^(0.5-(1/(2*$J$4)))</f>
        <v>2.2657943203488714E-20</v>
      </c>
      <c r="O142" s="10">
        <f t="shared" ref="O142:O147" si="33">L142*J142</f>
        <v>836.13001507443153</v>
      </c>
    </row>
    <row r="143" spans="1:15">
      <c r="A143" s="10">
        <v>80000</v>
      </c>
      <c r="B143" s="10">
        <f t="shared" si="24"/>
        <v>7917.36</v>
      </c>
      <c r="C143" s="10">
        <f t="shared" si="25"/>
        <v>0.10546678848070548</v>
      </c>
      <c r="D143" s="10">
        <f t="shared" si="26"/>
        <v>1.3666971201763689E-2</v>
      </c>
      <c r="E143" s="10">
        <f t="shared" si="27"/>
        <v>6.7284471391633395E-17</v>
      </c>
      <c r="F143" s="10">
        <f t="shared" si="28"/>
        <v>6.7284471358051488E-17</v>
      </c>
      <c r="G143" s="10">
        <f t="shared" ref="G143:G154" si="34">D143*B143</f>
        <v>108.20633111399576</v>
      </c>
      <c r="I143" s="10">
        <v>600000</v>
      </c>
      <c r="J143" s="10">
        <f t="shared" si="29"/>
        <v>59380.2</v>
      </c>
      <c r="K143" s="10">
        <f t="shared" si="30"/>
        <v>0.10566546070732469</v>
      </c>
      <c r="L143" s="10">
        <f t="shared" si="31"/>
        <v>1.5737390853679672E-2</v>
      </c>
      <c r="M143" s="11">
        <f t="shared" ref="M143:M147" si="35">$J$8*L143^$J$9*(1-(1-L143^(1/$J$5))^$J$5)^2</f>
        <v>1.3172140334392477E-20</v>
      </c>
      <c r="N143" s="11">
        <f t="shared" si="32"/>
        <v>1.3172140167470075E-20</v>
      </c>
      <c r="O143" s="10">
        <f t="shared" si="33"/>
        <v>934.4894163696697</v>
      </c>
    </row>
    <row r="144" spans="1:15">
      <c r="A144" s="10">
        <v>90000</v>
      </c>
      <c r="B144" s="10">
        <f t="shared" si="24"/>
        <v>8907.0300000000007</v>
      </c>
      <c r="C144" s="10">
        <f t="shared" si="25"/>
        <v>0.10509379022699458</v>
      </c>
      <c r="D144" s="10">
        <f t="shared" si="26"/>
        <v>1.2734475567486442E-2</v>
      </c>
      <c r="E144" s="10">
        <f t="shared" si="27"/>
        <v>4.455354452499593E-17</v>
      </c>
      <c r="F144" s="10">
        <f t="shared" si="28"/>
        <v>4.4553544519029645E-17</v>
      </c>
      <c r="G144" s="10">
        <f t="shared" si="34"/>
        <v>113.42635591386878</v>
      </c>
      <c r="I144" s="10">
        <v>700000</v>
      </c>
      <c r="J144" s="10">
        <f t="shared" si="29"/>
        <v>69276.899999999994</v>
      </c>
      <c r="K144" s="10">
        <f t="shared" si="30"/>
        <v>0.10533489643145159</v>
      </c>
      <c r="L144" s="10">
        <f t="shared" si="31"/>
        <v>1.4819156754032191E-2</v>
      </c>
      <c r="M144" s="11">
        <f t="shared" si="35"/>
        <v>8.3270216560916734E-21</v>
      </c>
      <c r="N144" s="11">
        <f t="shared" si="32"/>
        <v>8.3270214381939215E-21</v>
      </c>
      <c r="O144" s="10">
        <f t="shared" si="33"/>
        <v>1026.6252405334126</v>
      </c>
    </row>
    <row r="145" spans="1:15">
      <c r="A145" s="10">
        <v>100000</v>
      </c>
      <c r="B145" s="10">
        <f t="shared" si="24"/>
        <v>9896.7000000000007</v>
      </c>
      <c r="C145" s="10">
        <f t="shared" si="25"/>
        <v>0.10478174910141007</v>
      </c>
      <c r="D145" s="10">
        <f t="shared" si="26"/>
        <v>1.1954372753525157E-2</v>
      </c>
      <c r="E145" s="10">
        <f t="shared" si="27"/>
        <v>3.0812857445947219E-17</v>
      </c>
      <c r="F145" s="10">
        <f t="shared" si="28"/>
        <v>3.0812857428853632E-17</v>
      </c>
      <c r="G145" s="10">
        <f t="shared" si="34"/>
        <v>118.30884082981242</v>
      </c>
      <c r="I145" s="10">
        <v>800000</v>
      </c>
      <c r="J145" s="10">
        <f t="shared" si="29"/>
        <v>79173.600000000006</v>
      </c>
      <c r="K145" s="10">
        <f t="shared" si="30"/>
        <v>0.10506418006860013</v>
      </c>
      <c r="L145" s="10">
        <f t="shared" si="31"/>
        <v>1.4067166857222575E-2</v>
      </c>
      <c r="M145" s="11">
        <f t="shared" si="35"/>
        <v>5.5971079472410135E-21</v>
      </c>
      <c r="N145" s="11">
        <f t="shared" si="32"/>
        <v>5.5971077885406102E-21</v>
      </c>
      <c r="O145" s="10">
        <f t="shared" si="33"/>
        <v>1113.7482418869974</v>
      </c>
    </row>
    <row r="146" spans="1:15">
      <c r="A146" s="10">
        <v>200000</v>
      </c>
      <c r="B146" s="10">
        <f t="shared" si="24"/>
        <v>19793.400000000001</v>
      </c>
      <c r="C146" s="10">
        <f t="shared" si="25"/>
        <v>0.10315478380658191</v>
      </c>
      <c r="D146" s="10">
        <f t="shared" si="26"/>
        <v>7.8869595164547668E-3</v>
      </c>
      <c r="E146" s="10">
        <f t="shared" si="27"/>
        <v>2.7235188621108749E-18</v>
      </c>
      <c r="F146" s="10">
        <f t="shared" si="28"/>
        <v>2.7235188575307392E-18</v>
      </c>
      <c r="G146" s="10">
        <f t="shared" si="34"/>
        <v>156.10974449299579</v>
      </c>
      <c r="I146" s="10">
        <v>900000</v>
      </c>
      <c r="J146" s="10">
        <f t="shared" si="29"/>
        <v>89070.3</v>
      </c>
      <c r="K146" s="10">
        <f t="shared" si="30"/>
        <v>0.10483681704720996</v>
      </c>
      <c r="L146" s="10">
        <f t="shared" si="31"/>
        <v>1.3435602908916532E-2</v>
      </c>
      <c r="M146" s="11">
        <f t="shared" si="35"/>
        <v>3.9426202916612938E-21</v>
      </c>
      <c r="N146" s="11">
        <f t="shared" si="32"/>
        <v>3.9426201892478798E-21</v>
      </c>
      <c r="O146" s="10">
        <f t="shared" si="33"/>
        <v>1196.7131817780682</v>
      </c>
    </row>
    <row r="147" spans="1:15">
      <c r="A147" s="10">
        <v>300000</v>
      </c>
      <c r="B147" s="10">
        <f t="shared" si="24"/>
        <v>29690.1</v>
      </c>
      <c r="C147" s="10">
        <f t="shared" si="25"/>
        <v>0.1024735177948581</v>
      </c>
      <c r="D147" s="10">
        <f t="shared" si="26"/>
        <v>6.1837944871452263E-3</v>
      </c>
      <c r="E147" s="10">
        <f t="shared" si="27"/>
        <v>6.5888827448177951E-19</v>
      </c>
      <c r="F147" s="10">
        <f t="shared" si="28"/>
        <v>6.5888827236193038E-19</v>
      </c>
      <c r="G147" s="10">
        <f t="shared" si="34"/>
        <v>183.59747670279049</v>
      </c>
      <c r="I147" s="10">
        <v>1000000</v>
      </c>
      <c r="J147" s="10">
        <f t="shared" si="29"/>
        <v>98967</v>
      </c>
      <c r="K147" s="10">
        <f t="shared" si="30"/>
        <v>0.10464209733777584</v>
      </c>
      <c r="L147" s="10">
        <f t="shared" si="31"/>
        <v>1.2894714827155093E-2</v>
      </c>
      <c r="M147" s="11">
        <f t="shared" si="35"/>
        <v>2.8817508918533156E-21</v>
      </c>
      <c r="N147" s="11">
        <f t="shared" si="32"/>
        <v>2.88175081757117E-21</v>
      </c>
      <c r="O147" s="10">
        <f t="shared" si="33"/>
        <v>1276.1512422990581</v>
      </c>
    </row>
    <row r="148" spans="1:15">
      <c r="A148" s="10">
        <v>400000</v>
      </c>
      <c r="B148" s="10">
        <f t="shared" si="24"/>
        <v>39586.800000000003</v>
      </c>
      <c r="C148" s="10">
        <f t="shared" si="25"/>
        <v>0.10208138238391198</v>
      </c>
      <c r="D148" s="10">
        <f t="shared" si="26"/>
        <v>5.2034559597799457E-3</v>
      </c>
      <c r="E148" s="10">
        <f t="shared" si="27"/>
        <v>2.4072795330509607E-19</v>
      </c>
      <c r="F148" s="10">
        <f t="shared" si="28"/>
        <v>2.4072795172724455E-19</v>
      </c>
      <c r="G148" s="10">
        <f t="shared" si="34"/>
        <v>205.98817038861677</v>
      </c>
      <c r="M148" s="11"/>
    </row>
    <row r="149" spans="1:15">
      <c r="A149" s="10">
        <v>500000</v>
      </c>
      <c r="B149" s="10">
        <f t="shared" si="24"/>
        <v>49483.5</v>
      </c>
      <c r="C149" s="10">
        <f t="shared" si="25"/>
        <v>0.10182056381461366</v>
      </c>
      <c r="D149" s="10">
        <f t="shared" si="26"/>
        <v>4.5514095365341289E-3</v>
      </c>
      <c r="E149" s="10">
        <f t="shared" si="27"/>
        <v>1.1024061905956657E-19</v>
      </c>
      <c r="F149" s="10">
        <f t="shared" si="28"/>
        <v>1.1024061917430124E-19</v>
      </c>
      <c r="G149" s="10">
        <f t="shared" si="34"/>
        <v>225.21967380108657</v>
      </c>
      <c r="M149" s="11"/>
    </row>
    <row r="150" spans="1:15">
      <c r="A150" s="10">
        <v>600000</v>
      </c>
      <c r="B150" s="10">
        <f t="shared" si="24"/>
        <v>59380.2</v>
      </c>
      <c r="C150" s="10">
        <f t="shared" si="25"/>
        <v>0.1016319136771958</v>
      </c>
      <c r="D150" s="10">
        <f t="shared" si="26"/>
        <v>4.0797841929894954E-3</v>
      </c>
      <c r="E150" s="10">
        <f t="shared" si="27"/>
        <v>5.8238124412451475E-20</v>
      </c>
      <c r="F150" s="10">
        <f t="shared" si="28"/>
        <v>5.8238123925594236E-20</v>
      </c>
      <c r="G150" s="10">
        <f t="shared" si="34"/>
        <v>242.25840133655481</v>
      </c>
      <c r="M150" s="11"/>
    </row>
    <row r="151" spans="1:15">
      <c r="A151" s="10">
        <v>700000</v>
      </c>
      <c r="B151" s="10">
        <f t="shared" si="24"/>
        <v>69276.899999999994</v>
      </c>
      <c r="C151" s="10">
        <f t="shared" si="25"/>
        <v>0.1014877471385579</v>
      </c>
      <c r="D151" s="10">
        <f t="shared" si="26"/>
        <v>3.7193678463947472E-3</v>
      </c>
      <c r="E151" s="10">
        <f t="shared" si="27"/>
        <v>3.3954213814999127E-20</v>
      </c>
      <c r="F151" s="10">
        <f t="shared" si="28"/>
        <v>3.3954213814999145E-20</v>
      </c>
      <c r="G151" s="10">
        <f t="shared" si="34"/>
        <v>257.66627435790423</v>
      </c>
      <c r="M151" s="11"/>
    </row>
    <row r="152" spans="1:15">
      <c r="A152" s="10">
        <v>800000</v>
      </c>
      <c r="B152" s="10">
        <f t="shared" si="24"/>
        <v>79173.600000000006</v>
      </c>
      <c r="C152" s="10">
        <f t="shared" si="25"/>
        <v>0.10137320054102135</v>
      </c>
      <c r="D152" s="10">
        <f t="shared" si="26"/>
        <v>3.4330013525533595E-3</v>
      </c>
      <c r="E152" s="10">
        <f t="shared" si="27"/>
        <v>2.1277564119964755E-20</v>
      </c>
      <c r="F152" s="10">
        <f t="shared" si="28"/>
        <v>2.1277563603239586E-20</v>
      </c>
      <c r="G152" s="10">
        <f t="shared" si="34"/>
        <v>271.80307588651868</v>
      </c>
      <c r="M152" s="11"/>
    </row>
    <row r="153" spans="1:15">
      <c r="A153" s="10">
        <v>900000</v>
      </c>
      <c r="B153" s="10">
        <f t="shared" si="24"/>
        <v>89070.3</v>
      </c>
      <c r="C153" s="10">
        <f t="shared" si="25"/>
        <v>0.10127950639220684</v>
      </c>
      <c r="D153" s="10">
        <f t="shared" si="26"/>
        <v>3.1987659805170904E-3</v>
      </c>
      <c r="E153" s="10">
        <f t="shared" si="27"/>
        <v>1.4089257639113234E-20</v>
      </c>
      <c r="F153" s="10">
        <f t="shared" si="28"/>
        <v>1.4089257714224887E-20</v>
      </c>
      <c r="G153" s="10">
        <f t="shared" si="34"/>
        <v>284.91504551445138</v>
      </c>
      <c r="M153" s="11"/>
    </row>
    <row r="154" spans="1:15">
      <c r="A154" s="10">
        <v>1000000</v>
      </c>
      <c r="B154" s="10">
        <f t="shared" si="24"/>
        <v>98967</v>
      </c>
      <c r="C154" s="10">
        <f t="shared" si="25"/>
        <v>0.10120112434944825</v>
      </c>
      <c r="D154" s="10">
        <f t="shared" si="26"/>
        <v>3.0028108736206149E-3</v>
      </c>
      <c r="E154" s="10">
        <f t="shared" si="27"/>
        <v>9.7439919588141838E-21</v>
      </c>
      <c r="F154" s="10">
        <f t="shared" si="28"/>
        <v>9.7439918973293563E-21</v>
      </c>
      <c r="G154" s="10">
        <f t="shared" si="34"/>
        <v>297.1791837296114</v>
      </c>
      <c r="M154" s="11"/>
    </row>
    <row r="155" spans="1:15">
      <c r="M155" s="11"/>
    </row>
    <row r="156" spans="1:15">
      <c r="M156" s="11"/>
    </row>
    <row r="157" spans="1:15">
      <c r="M157" s="11"/>
    </row>
    <row r="158" spans="1:15">
      <c r="M158" s="11"/>
    </row>
    <row r="159" spans="1:15">
      <c r="M159" s="11"/>
    </row>
    <row r="160" spans="1:15">
      <c r="M160" s="11"/>
    </row>
    <row r="161" spans="13:13">
      <c r="M161" s="11"/>
    </row>
    <row r="162" spans="13:13">
      <c r="M162" s="11"/>
    </row>
    <row r="163" spans="13:13">
      <c r="M163" s="11"/>
    </row>
    <row r="164" spans="13:13">
      <c r="M164" s="11"/>
    </row>
    <row r="165" spans="13:13">
      <c r="M165" s="11"/>
    </row>
    <row r="166" spans="13:13">
      <c r="M166" s="11"/>
    </row>
    <row r="167" spans="13:13">
      <c r="M167" s="11"/>
    </row>
    <row r="168" spans="13:13">
      <c r="M168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Atterberg</vt:lpstr>
      <vt:lpstr>PSD UTU z=0.0</vt:lpstr>
      <vt:lpstr>PSD UTU z=0.35</vt:lpstr>
      <vt:lpstr>PSD UTU z=0.7</vt:lpstr>
      <vt:lpstr>PSD ELT z=0.15</vt:lpstr>
      <vt:lpstr>PSD ELT z=0.42 </vt:lpstr>
      <vt:lpstr>PSD ELT z=0.82</vt:lpstr>
      <vt:lpstr>sat_density</vt:lpstr>
      <vt:lpstr>Direct_shear_ELT&amp;UTU</vt:lpstr>
      <vt:lpstr>Falling_head</vt:lpstr>
      <vt:lpstr>TRIM</vt:lpstr>
      <vt:lpstr>SWR_UTU07</vt:lpstr>
      <vt:lpstr>SWR_UTU035</vt:lpstr>
      <vt:lpstr>SWR_UTU0</vt:lpstr>
      <vt:lpstr>SWR_ELTz015</vt:lpstr>
      <vt:lpstr>SWR_ELTz042</vt:lpstr>
    </vt:vector>
  </TitlesOfParts>
  <Company>Colorado School of Mines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awayllac_a</dc:creator>
  <cp:lastModifiedBy>Mirus, Benjamin B.</cp:lastModifiedBy>
  <dcterms:created xsi:type="dcterms:W3CDTF">2019-01-31T16:39:58Z</dcterms:created>
  <dcterms:modified xsi:type="dcterms:W3CDTF">2020-08-26T20:32:50Z</dcterms:modified>
</cp:coreProperties>
</file>