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ink/ink10.xml" ContentType="application/inkml+xml"/>
  <Override PartName="/xl/ink/ink11.xml" ContentType="application/inkml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hudac-my.sharepoint.com/personal/u2281887_unimail_hud_ac_uk/Documents/"/>
    </mc:Choice>
  </mc:AlternateContent>
  <xr:revisionPtr revIDLastSave="1943" documentId="8_{2806F6CA-C599-4731-B4DF-F92A4FDC975D}" xr6:coauthVersionLast="47" xr6:coauthVersionMax="47" xr10:uidLastSave="{93A1A5A8-8F54-463A-8546-28E14C97C824}"/>
  <bookViews>
    <workbookView xWindow="-28920" yWindow="5355" windowWidth="29040" windowHeight="16440" activeTab="1" xr2:uid="{C6E2FF20-8EA3-4D60-BF86-75C529423E99}"/>
  </bookViews>
  <sheets>
    <sheet name="Week 1 Knowledge" sheetId="16" r:id="rId1"/>
    <sheet name="Week 1 Reg. &amp; Concept. Framewor" sheetId="1" r:id="rId2"/>
    <sheet name="Week 2-3 Measurement Bases" sheetId="2" r:id="rId3"/>
    <sheet name="Week 3 Present. of Publ Accts" sheetId="3" r:id="rId4"/>
    <sheet name="Week 4 SoFP " sheetId="4" r:id="rId5"/>
    <sheet name="Week 5 Present. of Publ Accts" sheetId="5" r:id="rId6"/>
    <sheet name="Week 7 Prop. Plant and Equip." sheetId="6" r:id="rId7"/>
    <sheet name="Week 8 Revaluation" sheetId="7" r:id="rId8"/>
    <sheet name="Week 9 Inventories" sheetId="8" r:id="rId9"/>
    <sheet name="Week 10 Revenue from Contracts" sheetId="9" r:id="rId10"/>
    <sheet name="Week 11 Impairment of Assets" sheetId="10" r:id="rId11"/>
    <sheet name="Week 12 Statement of C.F." sheetId="11" r:id="rId12"/>
    <sheet name="Week 13 Intangible Assets" sheetId="12" r:id="rId13"/>
    <sheet name="Week 14 Provisions, Contingents" sheetId="13" r:id="rId14"/>
    <sheet name="Week 16-19 Accnting. for Groups" sheetId="14" r:id="rId15"/>
    <sheet name="Week 20-21 Interpretation" sheetId="15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8" i="1" l="1"/>
  <c r="M14" i="1"/>
  <c r="M13" i="1"/>
  <c r="M12" i="1"/>
  <c r="N42" i="11"/>
  <c r="N37" i="11"/>
  <c r="N34" i="11"/>
  <c r="N33" i="11"/>
  <c r="N29" i="11"/>
  <c r="N23" i="11"/>
  <c r="N21" i="11"/>
  <c r="N20" i="11"/>
  <c r="M16" i="11"/>
  <c r="N19" i="11" s="1"/>
  <c r="M17" i="11"/>
  <c r="O19" i="10"/>
  <c r="O18" i="10"/>
  <c r="O17" i="10"/>
  <c r="E45" i="7"/>
  <c r="G33" i="7"/>
  <c r="G30" i="7"/>
  <c r="H22" i="7"/>
  <c r="G21" i="7"/>
  <c r="G26" i="7"/>
  <c r="O49" i="6"/>
  <c r="Q45" i="6"/>
  <c r="Q43" i="6"/>
  <c r="M46" i="6"/>
  <c r="I63" i="5"/>
  <c r="I61" i="5"/>
  <c r="D63" i="5"/>
  <c r="D61" i="5"/>
  <c r="P43" i="5"/>
  <c r="Q43" i="5"/>
  <c r="Q36" i="5"/>
  <c r="Q32" i="5"/>
  <c r="Q31" i="5"/>
  <c r="Q29" i="5"/>
  <c r="Q28" i="5"/>
  <c r="Q26" i="5"/>
  <c r="Q25" i="5"/>
  <c r="Q24" i="5"/>
  <c r="P36" i="5"/>
  <c r="P35" i="5"/>
  <c r="P32" i="5"/>
  <c r="P31" i="5"/>
  <c r="P29" i="5"/>
  <c r="P28" i="5"/>
  <c r="P26" i="5"/>
  <c r="P25" i="5"/>
  <c r="P24" i="5"/>
  <c r="M43" i="4"/>
  <c r="M42" i="4"/>
  <c r="L39" i="4"/>
  <c r="L38" i="4"/>
  <c r="L37" i="4"/>
  <c r="L36" i="4"/>
  <c r="M34" i="4"/>
  <c r="L27" i="4"/>
  <c r="M29" i="4" s="1"/>
  <c r="L14" i="4"/>
  <c r="L16" i="4"/>
  <c r="L17" i="4"/>
  <c r="L13" i="4"/>
  <c r="N9" i="4"/>
  <c r="N8" i="4"/>
  <c r="N7" i="4"/>
  <c r="L8" i="4" s="1"/>
  <c r="M9" i="4" s="1"/>
  <c r="D47" i="9"/>
  <c r="C41" i="9"/>
  <c r="D34" i="9"/>
  <c r="D35" i="9" s="1"/>
  <c r="D29" i="9"/>
  <c r="F24" i="9"/>
  <c r="F26" i="9" s="1"/>
  <c r="P35" i="14"/>
  <c r="K32" i="14"/>
  <c r="D32" i="14"/>
  <c r="D34" i="14" s="1"/>
  <c r="S27" i="14"/>
  <c r="S30" i="14" s="1"/>
  <c r="K27" i="14"/>
  <c r="T11" i="14" s="1"/>
  <c r="T14" i="14" s="1"/>
  <c r="I27" i="14"/>
  <c r="K35" i="14" s="1"/>
  <c r="M26" i="14"/>
  <c r="M24" i="14"/>
  <c r="M22" i="14"/>
  <c r="M27" i="14" s="1"/>
  <c r="D22" i="14"/>
  <c r="D21" i="14"/>
  <c r="R20" i="14"/>
  <c r="D20" i="14"/>
  <c r="R19" i="14"/>
  <c r="R22" i="14" s="1"/>
  <c r="D16" i="14"/>
  <c r="H15" i="14"/>
  <c r="D15" i="14"/>
  <c r="D24" i="14" s="1"/>
  <c r="T13" i="14"/>
  <c r="T12" i="14"/>
  <c r="O60" i="4"/>
  <c r="D52" i="4" s="1"/>
  <c r="J73" i="4"/>
  <c r="D51" i="4" s="1"/>
  <c r="K51" i="4"/>
  <c r="K53" i="4" s="1"/>
  <c r="D46" i="4" s="1"/>
  <c r="D45" i="4"/>
  <c r="E59" i="1"/>
  <c r="E58" i="1"/>
  <c r="D55" i="1"/>
  <c r="D51" i="1"/>
  <c r="D50" i="1"/>
  <c r="E46" i="1"/>
  <c r="E47" i="1"/>
  <c r="E38" i="1"/>
  <c r="P69" i="1"/>
  <c r="P64" i="1"/>
  <c r="Q57" i="1"/>
  <c r="P57" i="1"/>
  <c r="O57" i="1"/>
  <c r="O46" i="1"/>
  <c r="O45" i="1"/>
  <c r="O44" i="1"/>
  <c r="O47" i="1" s="1"/>
  <c r="K66" i="1"/>
  <c r="L32" i="1" s="1"/>
  <c r="K61" i="1"/>
  <c r="L29" i="1" s="1"/>
  <c r="L25" i="1"/>
  <c r="L24" i="1"/>
  <c r="M18" i="4" l="1"/>
  <c r="M19" i="4" s="1"/>
  <c r="K38" i="14"/>
  <c r="D48" i="4"/>
  <c r="J61" i="4"/>
  <c r="J62" i="4" s="1"/>
  <c r="D50" i="4" s="1"/>
  <c r="D53" i="4" s="1"/>
  <c r="D57" i="4" s="1"/>
  <c r="E52" i="1"/>
  <c r="L27" i="1"/>
  <c r="L31" i="1" s="1"/>
  <c r="L34" i="1" s="1"/>
  <c r="L39" i="1" s="1"/>
</calcChain>
</file>

<file path=xl/sharedStrings.xml><?xml version="1.0" encoding="utf-8"?>
<sst xmlns="http://schemas.openxmlformats.org/spreadsheetml/2006/main" count="1034" uniqueCount="933">
  <si>
    <t>Statement of Profit or Loss and Other Comprehensive Income</t>
  </si>
  <si>
    <t>for the Year ended 31 December 20X5</t>
  </si>
  <si>
    <t>$</t>
  </si>
  <si>
    <t>Revenue</t>
  </si>
  <si>
    <t>Gross Profit</t>
  </si>
  <si>
    <t>Sundry Income</t>
  </si>
  <si>
    <t>Admin Expenses</t>
  </si>
  <si>
    <t>Profit before Tax</t>
  </si>
  <si>
    <t>Profit for the Year</t>
  </si>
  <si>
    <t>Other Comprehensive Income</t>
  </si>
  <si>
    <t>Revaluation Surplus</t>
  </si>
  <si>
    <t>Total Comprehensive Income</t>
  </si>
  <si>
    <t>Revenue ($365,200 - $1,200)</t>
  </si>
  <si>
    <t>Cost of Sales (W1)</t>
  </si>
  <si>
    <t>Admin Expenses (W2)</t>
  </si>
  <si>
    <t>Income Tax Charge (W3)</t>
  </si>
  <si>
    <t>Statement of Financial Position as at 31 December 20X5</t>
  </si>
  <si>
    <t>Non-Current Assets</t>
  </si>
  <si>
    <t>Current Assets</t>
  </si>
  <si>
    <t>Inventory</t>
  </si>
  <si>
    <t>Trade Receivables</t>
  </si>
  <si>
    <t>Prepayments</t>
  </si>
  <si>
    <t>Cash at bank</t>
  </si>
  <si>
    <t>Equity</t>
  </si>
  <si>
    <t>Ordinary Share Capital</t>
  </si>
  <si>
    <t>Retained Earnings</t>
  </si>
  <si>
    <t>Current Liabilities</t>
  </si>
  <si>
    <t>W1: Cost of Sales</t>
  </si>
  <si>
    <t>W2: Administrative Expenses</t>
  </si>
  <si>
    <t>W3: Income Tax</t>
  </si>
  <si>
    <t xml:space="preserve">W4: Depreciation </t>
  </si>
  <si>
    <t>Opening Inventory</t>
  </si>
  <si>
    <t>Purchases</t>
  </si>
  <si>
    <t>Purchase Returns</t>
  </si>
  <si>
    <t>Closing Inventory</t>
  </si>
  <si>
    <t>Wages</t>
  </si>
  <si>
    <t>Rent</t>
  </si>
  <si>
    <t>Motor Expenses</t>
  </si>
  <si>
    <t>Insurance</t>
  </si>
  <si>
    <t>Irrecoverable Debts</t>
  </si>
  <si>
    <t>Decrease in Allowance (W6)</t>
  </si>
  <si>
    <t>Light and Heat</t>
  </si>
  <si>
    <t>Bank Interest</t>
  </si>
  <si>
    <t>Depreciation (W4)</t>
  </si>
  <si>
    <t>Income tax on profit for year</t>
  </si>
  <si>
    <t>Buildings:</t>
  </si>
  <si>
    <t>Fixtures and Fittings:</t>
  </si>
  <si>
    <t>Motor Vehicles:</t>
  </si>
  <si>
    <t>W5: Non-Current Assets</t>
  </si>
  <si>
    <t>Cost</t>
  </si>
  <si>
    <t>Acc. Depn'</t>
  </si>
  <si>
    <t>CA</t>
  </si>
  <si>
    <t>Land</t>
  </si>
  <si>
    <t>Buildings</t>
  </si>
  <si>
    <t>Fixtures and Fittings</t>
  </si>
  <si>
    <t>Motor Vehicles</t>
  </si>
  <si>
    <t>-</t>
  </si>
  <si>
    <t xml:space="preserve">Under Provision </t>
  </si>
  <si>
    <t>W6: Trade Receivables</t>
  </si>
  <si>
    <t>Receivables ($17,330 - $130)</t>
  </si>
  <si>
    <t>Allowance for Receivables</t>
  </si>
  <si>
    <t>Movement in Allowance:</t>
  </si>
  <si>
    <t>Balance b/fwd</t>
  </si>
  <si>
    <t>Balance c/fwd</t>
  </si>
  <si>
    <t>Decrease in Allowance to P&amp;L</t>
  </si>
  <si>
    <t>Income Tax Liability (W3)</t>
  </si>
  <si>
    <t>Trade Payables</t>
  </si>
  <si>
    <t>Accrued Expenses</t>
  </si>
  <si>
    <t>Q1 - Why do we need accounting standards? What arguments are used both for</t>
  </si>
  <si>
    <t>and against accounting standards?</t>
  </si>
  <si>
    <t>Q2 - What is the purpose of the 2018 IASB Framework?</t>
  </si>
  <si>
    <t>Q3 - The Framework refers to fundamental and enhancing qualitative characteristics.</t>
  </si>
  <si>
    <t xml:space="preserve">Provide examples of how the Britvic 2022 accounts meet both of the fundamental </t>
  </si>
  <si>
    <t>qualitative characteristics and one of the enhancing characteristics.</t>
  </si>
  <si>
    <t>Q4 - Which of the measurement bases included in the Framework are used in Britvic</t>
  </si>
  <si>
    <t>plc's 2021 Annual Accounts?</t>
  </si>
  <si>
    <t xml:space="preserve">Q5 - Consider the following situations. With reference to the framework, give reasons </t>
  </si>
  <si>
    <t>why an asset or liability could be recognised and at what value it should be recognised.</t>
  </si>
  <si>
    <t>(i.e. look at the definition of an asset and liability - how does it apply to a &amp; b below)</t>
  </si>
  <si>
    <t>a) Amanda plc has purchased a patent at £10,000. The patent gives the company sole</t>
  </si>
  <si>
    <t>uses of a particular manufacturing process which will save £3,000 a year for the next</t>
  </si>
  <si>
    <t>5 years.</t>
  </si>
  <si>
    <t>b) Emma plc owns a building which has been let out to students for many years. The</t>
  </si>
  <si>
    <t>building has been declared unsafe by the local council. Not only is it unfit for human</t>
  </si>
  <si>
    <t>habitation, but on more than one occasion slates have fallen off the roof, nearly</t>
  </si>
  <si>
    <t>seriously injuring passersby. To rectify the damage would cost £300,000, to eliminate</t>
  </si>
  <si>
    <t>the danger would cost £200,000. The building could be sold for £100,000.</t>
  </si>
  <si>
    <t>Purpose of Financial Statements</t>
  </si>
  <si>
    <t>Is a structured presentation of the:</t>
  </si>
  <si>
    <t xml:space="preserve">  - Financial Position</t>
  </si>
  <si>
    <t xml:space="preserve">  - Financial Performance</t>
  </si>
  <si>
    <t xml:space="preserve">  - Cash Flows</t>
  </si>
  <si>
    <t xml:space="preserve">They provide information that is useful to a wide </t>
  </si>
  <si>
    <t>range of users in making their economic</t>
  </si>
  <si>
    <t>decisions.</t>
  </si>
  <si>
    <t>They show the results of the 'stewardship' of</t>
  </si>
  <si>
    <t>management.</t>
  </si>
  <si>
    <t>Basic Requirements</t>
  </si>
  <si>
    <t>A complete set of financial statements include:</t>
  </si>
  <si>
    <t>- Statement of financial position</t>
  </si>
  <si>
    <t>- Statement of profit or loss and other comprehensive</t>
  </si>
  <si>
    <t>income</t>
  </si>
  <si>
    <t xml:space="preserve">  - Either as one statement 'Statement of Profit or Loss' and a</t>
  </si>
  <si>
    <t xml:space="preserve">     'Statement of other Comprehensive Income'</t>
  </si>
  <si>
    <t>- Statement of Changes in Equity</t>
  </si>
  <si>
    <t>- Statement of Cash Flows</t>
  </si>
  <si>
    <t>- Notes to the financial statements</t>
  </si>
  <si>
    <t>- Comparative information</t>
  </si>
  <si>
    <t>- Some items MUST be declared on the face of the financial</t>
  </si>
  <si>
    <t>statements</t>
  </si>
  <si>
    <t>- Disclosures must be made on the face of the statements or</t>
  </si>
  <si>
    <t>in the notes as required by IAS 1 or other standards.</t>
  </si>
  <si>
    <t>- FS should be prepared at least annually</t>
  </si>
  <si>
    <t>Identifying Financial Statements</t>
  </si>
  <si>
    <t>Clearly distinguish the financial statements.</t>
  </si>
  <si>
    <t>IAS requires that the following are clearly identified:</t>
  </si>
  <si>
    <r>
      <t xml:space="preserve">- Whether they are </t>
    </r>
    <r>
      <rPr>
        <b/>
        <sz val="11"/>
        <color theme="1"/>
        <rFont val="Aptos Narrow"/>
        <family val="2"/>
        <scheme val="minor"/>
      </rPr>
      <t>consolidated</t>
    </r>
    <r>
      <rPr>
        <sz val="11"/>
        <color theme="1"/>
        <rFont val="Aptos Narrow"/>
        <family val="2"/>
        <scheme val="minor"/>
      </rPr>
      <t xml:space="preserve"> or </t>
    </r>
    <r>
      <rPr>
        <b/>
        <sz val="11"/>
        <color theme="1"/>
        <rFont val="Aptos Narrow"/>
        <family val="2"/>
        <scheme val="minor"/>
      </rPr>
      <t>individual</t>
    </r>
    <r>
      <rPr>
        <sz val="11"/>
        <color theme="1"/>
        <rFont val="Aptos Narrow"/>
        <family val="2"/>
        <scheme val="minor"/>
      </rPr>
      <t xml:space="preserve"> entity</t>
    </r>
  </si>
  <si>
    <r>
      <t xml:space="preserve">- </t>
    </r>
    <r>
      <rPr>
        <b/>
        <sz val="11"/>
        <color theme="1"/>
        <rFont val="Aptos Narrow"/>
        <family val="2"/>
        <scheme val="minor"/>
      </rPr>
      <t>Name</t>
    </r>
    <r>
      <rPr>
        <sz val="11"/>
        <color theme="1"/>
        <rFont val="Aptos Narrow"/>
        <family val="2"/>
        <scheme val="minor"/>
      </rPr>
      <t xml:space="preserve"> of the reporting entity</t>
    </r>
  </si>
  <si>
    <r>
      <t xml:space="preserve">- The reporting </t>
    </r>
    <r>
      <rPr>
        <b/>
        <sz val="11"/>
        <color theme="1"/>
        <rFont val="Aptos Narrow"/>
        <family val="2"/>
        <scheme val="minor"/>
      </rPr>
      <t>period end</t>
    </r>
    <r>
      <rPr>
        <sz val="11"/>
        <color theme="1"/>
        <rFont val="Aptos Narrow"/>
        <family val="2"/>
        <scheme val="minor"/>
      </rPr>
      <t>.</t>
    </r>
  </si>
  <si>
    <r>
      <t xml:space="preserve">- The level of </t>
    </r>
    <r>
      <rPr>
        <b/>
        <sz val="11"/>
        <color theme="1"/>
        <rFont val="Aptos Narrow"/>
        <family val="2"/>
        <scheme val="minor"/>
      </rPr>
      <t>rounding used</t>
    </r>
    <r>
      <rPr>
        <sz val="11"/>
        <color theme="1"/>
        <rFont val="Aptos Narrow"/>
        <family val="2"/>
        <scheme val="minor"/>
      </rPr>
      <t>.</t>
    </r>
  </si>
  <si>
    <t>Other General Features</t>
  </si>
  <si>
    <t xml:space="preserve">   - E.g. Inventory, Accounts Receivable, and Accounts Payable</t>
  </si>
  <si>
    <t xml:space="preserve">   - E.g. Sales Revenue and Costs of Goods Sold</t>
  </si>
  <si>
    <t>unless required by an IFRS.</t>
  </si>
  <si>
    <t>from one period to the next unless:</t>
  </si>
  <si>
    <t xml:space="preserve">  - Significant change in the nature of the entity.</t>
  </si>
  <si>
    <t xml:space="preserve">  - A more appropriate presentation and classification identified</t>
  </si>
  <si>
    <t xml:space="preserve">   from a review of the FS.</t>
  </si>
  <si>
    <t xml:space="preserve">  - Required by an IFRS.</t>
  </si>
  <si>
    <t>- Comparatives must also be presented.</t>
  </si>
  <si>
    <t>Statement of Financial Position</t>
  </si>
  <si>
    <t>- Summarised representation of the accounting</t>
  </si>
  <si>
    <t>equation.</t>
  </si>
  <si>
    <t>- Pro-forma given in the implementation guidance</t>
  </si>
  <si>
    <t>to the standard.</t>
  </si>
  <si>
    <t>- Specifies which items must appear on the face</t>
  </si>
  <si>
    <t>of the statement.</t>
  </si>
  <si>
    <t xml:space="preserve">- Other items shown on the face where necessary </t>
  </si>
  <si>
    <t>for an understanding of the financial position.</t>
  </si>
  <si>
    <r>
      <t>- Prepared on a</t>
    </r>
    <r>
      <rPr>
        <b/>
        <sz val="11"/>
        <color theme="1"/>
        <rFont val="Aptos Narrow"/>
        <family val="2"/>
        <scheme val="minor"/>
      </rPr>
      <t xml:space="preserve"> going concern</t>
    </r>
    <r>
      <rPr>
        <sz val="11"/>
        <color theme="1"/>
        <rFont val="Aptos Narrow"/>
        <family val="2"/>
        <scheme val="minor"/>
      </rPr>
      <t xml:space="preserve"> basis</t>
    </r>
  </si>
  <si>
    <r>
      <t xml:space="preserve">- Prepared on an </t>
    </r>
    <r>
      <rPr>
        <b/>
        <sz val="11"/>
        <color theme="1"/>
        <rFont val="Aptos Narrow"/>
        <family val="2"/>
        <scheme val="minor"/>
      </rPr>
      <t>accruals</t>
    </r>
    <r>
      <rPr>
        <sz val="11"/>
        <color theme="1"/>
        <rFont val="Aptos Narrow"/>
        <family val="2"/>
        <scheme val="minor"/>
      </rPr>
      <t xml:space="preserve"> basis</t>
    </r>
  </si>
  <si>
    <r>
      <t xml:space="preserve">- Each material class of similar items presented </t>
    </r>
    <r>
      <rPr>
        <b/>
        <sz val="11"/>
        <color theme="1"/>
        <rFont val="Aptos Narrow"/>
        <family val="2"/>
        <scheme val="minor"/>
      </rPr>
      <t>separately</t>
    </r>
    <r>
      <rPr>
        <sz val="11"/>
        <color theme="1"/>
        <rFont val="Aptos Narrow"/>
        <family val="2"/>
        <scheme val="minor"/>
      </rPr>
      <t>.</t>
    </r>
  </si>
  <si>
    <r>
      <t xml:space="preserve">- Items of dissimilar nature or function presented </t>
    </r>
    <r>
      <rPr>
        <b/>
        <sz val="11"/>
        <color theme="1"/>
        <rFont val="Aptos Narrow"/>
        <family val="2"/>
        <scheme val="minor"/>
      </rPr>
      <t>separately</t>
    </r>
    <r>
      <rPr>
        <sz val="11"/>
        <color theme="1"/>
        <rFont val="Aptos Narrow"/>
        <family val="2"/>
        <scheme val="minor"/>
      </rPr>
      <t>.</t>
    </r>
  </si>
  <si>
    <r>
      <t xml:space="preserve">- </t>
    </r>
    <r>
      <rPr>
        <b/>
        <sz val="11"/>
        <color theme="1"/>
        <rFont val="Aptos Narrow"/>
        <family val="2"/>
        <scheme val="minor"/>
      </rPr>
      <t>NO offsetting</t>
    </r>
    <r>
      <rPr>
        <sz val="11"/>
        <color theme="1"/>
        <rFont val="Aptos Narrow"/>
        <family val="2"/>
        <scheme val="minor"/>
      </rPr>
      <t xml:space="preserve"> of assets and liabilities or income and expense,</t>
    </r>
  </si>
  <si>
    <r>
      <t xml:space="preserve">- </t>
    </r>
    <r>
      <rPr>
        <b/>
        <sz val="11"/>
        <color theme="1"/>
        <rFont val="Aptos Narrow"/>
        <family val="2"/>
        <scheme val="minor"/>
      </rPr>
      <t>Consistency of presentation</t>
    </r>
    <r>
      <rPr>
        <sz val="11"/>
        <color theme="1"/>
        <rFont val="Aptos Narrow"/>
        <family val="2"/>
        <scheme val="minor"/>
      </rPr>
      <t xml:space="preserve"> - same presentation and classification</t>
    </r>
  </si>
  <si>
    <t>Assets &amp; Liabilities</t>
  </si>
  <si>
    <t>Current or Non-Current</t>
  </si>
  <si>
    <t>- Current and non-current must be presented separately.</t>
  </si>
  <si>
    <t>- An asset presented as current if:</t>
  </si>
  <si>
    <t xml:space="preserve">  - Is expected to be realised, held for sale, or consumption</t>
  </si>
  <si>
    <t xml:space="preserve">  - Is expected to realise the asset within 12 months after the</t>
  </si>
  <si>
    <t>reporting period.</t>
  </si>
  <si>
    <t>-  Is cash or cash equivalent which is not restricted in use.</t>
  </si>
  <si>
    <t>- A liability is presented as current if:</t>
  </si>
  <si>
    <t xml:space="preserve">  - Is expected to be settled in the normal course of the entity's</t>
  </si>
  <si>
    <t>operating cycle.</t>
  </si>
  <si>
    <t xml:space="preserve">  - Is held primarily for trading purposes.</t>
  </si>
  <si>
    <t xml:space="preserve">  - Is due to be settled within 12 months of the end of the reporting</t>
  </si>
  <si>
    <t>period.</t>
  </si>
  <si>
    <t xml:space="preserve">  - The entity does not have an unconditional right to defer </t>
  </si>
  <si>
    <t>settlement for at least 12 months after the reporting period end.</t>
  </si>
  <si>
    <r>
      <t xml:space="preserve">  - Is held primarily for </t>
    </r>
    <r>
      <rPr>
        <b/>
        <sz val="11"/>
        <color theme="1"/>
        <rFont val="Aptos Narrow"/>
        <family val="2"/>
        <scheme val="minor"/>
      </rPr>
      <t>trading</t>
    </r>
    <r>
      <rPr>
        <sz val="11"/>
        <color theme="1"/>
        <rFont val="Aptos Narrow"/>
        <family val="2"/>
        <scheme val="minor"/>
      </rPr>
      <t xml:space="preserve"> purposes.</t>
    </r>
  </si>
  <si>
    <r>
      <t xml:space="preserve">in the normal course of the entity's </t>
    </r>
    <r>
      <rPr>
        <b/>
        <sz val="11"/>
        <color theme="1"/>
        <rFont val="Aptos Narrow"/>
        <family val="2"/>
        <scheme val="minor"/>
      </rPr>
      <t>operating</t>
    </r>
    <r>
      <rPr>
        <sz val="11"/>
        <color theme="1"/>
        <rFont val="Aptos Narrow"/>
        <family val="2"/>
        <scheme val="minor"/>
      </rPr>
      <t xml:space="preserve"> cycle.</t>
    </r>
  </si>
  <si>
    <r>
      <t xml:space="preserve">- All other liabilities classified as </t>
    </r>
    <r>
      <rPr>
        <b/>
        <sz val="11"/>
        <color theme="1"/>
        <rFont val="Aptos Narrow"/>
        <family val="2"/>
        <scheme val="minor"/>
      </rPr>
      <t>non-current</t>
    </r>
    <r>
      <rPr>
        <sz val="11"/>
        <color theme="1"/>
        <rFont val="Aptos Narrow"/>
        <family val="2"/>
        <scheme val="minor"/>
      </rPr>
      <t>.</t>
    </r>
  </si>
  <si>
    <t>Non-Current Financial Liabilities</t>
  </si>
  <si>
    <t>- Must be classed as CURRENT if:</t>
  </si>
  <si>
    <t>period end and before the FS are authorised.</t>
  </si>
  <si>
    <t>conditions.</t>
  </si>
  <si>
    <r>
      <t xml:space="preserve">  - The liability is payable </t>
    </r>
    <r>
      <rPr>
        <b/>
        <sz val="11"/>
        <color theme="1"/>
        <rFont val="Aptos Narrow"/>
        <family val="2"/>
        <scheme val="minor"/>
      </rPr>
      <t>on demand</t>
    </r>
    <r>
      <rPr>
        <sz val="11"/>
        <color theme="1"/>
        <rFont val="Aptos Narrow"/>
        <family val="2"/>
        <scheme val="minor"/>
      </rPr>
      <t xml:space="preserve"> due to breach of</t>
    </r>
  </si>
  <si>
    <r>
      <t xml:space="preserve">  - Refinancing or rescheduling agreed </t>
    </r>
    <r>
      <rPr>
        <b/>
        <sz val="11"/>
        <color theme="1"/>
        <rFont val="Aptos Narrow"/>
        <family val="2"/>
        <scheme val="minor"/>
      </rPr>
      <t>after</t>
    </r>
    <r>
      <rPr>
        <sz val="11"/>
        <color theme="1"/>
        <rFont val="Aptos Narrow"/>
        <family val="2"/>
        <scheme val="minor"/>
      </rPr>
      <t xml:space="preserve"> the reporting</t>
    </r>
  </si>
  <si>
    <r>
      <t xml:space="preserve">  - Due to be settled within </t>
    </r>
    <r>
      <rPr>
        <b/>
        <sz val="11"/>
        <color theme="1"/>
        <rFont val="Aptos Narrow"/>
        <family val="2"/>
        <scheme val="minor"/>
      </rPr>
      <t>12 months</t>
    </r>
    <r>
      <rPr>
        <sz val="11"/>
        <color theme="1"/>
        <rFont val="Aptos Narrow"/>
        <family val="2"/>
        <scheme val="minor"/>
      </rPr>
      <t>.</t>
    </r>
  </si>
  <si>
    <t>- Presented separately based on:</t>
  </si>
  <si>
    <t xml:space="preserve">  - Nature/liquidity and materiality of assets</t>
  </si>
  <si>
    <t xml:space="preserve">  - Amounts, nature, and timing of liabilities</t>
  </si>
  <si>
    <t>- Separate presentation where different measurement bases are</t>
  </si>
  <si>
    <t>used (e.g. non-current tangible assets: historic cost vs current</t>
  </si>
  <si>
    <t>cost)</t>
  </si>
  <si>
    <t xml:space="preserve">     - E.g. IAS 2 Inventory requires that inventories are account for</t>
  </si>
  <si>
    <t xml:space="preserve">    - E.g. IAS 37 Provisions, Contingent Liabilities and Assets</t>
  </si>
  <si>
    <t>Equity &amp; Reserves</t>
  </si>
  <si>
    <t>or in the notes.</t>
  </si>
  <si>
    <t xml:space="preserve">  - e.g. Number of shares authorised and par value per share</t>
  </si>
  <si>
    <t xml:space="preserve">  - e.g. Number of shares issued and fully paid, and issued but</t>
  </si>
  <si>
    <t>not fully paid</t>
  </si>
  <si>
    <t>in owners' equity.</t>
  </si>
  <si>
    <r>
      <t xml:space="preserve">- </t>
    </r>
    <r>
      <rPr>
        <b/>
        <sz val="11"/>
        <color theme="1"/>
        <rFont val="Aptos Narrow"/>
        <family val="2"/>
        <scheme val="minor"/>
      </rPr>
      <t>Specific Closures</t>
    </r>
    <r>
      <rPr>
        <sz val="11"/>
        <color theme="1"/>
        <rFont val="Aptos Narrow"/>
        <family val="2"/>
        <scheme val="minor"/>
      </rPr>
      <t xml:space="preserve"> - on the face of the financial statements</t>
    </r>
  </si>
  <si>
    <r>
      <t xml:space="preserve">- </t>
    </r>
    <r>
      <rPr>
        <b/>
        <sz val="11"/>
        <color theme="1"/>
        <rFont val="Aptos Narrow"/>
        <family val="2"/>
        <scheme val="minor"/>
      </rPr>
      <t xml:space="preserve">Share capital </t>
    </r>
    <r>
      <rPr>
        <sz val="11"/>
        <color theme="1"/>
        <rFont val="Aptos Narrow"/>
        <family val="2"/>
        <scheme val="minor"/>
      </rPr>
      <t>disclosures (for each class of share capital)</t>
    </r>
  </si>
  <si>
    <r>
      <t xml:space="preserve">- </t>
    </r>
    <r>
      <rPr>
        <b/>
        <sz val="11"/>
        <color theme="1"/>
        <rFont val="Aptos Narrow"/>
        <family val="2"/>
        <scheme val="minor"/>
      </rPr>
      <t>Reserves</t>
    </r>
    <r>
      <rPr>
        <sz val="11"/>
        <color theme="1"/>
        <rFont val="Aptos Narrow"/>
        <family val="2"/>
        <scheme val="minor"/>
      </rPr>
      <t xml:space="preserve"> - description of nature and purpose of each reserve </t>
    </r>
  </si>
  <si>
    <t>Statement of Profit or Loss and other Comprehensive Income</t>
  </si>
  <si>
    <t>- Shows income and expenses for the reporting period (financial</t>
  </si>
  <si>
    <t>performance</t>
  </si>
  <si>
    <t xml:space="preserve">  - Either single statement (Statement of Comprehensive Income)</t>
  </si>
  <si>
    <t xml:space="preserve">  - Or two separate statements</t>
  </si>
  <si>
    <t xml:space="preserve">     - Statement of profit or loss, and</t>
  </si>
  <si>
    <t xml:space="preserve">     - Statement of other comprehensive income (e.g. gains on the </t>
  </si>
  <si>
    <t xml:space="preserve">       revaluation of non-current assets)</t>
  </si>
  <si>
    <t>Comprehensive Income for the Period = Profit or loss + Other</t>
  </si>
  <si>
    <t>comprehensive income</t>
  </si>
  <si>
    <t>- Specifies the minimum of items that must appear on the face</t>
  </si>
  <si>
    <t>- An analysis of expenses must be presented either on the face</t>
  </si>
  <si>
    <t>of the financial statement (which is encouraged), or by note.</t>
  </si>
  <si>
    <t>Other requirements</t>
  </si>
  <si>
    <t>- Certain items (previously called 'extraordinary items') must be</t>
  </si>
  <si>
    <t>disclosed separately either in the statement of comprehensive</t>
  </si>
  <si>
    <t>income or in the notes, if material, including:</t>
  </si>
  <si>
    <t xml:space="preserve">   - Write downs of inventories to NRV</t>
  </si>
  <si>
    <t xml:space="preserve">   - Restructuring costs</t>
  </si>
  <si>
    <t xml:space="preserve">   - Disposals of items of property, plant, and equipment</t>
  </si>
  <si>
    <t xml:space="preserve">   - Discontinued operations</t>
  </si>
  <si>
    <t>Statement of Changes in Equity</t>
  </si>
  <si>
    <t>- Shows movements in the equity section of the statement</t>
  </si>
  <si>
    <t>of financial position.</t>
  </si>
  <si>
    <t>- Items to be presented:</t>
  </si>
  <si>
    <t xml:space="preserve">   - Total comprehensive income</t>
  </si>
  <si>
    <t xml:space="preserve">   - For each component of equity, a reconciliation of the </t>
  </si>
  <si>
    <t xml:space="preserve">     opening and closing balance, disclosing changes in:</t>
  </si>
  <si>
    <t xml:space="preserve">       - Profit or loss</t>
  </si>
  <si>
    <t xml:space="preserve">       - Revenues and Expenses</t>
  </si>
  <si>
    <t xml:space="preserve">       - Other comprehensive income (OCI)</t>
  </si>
  <si>
    <t>Other points</t>
  </si>
  <si>
    <t>- Dividends paid (distributions to owners)</t>
  </si>
  <si>
    <t>- The amount of dividends per share should be shown in</t>
  </si>
  <si>
    <t>the statement of changes in equity or in the notes.</t>
  </si>
  <si>
    <t>IAS 1 suggests the following order:</t>
  </si>
  <si>
    <t>- Statement of compliance with IFRS</t>
  </si>
  <si>
    <t>- Summary of significant accounting policies</t>
  </si>
  <si>
    <t xml:space="preserve">   - The measurement basis used and</t>
  </si>
  <si>
    <t xml:space="preserve">   - Accounting policies applied</t>
  </si>
  <si>
    <t>- Supporting information</t>
  </si>
  <si>
    <t>- Other disclosures</t>
  </si>
  <si>
    <t>Hartshead Moor plc</t>
  </si>
  <si>
    <t>for the year ended 31 March 2023</t>
  </si>
  <si>
    <t>£'000</t>
  </si>
  <si>
    <t>Loss before Tax</t>
  </si>
  <si>
    <t>Income tax refund</t>
  </si>
  <si>
    <t>Loss for the Period</t>
  </si>
  <si>
    <t>Plus Purchases</t>
  </si>
  <si>
    <t>Less Closing Inventory</t>
  </si>
  <si>
    <t>COS</t>
  </si>
  <si>
    <t>W1 - Cost of Sales:</t>
  </si>
  <si>
    <t>Carriage Inwards</t>
  </si>
  <si>
    <t>Allocation of Depreciation</t>
  </si>
  <si>
    <t>From trial balance</t>
  </si>
  <si>
    <t>From following information</t>
  </si>
  <si>
    <t>(Part of COGS)</t>
  </si>
  <si>
    <t>W2 - Distribution Costs:</t>
  </si>
  <si>
    <t>Distribution</t>
  </si>
  <si>
    <t>Accruals</t>
  </si>
  <si>
    <t>Depreciation</t>
  </si>
  <si>
    <t>W3 - Admin Costs:</t>
  </si>
  <si>
    <t xml:space="preserve">Prepayments </t>
  </si>
  <si>
    <t>Director's Remun.</t>
  </si>
  <si>
    <t>Auditor fees</t>
  </si>
  <si>
    <t>Allowance Recvbls.</t>
  </si>
  <si>
    <t>Irrecoverable Debt</t>
  </si>
  <si>
    <t>Loan 6% * 1000</t>
  </si>
  <si>
    <t>Interest for SoPL</t>
  </si>
  <si>
    <t>Distribution Costs (W2)</t>
  </si>
  <si>
    <t>Admin Expenses (W3)</t>
  </si>
  <si>
    <t>Finance Costs (W4)</t>
  </si>
  <si>
    <t>W4 - Finance Costs:</t>
  </si>
  <si>
    <t>Required:</t>
  </si>
  <si>
    <t>a) Prepare the Consolidated Statement of Financial Position for Gold Limited as at 31</t>
  </si>
  <si>
    <t>March 2022. Show all workings</t>
  </si>
  <si>
    <t>b) Explain the circumstances that cause negative goodwill and explain the accounting</t>
  </si>
  <si>
    <t>treatment for negative goodwill.</t>
  </si>
  <si>
    <t xml:space="preserve">a) </t>
  </si>
  <si>
    <t>W1) Group Structure</t>
  </si>
  <si>
    <t>W4) Non-Controlling Interest</t>
  </si>
  <si>
    <t>£'000s</t>
  </si>
  <si>
    <t>1. Gold owns 80% of Silver Limited for £4.1m</t>
  </si>
  <si>
    <t>Fair Value Adj:</t>
  </si>
  <si>
    <t>Fair Value of NCI at R.D.</t>
  </si>
  <si>
    <t>(20/100)* Total Net Assets at R.D</t>
  </si>
  <si>
    <t>Assets</t>
  </si>
  <si>
    <t>since 1 April 2021.</t>
  </si>
  <si>
    <t>Land: 550,000 market value</t>
  </si>
  <si>
    <t>Plus NCI Goodwill</t>
  </si>
  <si>
    <t>NCI Holding at Acq. -(20/100 *4850)</t>
  </si>
  <si>
    <t>Non-Current Assets:</t>
  </si>
  <si>
    <t>less</t>
  </si>
  <si>
    <t>Less Impairment</t>
  </si>
  <si>
    <t>(20/100)*50</t>
  </si>
  <si>
    <t>(500+50)</t>
  </si>
  <si>
    <t>2. Gold owns 30% of Diamond Limited (Associate)</t>
  </si>
  <si>
    <t>500,000 on SoFP</t>
  </si>
  <si>
    <t>Property, Plant and Equip.</t>
  </si>
  <si>
    <t>(13900+4360)</t>
  </si>
  <si>
    <t xml:space="preserve">for </t>
  </si>
  <si>
    <t>£1.35m since 1 April 2021.</t>
  </si>
  <si>
    <t>= 50,000</t>
  </si>
  <si>
    <t>Investment on Associate</t>
  </si>
  <si>
    <t>W5) Retained Earnings</t>
  </si>
  <si>
    <t>Goodwill</t>
  </si>
  <si>
    <t>W2) Net Assets of Subsidiary</t>
  </si>
  <si>
    <t>Gold (Parent)</t>
  </si>
  <si>
    <t>Current Assets:</t>
  </si>
  <si>
    <t>During Acq.</t>
  </si>
  <si>
    <t>At Reporting</t>
  </si>
  <si>
    <t>Post-Acq</t>
  </si>
  <si>
    <t>Silver (Subsidiary)</t>
  </si>
  <si>
    <t>(450+240-5)</t>
  </si>
  <si>
    <t>Date</t>
  </si>
  <si>
    <t>Diamond (Associate)</t>
  </si>
  <si>
    <t>(2400+195)</t>
  </si>
  <si>
    <t>Impairment</t>
  </si>
  <si>
    <t>Cash</t>
  </si>
  <si>
    <t>(600+165)</t>
  </si>
  <si>
    <t>Share Capital</t>
  </si>
  <si>
    <t>Reserves:</t>
  </si>
  <si>
    <t>Net Assets</t>
  </si>
  <si>
    <t>W6) Investment in Associate</t>
  </si>
  <si>
    <t>Unrealised Profit</t>
  </si>
  <si>
    <t>Equity and Liabilities:</t>
  </si>
  <si>
    <t>Fair Value Adjustment</t>
  </si>
  <si>
    <t>Cost of Investment</t>
  </si>
  <si>
    <t>Refer to W1) Group Structure</t>
  </si>
  <si>
    <t>Ordinary Shares of £1 each</t>
  </si>
  <si>
    <t>Share of Post-Acq Profit</t>
  </si>
  <si>
    <t>30% of Retained Earnings (900 - 300)</t>
  </si>
  <si>
    <t>Less:</t>
  </si>
  <si>
    <t>Non-Controlled Interest</t>
  </si>
  <si>
    <t>W3) Goodwill</t>
  </si>
  <si>
    <t>Refer to Question</t>
  </si>
  <si>
    <t>Parent Holding Investment at F.V.</t>
  </si>
  <si>
    <t>(300+210)</t>
  </si>
  <si>
    <t>NCI Holding at Acq.</t>
  </si>
  <si>
    <t>(20/100)*4500*1.12</t>
  </si>
  <si>
    <t>W7) PUP (Unrealised Profits)</t>
  </si>
  <si>
    <t>Net Equity and Liabilities</t>
  </si>
  <si>
    <t>On inventory, so:</t>
  </si>
  <si>
    <t>Fair Value of Net Assets at Acq.</t>
  </si>
  <si>
    <t>=K29</t>
  </si>
  <si>
    <t>or 5</t>
  </si>
  <si>
    <t>25000*(25/125)</t>
  </si>
  <si>
    <t>Goodwill at Reporting Date</t>
  </si>
  <si>
    <t>Granville plc has a construction contract with the following details:</t>
  </si>
  <si>
    <t>Work Certified to Date</t>
  </si>
  <si>
    <t>Step 1: Calculate the Profit According to the</t>
  </si>
  <si>
    <t>Costs to Date</t>
  </si>
  <si>
    <t>figures solely listed on the details to the</t>
  </si>
  <si>
    <t>Progress Payments Received</t>
  </si>
  <si>
    <t>left. Total Contract Sales - Total Recognised</t>
  </si>
  <si>
    <t>Total Contract Sales Value</t>
  </si>
  <si>
    <t>Costs (6500 - (1850 + 3,350))</t>
  </si>
  <si>
    <t>Estimated Costs to Complete</t>
  </si>
  <si>
    <t>The company policy is to recognise profits on the basis of work certified</t>
  </si>
  <si>
    <t>to date.</t>
  </si>
  <si>
    <t>Prepare extracts for the financial statements for the construction contract in line</t>
  </si>
  <si>
    <t>with the requirements of IFRS 15 Revenue from Contracts with Customers.</t>
  </si>
  <si>
    <t>Contract Price</t>
  </si>
  <si>
    <t>Costs of Sales (Total Costs to Date)</t>
  </si>
  <si>
    <t xml:space="preserve">Less: </t>
  </si>
  <si>
    <t>Cost of sales recognised in Previous Years</t>
  </si>
  <si>
    <t>Costs to Date + Estimated Costs</t>
  </si>
  <si>
    <t>Profit to recognise:</t>
  </si>
  <si>
    <t>Stage of Completion:</t>
  </si>
  <si>
    <t>Step 2: Work out the Stage of Completion.</t>
  </si>
  <si>
    <t>Work Certified</t>
  </si>
  <si>
    <t>This essentially is the percentage of work</t>
  </si>
  <si>
    <t>done for the customer at the reporting date.</t>
  </si>
  <si>
    <t>Basically divide the Work Certified by the</t>
  </si>
  <si>
    <t>total contract sales</t>
  </si>
  <si>
    <t>Profit to Recognise:</t>
  </si>
  <si>
    <t>Profit * Percentage</t>
  </si>
  <si>
    <t>Cost of Goods Sold:</t>
  </si>
  <si>
    <t>Sales:</t>
  </si>
  <si>
    <t>Profit = Sales - CoGS</t>
  </si>
  <si>
    <t xml:space="preserve">Step 3: Figure out the sales figure from the </t>
  </si>
  <si>
    <t>Profit to Recognise and Cost of Goods Sold</t>
  </si>
  <si>
    <t>Statement of Profit or Loss:</t>
  </si>
  <si>
    <t>which you can then use to create an extract</t>
  </si>
  <si>
    <t>for the company's Statement of Profit</t>
  </si>
  <si>
    <t>or loss.</t>
  </si>
  <si>
    <t>CoGS</t>
  </si>
  <si>
    <t>Amount due to/from Customer:</t>
  </si>
  <si>
    <t>Step 4: Figure out how much the customer owes/is owed</t>
  </si>
  <si>
    <t>Costs Incurred to Date:</t>
  </si>
  <si>
    <t>Basically it’s the costs incurred + profit incurred minus</t>
  </si>
  <si>
    <t>Plus Profit:</t>
  </si>
  <si>
    <t>the payments already received from the customer.</t>
  </si>
  <si>
    <t>Less Payments Received</t>
  </si>
  <si>
    <t>Step 5: Whatever is due from  the customer should be</t>
  </si>
  <si>
    <t>recognised as a current asset in the statement of Financial</t>
  </si>
  <si>
    <t>Amount Due from Customer</t>
  </si>
  <si>
    <t xml:space="preserve">Position. If you somehow owe money then it'll be considered as a </t>
  </si>
  <si>
    <t>current liability (e.g. if you were the consumer)</t>
  </si>
  <si>
    <t>Step 1: Identify the contract</t>
  </si>
  <si>
    <t>Step 3: Determining the Transaction Price</t>
  </si>
  <si>
    <t>Step 5: Recognise Revenue</t>
  </si>
  <si>
    <r>
      <t>A contract is '</t>
    </r>
    <r>
      <rPr>
        <b/>
        <i/>
        <sz val="11"/>
        <color rgb="FFFF0000"/>
        <rFont val="Aptos Narrow"/>
        <family val="2"/>
        <scheme val="minor"/>
      </rPr>
      <t>an agreement between two or more parties that creates enforeable</t>
    </r>
  </si>
  <si>
    <r>
      <t xml:space="preserve">The transaction price is the </t>
    </r>
    <r>
      <rPr>
        <b/>
        <sz val="11"/>
        <color theme="1"/>
        <rFont val="Aptos Narrow"/>
        <family val="2"/>
        <scheme val="minor"/>
      </rPr>
      <t>'amount of consideration to which an entity</t>
    </r>
  </si>
  <si>
    <t>Revenue is recognised 'when (or as) the entity satisfies</t>
  </si>
  <si>
    <r>
      <rPr>
        <b/>
        <i/>
        <sz val="11"/>
        <color rgb="FFFF0000"/>
        <rFont val="Aptos Narrow"/>
        <family val="2"/>
        <scheme val="minor"/>
      </rPr>
      <t>rights and obligations</t>
    </r>
    <r>
      <rPr>
        <sz val="11"/>
        <color theme="1"/>
        <rFont val="Aptos Narrow"/>
        <family val="2"/>
        <scheme val="minor"/>
      </rPr>
      <t>' (IFRS 15, Appendix A)</t>
    </r>
  </si>
  <si>
    <t xml:space="preserve">expects to be entitled in exchange for transferring promised goods or </t>
  </si>
  <si>
    <t>a performance obigation by transferring a promised good</t>
  </si>
  <si>
    <r>
      <rPr>
        <b/>
        <sz val="11"/>
        <color theme="1"/>
        <rFont val="Aptos Narrow"/>
        <family val="2"/>
        <scheme val="minor"/>
      </rPr>
      <t>services to a customer</t>
    </r>
    <r>
      <rPr>
        <sz val="11"/>
        <color theme="1"/>
        <rFont val="Aptos Narrow"/>
        <family val="2"/>
        <scheme val="minor"/>
      </rPr>
      <t>'.</t>
    </r>
  </si>
  <si>
    <t xml:space="preserve">A contract can be agreed in writing, orally, or through other customary </t>
  </si>
  <si>
    <t>For each performance obligation identified, an entity</t>
  </si>
  <si>
    <t>business practices.</t>
  </si>
  <si>
    <t>Amounts collected on behalf of third parties (such as sales tax) are</t>
  </si>
  <si>
    <t>must determine at contract inceptino whether it</t>
  </si>
  <si>
    <t>excluded.</t>
  </si>
  <si>
    <t xml:space="preserve">satisfies the performance obligation over time, or </t>
  </si>
  <si>
    <t>An entity can only account for revenue if the contract meets the following criteria</t>
  </si>
  <si>
    <t>satisfies the performance obligation at a point in time.</t>
  </si>
  <si>
    <t>The consideration promised in a contract with a customer may include</t>
  </si>
  <si>
    <t>- The parties to the contract have approved the contract and are committed to perform</t>
  </si>
  <si>
    <t>fixed amounts, variable amounts, or both.</t>
  </si>
  <si>
    <t>their respective obligations.</t>
  </si>
  <si>
    <t xml:space="preserve">"When determining the transaction price, an entity shall consider the </t>
  </si>
  <si>
    <t>Contract Costs:</t>
  </si>
  <si>
    <t>- The entity can identify each party's rights regarding the goods or services to be transferred.</t>
  </si>
  <si>
    <t>effects of all of the following:</t>
  </si>
  <si>
    <t>An asset should be recognised for the incremental costs</t>
  </si>
  <si>
    <t>- The entity can identify the payment terms for the goods or services to be transferred.</t>
  </si>
  <si>
    <t>- Variable Consideration (Rebates, Incentives, Performance Bonuses, etc)</t>
  </si>
  <si>
    <t>of obtaining a contract with a customer if the entity expects</t>
  </si>
  <si>
    <t>- The existance of a significant financing component in the contract</t>
  </si>
  <si>
    <t>to recover those costs.</t>
  </si>
  <si>
    <t>- The contract has commercial substance and it's probable that the entity will collect</t>
  </si>
  <si>
    <t>- Non-Cash Consideration</t>
  </si>
  <si>
    <t xml:space="preserve">the consideration to which it will be entitled to exchange for the goods and services that </t>
  </si>
  <si>
    <t>- Consideration payable to a customer"</t>
  </si>
  <si>
    <t>For the purposes of the FR exam, any costs incurred to fulfil</t>
  </si>
  <si>
    <t>will be transferred to the customer. (IFRS 15, para 9)</t>
  </si>
  <si>
    <t>a contract with a customer should be expensed to the statement</t>
  </si>
  <si>
    <t>of profit or loss as the are incurred.</t>
  </si>
  <si>
    <t xml:space="preserve">Step 2: Identifying the separate performance </t>
  </si>
  <si>
    <t>Step 4: Allocate the Transaction Price</t>
  </si>
  <si>
    <t>obligations within a contract.</t>
  </si>
  <si>
    <t>The total transaction price should be allocated to each performance</t>
  </si>
  <si>
    <t>Revenue Recongition:</t>
  </si>
  <si>
    <t>Performance obigations are primses to transfer distinct goods or services to a customer.</t>
  </si>
  <si>
    <t>obligation in proportion to stand-alone selling prices.</t>
  </si>
  <si>
    <t>For a contract with a customer where revenue is recognised over</t>
  </si>
  <si>
    <t>Some contracts may contain more than one obligation, for example:</t>
  </si>
  <si>
    <t>The best evidence of a stand-alone selling price is the observable</t>
  </si>
  <si>
    <t>time, there are three important rules to be aware of:</t>
  </si>
  <si>
    <t xml:space="preserve">price of a good or service when the entity sells that good or service </t>
  </si>
  <si>
    <t>- An entity may enter into a contract with a customer to sell a car, which includes</t>
  </si>
  <si>
    <t>separately in similar circumstances and to similar customers.</t>
  </si>
  <si>
    <t>1. If the expected outcome is a profit:</t>
  </si>
  <si>
    <t>one year's free servcing and maintenance.</t>
  </si>
  <si>
    <t>- Revenue should be recognised according to the process of</t>
  </si>
  <si>
    <t>Discounts:</t>
  </si>
  <si>
    <t>the contract.</t>
  </si>
  <si>
    <t>- An entity might enter into a contract with a customer to provide 5 lectures, as well as</t>
  </si>
  <si>
    <t>to provide a textbook on the first day of the course.</t>
  </si>
  <si>
    <t>In relation to a bundled sale, any discount should generally be</t>
  </si>
  <si>
    <t>2. If the expected outcome is a loss:</t>
  </si>
  <si>
    <t>allocated across each component in the transaction. A discount</t>
  </si>
  <si>
    <t xml:space="preserve">- Revenue is recognised according to the progress of the </t>
  </si>
  <si>
    <t>should only be allocated to a specific component of the transaction</t>
  </si>
  <si>
    <t>contract.</t>
  </si>
  <si>
    <t>if that component is regularly sold separately at a discount.</t>
  </si>
  <si>
    <t>- The whole loss should be recognised immediately and is</t>
  </si>
  <si>
    <t>taken into account through an increased cost of sales.</t>
  </si>
  <si>
    <t>3. If the expected outcome is unknown:</t>
  </si>
  <si>
    <t>- Revenue should be recognised to the level of recoverable</t>
  </si>
  <si>
    <t>costs (usually costs spent to date)</t>
  </si>
  <si>
    <t xml:space="preserve">- Contract costs should be recognised as an expense in the </t>
  </si>
  <si>
    <t>period in which they're incurred.</t>
  </si>
  <si>
    <t>Hartshead Moor Plc</t>
  </si>
  <si>
    <t>Statement of Financial Position as at 31 March 2023</t>
  </si>
  <si>
    <t xml:space="preserve">  Property, Plant and Equipment</t>
  </si>
  <si>
    <t xml:space="preserve">  Inventories</t>
  </si>
  <si>
    <t xml:space="preserve">  Trade Receivables (1280-200)</t>
  </si>
  <si>
    <t xml:space="preserve">  Less Allowance for Receivables</t>
  </si>
  <si>
    <t xml:space="preserve">  Prepayments</t>
  </si>
  <si>
    <t xml:space="preserve">  Cash (600) OB + 5000 + 500</t>
  </si>
  <si>
    <t>Total Assets</t>
  </si>
  <si>
    <t>Equity Attributable to equity holders</t>
  </si>
  <si>
    <t xml:space="preserve">  £0.50 Ordinary Share Capital</t>
  </si>
  <si>
    <t xml:space="preserve">  Share Premium</t>
  </si>
  <si>
    <t xml:space="preserve">  Retained Earnings</t>
  </si>
  <si>
    <t>Total Equity</t>
  </si>
  <si>
    <t>Non-Current Liabillities</t>
  </si>
  <si>
    <t xml:space="preserve">  6% Pref Shares 2027</t>
  </si>
  <si>
    <t xml:space="preserve">  6% Loan 2023</t>
  </si>
  <si>
    <t xml:space="preserve">  Trade and other Payables</t>
  </si>
  <si>
    <t xml:space="preserve">  Accruals (100+60+900)</t>
  </si>
  <si>
    <t xml:space="preserve">  Finance cost (100 working - 30 paid)</t>
  </si>
  <si>
    <t xml:space="preserve">  Dividends Accrued</t>
  </si>
  <si>
    <t xml:space="preserve">  Bank Overdraft</t>
  </si>
  <si>
    <t>Total Current Liabilities</t>
  </si>
  <si>
    <t>Total Equity and Liabilities</t>
  </si>
  <si>
    <t>Pref Share 5% of 800</t>
  </si>
  <si>
    <t xml:space="preserve"> </t>
  </si>
  <si>
    <t>Equity and Liabilties</t>
  </si>
  <si>
    <t>= RE = Beginning RE - Net Profit/Loss - Dividend</t>
  </si>
  <si>
    <t xml:space="preserve">  Revaluation Reserves</t>
  </si>
  <si>
    <t>Straight from the Trial balance</t>
  </si>
  <si>
    <t>All from following information</t>
  </si>
  <si>
    <t>100 from W4, 30 from Loan Interest</t>
  </si>
  <si>
    <t>12,000 * 1%</t>
  </si>
  <si>
    <t>Question 1 - IFRS 5 Non-current assets held for sale</t>
  </si>
  <si>
    <t>A company is committed to plan to sell a non-current asset. The asset has a carrying value of</t>
  </si>
  <si>
    <t>£1.5 million. Similar assets are avaliable on the market for £1 million. The company would have to</t>
  </si>
  <si>
    <t xml:space="preserve">spend £200,000 to dismantle the asset for sale. The company is actively looking for a buyer and has </t>
  </si>
  <si>
    <t>advertised the asset for sale at the carrying value.</t>
  </si>
  <si>
    <t>1) If the asset were to be classified as held for sale, at what value would the asset be measured at?</t>
  </si>
  <si>
    <t>What accounting entries would need to be reflected in the company's accounts?</t>
  </si>
  <si>
    <t>Non-current assets held for sale are measured at the:</t>
  </si>
  <si>
    <t>- Lower of Carrying Value or Fair Value less costs to sell</t>
  </si>
  <si>
    <t>The carrying value (NBV at date of classification as a NCA held for sale) is £1.5 million</t>
  </si>
  <si>
    <t>The fair value (market value) less costs to sell is:</t>
  </si>
  <si>
    <t>- £1m less the £200,000 costs to dismantle, i.e. £800,000</t>
  </si>
  <si>
    <t>Therefore the Non-Current Asset held for sale should be recognised at £800,000 within current assets.</t>
  </si>
  <si>
    <t>The asset will be written down from £1,500,000 to £800,000 with the impairment (write down value) of</t>
  </si>
  <si>
    <t>£700,000 being charged to the Statement of Profit or Loss</t>
  </si>
  <si>
    <t>2) Advise the company whether it would be correct to classify this asset as 'held for sale' according</t>
  </si>
  <si>
    <t>to IFRS 5.</t>
  </si>
  <si>
    <t>Is the asset avaliable - YES</t>
  </si>
  <si>
    <t>Is the sale highly probable - NO</t>
  </si>
  <si>
    <t>Since it fails 1 of the criteria, the asset cannot be classified as held for sale as the sale price marketed</t>
  </si>
  <si>
    <t>must be reasonable given the current market price.</t>
  </si>
  <si>
    <t>The criteria:</t>
  </si>
  <si>
    <t>- Management must be committed to a plan to sell</t>
  </si>
  <si>
    <t>- There must be an active plan to locate a buyer</t>
  </si>
  <si>
    <t>- The sale is expected to take place within one year</t>
  </si>
  <si>
    <t>- It is unlikely that significant changes will be made to the plan, or the plan will be withdrawn.</t>
  </si>
  <si>
    <t xml:space="preserve">Redraft the statement of profit and loss in accordance with the </t>
  </si>
  <si>
    <t>requirements of IFRS 5. Also comment on what disclosures relating to</t>
  </si>
  <si>
    <t>the disposed division should be included in the notes to the financial</t>
  </si>
  <si>
    <t>statements.</t>
  </si>
  <si>
    <t>How does presenting discontinued operations as a single amount make</t>
  </si>
  <si>
    <t>financial statements more relevant to users?</t>
  </si>
  <si>
    <t>Willian plc, Statement of profit or loss for the year ended 31 March 2023</t>
  </si>
  <si>
    <t>Continuing Operations</t>
  </si>
  <si>
    <t>Sales Revenue (1200 - 300)</t>
  </si>
  <si>
    <t>Cost of Sales (650-240)</t>
  </si>
  <si>
    <t>Selling and Admin Costs (200-50-40)</t>
  </si>
  <si>
    <t>Taxation</t>
  </si>
  <si>
    <t>Profit for the year on Continuing Ops.</t>
  </si>
  <si>
    <t>Discontinued Operations:</t>
  </si>
  <si>
    <t>Profit/Loss for the period on Discon. Ops.</t>
  </si>
  <si>
    <t>Profit for the year</t>
  </si>
  <si>
    <t>Profit for discontinued operation:</t>
  </si>
  <si>
    <t>Loss on Disposal</t>
  </si>
  <si>
    <t>Overall Profit/Loss</t>
  </si>
  <si>
    <t>Disclosure on the discontinued operation:</t>
  </si>
  <si>
    <t>By showing discontinued operations as a single amount, users are</t>
  </si>
  <si>
    <t>able to distinguish between which operations will continue in the</t>
  </si>
  <si>
    <t xml:space="preserve">future and those that will not, which makes it more possible to </t>
  </si>
  <si>
    <t>predict future results.</t>
  </si>
  <si>
    <t>In terms of stewardship, its also allows users to assess and evaluate</t>
  </si>
  <si>
    <t>the decisions of the management with regard to discontinued operations</t>
  </si>
  <si>
    <t>its impact on the resources, and performance of the business.</t>
  </si>
  <si>
    <t>3) Patrick plc has previously valued intentory on a FIFO (first in, first out) basis. In 2022, the company</t>
  </si>
  <si>
    <t>decided to switch to the weighted average method of inventory valuation.</t>
  </si>
  <si>
    <t>You have the following information from the 2021 accounts:</t>
  </si>
  <si>
    <t xml:space="preserve">Using weighted average valuation, the opening inventory would have been £175,000 and the closing </t>
  </si>
  <si>
    <t>inventory would have been £200,000.</t>
  </si>
  <si>
    <t>The finance director has asked you to redraft the gross profit calculations and provide advice as to what</t>
  </si>
  <si>
    <t>other adjustments or disclosures would be required in the current years published financial accounts.</t>
  </si>
  <si>
    <t>2022 Cost of Goods Sold</t>
  </si>
  <si>
    <t>2022 Gross Profit</t>
  </si>
  <si>
    <t>Gross profit would be £25,000 lower in change</t>
  </si>
  <si>
    <t>with the policy, which must be included in the</t>
  </si>
  <si>
    <t>disclosures or notes of  the financial statements</t>
  </si>
  <si>
    <t>Cost of goods sold would be £25,000 lower in change</t>
  </si>
  <si>
    <t>Additional disclosure required:</t>
  </si>
  <si>
    <t>line presented.</t>
  </si>
  <si>
    <r>
      <t xml:space="preserve">- The </t>
    </r>
    <r>
      <rPr>
        <b/>
        <sz val="11"/>
        <color theme="1"/>
        <rFont val="Aptos Narrow"/>
        <family val="2"/>
        <scheme val="minor"/>
      </rPr>
      <t>nature</t>
    </r>
    <r>
      <rPr>
        <sz val="11"/>
        <color theme="1"/>
        <rFont val="Aptos Narrow"/>
        <family val="2"/>
        <scheme val="minor"/>
      </rPr>
      <t xml:space="preserve"> of the change in accounting policy</t>
    </r>
  </si>
  <si>
    <r>
      <t xml:space="preserve">- The </t>
    </r>
    <r>
      <rPr>
        <b/>
        <sz val="11"/>
        <color theme="1"/>
        <rFont val="Aptos Narrow"/>
        <family val="2"/>
        <scheme val="minor"/>
      </rPr>
      <t>reasons</t>
    </r>
    <r>
      <rPr>
        <sz val="11"/>
        <color theme="1"/>
        <rFont val="Aptos Narrow"/>
        <family val="2"/>
        <scheme val="minor"/>
      </rPr>
      <t xml:space="preserve"> why applying the new accounting policy provides reliable and more relevant information</t>
    </r>
  </si>
  <si>
    <r>
      <t xml:space="preserve">- </t>
    </r>
    <r>
      <rPr>
        <b/>
        <sz val="11"/>
        <color theme="1"/>
        <rFont val="Aptos Narrow"/>
        <family val="2"/>
        <scheme val="minor"/>
      </rPr>
      <t>Amount</t>
    </r>
    <r>
      <rPr>
        <sz val="11"/>
        <color theme="1"/>
        <rFont val="Aptos Narrow"/>
        <family val="2"/>
        <scheme val="minor"/>
      </rPr>
      <t xml:space="preserve"> of adjustment in the period and for which period presented for each financial statement </t>
    </r>
  </si>
  <si>
    <t>Question 1</t>
  </si>
  <si>
    <t>What factors should a business take into account when determining</t>
  </si>
  <si>
    <t>the expected useful life of property, plant, and equipment?</t>
  </si>
  <si>
    <t>Question 2</t>
  </si>
  <si>
    <t xml:space="preserve">IAS 16 Property, Plant, and equipment states that "each part of an item </t>
  </si>
  <si>
    <t>to the total cost of an item shall be depreciated separately".</t>
  </si>
  <si>
    <t>With reference to the Business School, idetnify items of that would fall under</t>
  </si>
  <si>
    <t>the 'property (building)' category and suggest why these should be depreciated</t>
  </si>
  <si>
    <t>separately.</t>
  </si>
  <si>
    <t>of property plant and equipment with a cost that is significant in relation</t>
  </si>
  <si>
    <t>The period of time over which economic benefits are expected to arise,</t>
  </si>
  <si>
    <t xml:space="preserve">   e.g. the life of the product.</t>
  </si>
  <si>
    <t>Expected use of the asset; expected capacity or physical output of the asset.</t>
  </si>
  <si>
    <t xml:space="preserve">Expected wear and tear - number of shifts using the asset, the repair and </t>
  </si>
  <si>
    <t xml:space="preserve">   maintenance program, care and maintenance of the machine when idle.</t>
  </si>
  <si>
    <t>The level of technical or commercial obsolescence. Different types of assets</t>
  </si>
  <si>
    <t xml:space="preserve">   may suffer earlier obsolescence than others - e.g. computers.</t>
  </si>
  <si>
    <t>Legal or commercial limits on the use of an asset - e.g. lease expiry dates.</t>
  </si>
  <si>
    <t>The overall building can be broken down into many different components</t>
  </si>
  <si>
    <t>which could include:</t>
  </si>
  <si>
    <t>The main entrance doors - high use, mechanical</t>
  </si>
  <si>
    <t>The flooring e.g. carpeting - higher levels of wear and tear</t>
  </si>
  <si>
    <t>The lifts - technical/mechanical life</t>
  </si>
  <si>
    <t>The electrical wiring - will it last as long as the building</t>
  </si>
  <si>
    <t>The main structure (walls/roof etc) - whats the expected life of the building?</t>
  </si>
  <si>
    <t>Question 3</t>
  </si>
  <si>
    <t>Provide reasons why stakeholders might find the disclosures</t>
  </si>
  <si>
    <t>relating to IAS 16 Property Plant and Equipment useful in making</t>
  </si>
  <si>
    <t>their economic decisions.</t>
  </si>
  <si>
    <t>are they using similar asset lives and depreciation methods?</t>
  </si>
  <si>
    <r>
      <rPr>
        <b/>
        <sz val="11"/>
        <color theme="1"/>
        <rFont val="Aptos Narrow"/>
        <family val="2"/>
        <scheme val="minor"/>
      </rPr>
      <t>Comparability</t>
    </r>
    <r>
      <rPr>
        <sz val="11"/>
        <color theme="1"/>
        <rFont val="Aptos Narrow"/>
        <family val="2"/>
        <scheme val="minor"/>
      </rPr>
      <t xml:space="preserve"> - to be able to compare against other businesses,</t>
    </r>
  </si>
  <si>
    <t>why they have occurred helps to understand the businesses' actions</t>
  </si>
  <si>
    <t>analysis of performance due to its subjective nature, and the difficulty</t>
  </si>
  <si>
    <t>of comparing one business to another.</t>
  </si>
  <si>
    <r>
      <rPr>
        <b/>
        <sz val="11"/>
        <color theme="1"/>
        <rFont val="Aptos Narrow"/>
        <family val="2"/>
        <scheme val="minor"/>
      </rPr>
      <t>Total depreciation</t>
    </r>
    <r>
      <rPr>
        <sz val="11"/>
        <color theme="1"/>
        <rFont val="Aptos Narrow"/>
        <family val="2"/>
        <scheme val="minor"/>
      </rPr>
      <t xml:space="preserve"> - some analysts will exclude depreciation from their </t>
    </r>
  </si>
  <si>
    <r>
      <rPr>
        <b/>
        <sz val="11"/>
        <color theme="1"/>
        <rFont val="Aptos Narrow"/>
        <family val="2"/>
        <scheme val="minor"/>
      </rPr>
      <t>Consistency</t>
    </r>
    <r>
      <rPr>
        <sz val="11"/>
        <color theme="1"/>
        <rFont val="Aptos Narrow"/>
        <family val="2"/>
        <scheme val="minor"/>
      </rPr>
      <t xml:space="preserve"> - Disclosure of changes in depreciation methods and</t>
    </r>
  </si>
  <si>
    <t>Assets in determining the overall age of the assets, or how likely it is</t>
  </si>
  <si>
    <t>that they will need replacing.</t>
  </si>
  <si>
    <t>i.e. from separate presentation of cost and depreciation, therefore can</t>
  </si>
  <si>
    <t>determine NBV in relation to total cost.</t>
  </si>
  <si>
    <t>separately. May result in asking the question as to why the assets are</t>
  </si>
  <si>
    <t>being disposed off, especially if they aren't fully depreciated.</t>
  </si>
  <si>
    <r>
      <rPr>
        <b/>
        <sz val="11"/>
        <color theme="1"/>
        <rFont val="Aptos Narrow"/>
        <family val="2"/>
        <scheme val="minor"/>
      </rPr>
      <t>The level of change in the assets - additions and disposals</t>
    </r>
    <r>
      <rPr>
        <sz val="11"/>
        <color theme="1"/>
        <rFont val="Aptos Narrow"/>
        <family val="2"/>
        <scheme val="minor"/>
      </rPr>
      <t xml:space="preserve"> presented</t>
    </r>
  </si>
  <si>
    <t>Question 4</t>
  </si>
  <si>
    <t>Purchase of new plant</t>
  </si>
  <si>
    <t>Testing and installation</t>
  </si>
  <si>
    <t>Training cost</t>
  </si>
  <si>
    <t>Total Cost</t>
  </si>
  <si>
    <t>Happy plc.</t>
  </si>
  <si>
    <t>1,200,000 - 75,000</t>
  </si>
  <si>
    <t>Annual Depr.</t>
  </si>
  <si>
    <t>(10 years)</t>
  </si>
  <si>
    <t>Depr. Charge (9/12 Months)</t>
  </si>
  <si>
    <t>Carrying Value less Residual Value</t>
  </si>
  <si>
    <t>Depreciable Amount:</t>
  </si>
  <si>
    <t>a) Journal Entries:</t>
  </si>
  <si>
    <t>Gain on Revaluation:</t>
  </si>
  <si>
    <t>Dr Building - Accumulated Depreciation (100,000 * 5/40 Years)</t>
  </si>
  <si>
    <t>Cr Building - Cost (100,000 - 98,000)</t>
  </si>
  <si>
    <t>Cr Revaluation Surplus (W1)</t>
  </si>
  <si>
    <t>Depreciation charge for the year ended 31 March 20X2:</t>
  </si>
  <si>
    <t>Dr Depreciation expense (100,000 / 40 years)</t>
  </si>
  <si>
    <t>Cr Building - Accumulated Depreciation</t>
  </si>
  <si>
    <t>W1) Gain on Revaluation</t>
  </si>
  <si>
    <t xml:space="preserve">Carrying amount of building at revaluation date </t>
  </si>
  <si>
    <t>(100,000 - (100,000*5/40 years)</t>
  </si>
  <si>
    <t>Fair Value</t>
  </si>
  <si>
    <t>Gain on Revaluation</t>
  </si>
  <si>
    <t>b) Financial Statements Extracts:</t>
  </si>
  <si>
    <t>Extract of statement of profit or loss and other comprehensive income for the year</t>
  </si>
  <si>
    <t>ended 31 March 20X6:</t>
  </si>
  <si>
    <t>Depreciation expense</t>
  </si>
  <si>
    <t>Other comprehensive Income:</t>
  </si>
  <si>
    <t>Gains on building revaluation</t>
  </si>
  <si>
    <t>Extract of the statement of financial position as at 31 March 20X6:</t>
  </si>
  <si>
    <t>Building</t>
  </si>
  <si>
    <t>Extract of the statement of changes in equity for the year ended 31 March 20X6:</t>
  </si>
  <si>
    <t>Gains on property revaluation</t>
  </si>
  <si>
    <t xml:space="preserve">Question 1 </t>
  </si>
  <si>
    <t>IAS 2 Inventories states that 'Inventories should be measured at the lower</t>
  </si>
  <si>
    <t>of cost and net realisable value'.</t>
  </si>
  <si>
    <t>a) Define the phrase 'net realisable value'.</t>
  </si>
  <si>
    <t>b) State which overheads should be included in inventory cost, and provide</t>
  </si>
  <si>
    <t>examples of those that would be included and those that would not.</t>
  </si>
  <si>
    <t xml:space="preserve">Net Realisable Value = Estimated selling price less </t>
  </si>
  <si>
    <t>estimated costs to complete and</t>
  </si>
  <si>
    <t>estimated costs necessary to make the sale.</t>
  </si>
  <si>
    <t xml:space="preserve">Only those costs that are directly related ot the units of production </t>
  </si>
  <si>
    <t>are included.</t>
  </si>
  <si>
    <t>Only fixed and variable manufacturing and production overheads are</t>
  </si>
  <si>
    <t>included.</t>
  </si>
  <si>
    <t>Only the overheads related to normal activity are included.</t>
  </si>
  <si>
    <t>Examples of those to be included would be factory rent, depreciation,</t>
  </si>
  <si>
    <t>and maintenance costs.</t>
  </si>
  <si>
    <t>IAS 2 Inventories states that the allocation of fixed overheads</t>
  </si>
  <si>
    <t>should be based on normal capacity. Why is this?</t>
  </si>
  <si>
    <t>If the company underproduces (lower than normal activity)</t>
  </si>
  <si>
    <t>value of the inventory, which would result in costs being carried</t>
  </si>
  <si>
    <t>forward to future periods.</t>
  </si>
  <si>
    <t>If the company overproduces (higher than normal activity)</t>
  </si>
  <si>
    <t xml:space="preserve">then the value of inventory would be reduced, effectively </t>
  </si>
  <si>
    <t>undervaluing the cost of the inventory.</t>
  </si>
  <si>
    <t>Explain the effect of profit and closing closing inventory of</t>
  </si>
  <si>
    <t xml:space="preserve">applying the following cost formulae for valuation when </t>
  </si>
  <si>
    <t>prices are rising:</t>
  </si>
  <si>
    <t>a) FIFO</t>
  </si>
  <si>
    <t xml:space="preserve">b) LIFO </t>
  </si>
  <si>
    <t>c) AVCO</t>
  </si>
  <si>
    <t>Question 1:</t>
  </si>
  <si>
    <t>Impairment - an asset is impaired when its carrying amount (in the statement of</t>
  </si>
  <si>
    <t>financial position) exceeds its recoverable amount (fall in value of an asset).</t>
  </si>
  <si>
    <t>Impairment occurs where the carrying value is higher than the recoverable amount;</t>
  </si>
  <si>
    <t>which is the higher of fair value less costs to sell or value in use.</t>
  </si>
  <si>
    <t>a) Non-current assets:</t>
  </si>
  <si>
    <t>An impairment review should be carried out when there is an indicator of impairment.</t>
  </si>
  <si>
    <t>b) Intangible assets:</t>
  </si>
  <si>
    <t>Goodwill and intangible assets with indefinite lives must have an annual impairment</t>
  </si>
  <si>
    <t>review. More frequently if there's an indicator of impairment.</t>
  </si>
  <si>
    <t>Circumstances that may indicate a company's assets may have become impaired:</t>
  </si>
  <si>
    <r>
      <rPr>
        <b/>
        <sz val="11"/>
        <color theme="1"/>
        <rFont val="Aptos Narrow"/>
        <family val="2"/>
        <scheme val="minor"/>
      </rPr>
      <t>External</t>
    </r>
    <r>
      <rPr>
        <sz val="11"/>
        <color theme="1"/>
        <rFont val="Aptos Narrow"/>
        <family val="2"/>
        <scheme val="minor"/>
      </rPr>
      <t xml:space="preserve"> - Fall in market value, negative changes in technology, economy, legislation, etc.</t>
    </r>
  </si>
  <si>
    <r>
      <rPr>
        <b/>
        <sz val="11"/>
        <color theme="1"/>
        <rFont val="Aptos Narrow"/>
        <family val="2"/>
        <scheme val="minor"/>
      </rPr>
      <t>Internal</t>
    </r>
    <r>
      <rPr>
        <sz val="11"/>
        <color theme="1"/>
        <rFont val="Aptos Narrow"/>
        <family val="2"/>
        <scheme val="minor"/>
      </rPr>
      <t xml:space="preserve"> - Obsolescence, physical damage, worsened financial/economic performance</t>
    </r>
  </si>
  <si>
    <t>IAS 2 Inventories, IFRS 5 Non-Current assets held for sale</t>
  </si>
  <si>
    <t>These have their own rules in the standard for dealing with impairment, e.g. inventories held</t>
  </si>
  <si>
    <t xml:space="preserve">at the lower of cost or NRV, non-current assets held for sale are written down (if required) </t>
  </si>
  <si>
    <t>before transfer to current asset.</t>
  </si>
  <si>
    <t>Question 2:</t>
  </si>
  <si>
    <t>Recoverable amount of each asset:</t>
  </si>
  <si>
    <t>Asset 1:</t>
  </si>
  <si>
    <t>VIU</t>
  </si>
  <si>
    <t>C.V.</t>
  </si>
  <si>
    <t>FV&lt;CTS.</t>
  </si>
  <si>
    <t>R.A.</t>
  </si>
  <si>
    <t>Imprmnt.</t>
  </si>
  <si>
    <t>Use/Sell</t>
  </si>
  <si>
    <t>N/A</t>
  </si>
  <si>
    <t>Use</t>
  </si>
  <si>
    <t>Sell</t>
  </si>
  <si>
    <t>Asset 2:</t>
  </si>
  <si>
    <t>Asset 3:</t>
  </si>
  <si>
    <t>Asset 4:</t>
  </si>
  <si>
    <t>Question 3:</t>
  </si>
  <si>
    <t>Question 1)</t>
  </si>
  <si>
    <t>a) Provide a statement of cash flows for Morton Ltd for the year</t>
  </si>
  <si>
    <t>ended 31 December 2022 in accordance with the requirements</t>
  </si>
  <si>
    <t>of IAS 7 Statement of Cash Flows, using the indirect method.</t>
  </si>
  <si>
    <t>Cash flows from Operating Activities</t>
  </si>
  <si>
    <t>Profit before tax</t>
  </si>
  <si>
    <t>Depreciation charges</t>
  </si>
  <si>
    <t>Loss on sale of tangible NCA</t>
  </si>
  <si>
    <t>Interest Expense</t>
  </si>
  <si>
    <t>Increase in Inventories</t>
  </si>
  <si>
    <t>Increase in Receivables</t>
  </si>
  <si>
    <t>Increase in Payables</t>
  </si>
  <si>
    <t>Cash generated from operations</t>
  </si>
  <si>
    <t>Tax paid (81+124-94)</t>
  </si>
  <si>
    <t>Interest paid (5+28-8)</t>
  </si>
  <si>
    <t>Net cash from operating activities</t>
  </si>
  <si>
    <t>Cash flows from Investing Activities</t>
  </si>
  <si>
    <t>Payments to acquire tangible NCA</t>
  </si>
  <si>
    <t>Receipts from sales of tangible NCAs</t>
  </si>
  <si>
    <t>Net cash used in investing activities</t>
  </si>
  <si>
    <t>Cash flows from financing activities</t>
  </si>
  <si>
    <t>Issue of share capital</t>
  </si>
  <si>
    <t>(360+36-340-24)</t>
  </si>
  <si>
    <t>Long-term loans repaid (500-200)</t>
  </si>
  <si>
    <t>Dividends paid</t>
  </si>
  <si>
    <t>Net cash used in financing activities</t>
  </si>
  <si>
    <t>Decrease in cash and cash equivalents</t>
  </si>
  <si>
    <t>Cash and cash equivalents at 1.1.22</t>
  </si>
  <si>
    <t>Cash and cash equivalents at 31.12.22</t>
  </si>
  <si>
    <t>From SoPL</t>
  </si>
  <si>
    <t>From SoFP</t>
  </si>
  <si>
    <t>Add up all the figures</t>
  </si>
  <si>
    <t>Year before - Year after</t>
  </si>
  <si>
    <t>From additional info</t>
  </si>
  <si>
    <t>Year after - Year before</t>
  </si>
  <si>
    <t>2021-2022</t>
  </si>
  <si>
    <t>Share Premium? 2022-2021</t>
  </si>
  <si>
    <t>b) Briefly explain the 'liquidity' position of Morton. Do you consider</t>
  </si>
  <si>
    <t>them to be in a strong or weak position? Provide reasons based on</t>
  </si>
  <si>
    <t>the evidence of the cash flow to support your argument.</t>
  </si>
  <si>
    <t>not give rise to concern as the Morton has also repaid £300,000 of its loans. There is</t>
  </si>
  <si>
    <t>no significant requirement for future investment in non-current assets as the NBV is</t>
  </si>
  <si>
    <t>80% of cost. Some investment has been made in new non-current assets (£90,000).</t>
  </si>
  <si>
    <t>This may have been a replacement of the old assets being disposed of in the same</t>
  </si>
  <si>
    <t>period. The operating cash flow has financed most of this activity, with only a small</t>
  </si>
  <si>
    <t>amount of capital being raised from issuing new shares.</t>
  </si>
  <si>
    <t>There has been an overall small reduction in the cash position of Morton. This does</t>
  </si>
  <si>
    <t>For each of the following issues determine whether the item should be</t>
  </si>
  <si>
    <t>a) Capitalised as an intangible</t>
  </si>
  <si>
    <t>b) Expensed to the SoPoL</t>
  </si>
  <si>
    <t xml:space="preserve">1. £200,000 spent on developing a new process that will not bring in </t>
  </si>
  <si>
    <t>revenue, but will deliver cost savings</t>
  </si>
  <si>
    <t>- Capitalise as an intangible (SoFP) as economic benefits can also</t>
  </si>
  <si>
    <t xml:space="preserve">  be a reduction in costs.</t>
  </si>
  <si>
    <t>2. £800,000 spent on developing a new product. A competitor has already</t>
  </si>
  <si>
    <t>will commit any further funds.</t>
  </si>
  <si>
    <t>brought a similar product to the market. The directors are uncertain if they</t>
  </si>
  <si>
    <t>- Not relevant regarding the involvement of being in a SoFP. There is an</t>
  </si>
  <si>
    <t xml:space="preserve">  uncertainty about the intention to complete and its committance.</t>
  </si>
  <si>
    <t>3. £500,000 spent on marketing a new product. This has led to increased</t>
  </si>
  <si>
    <t>sales of £1 million.</t>
  </si>
  <si>
    <t>- This is a marketing cost, which cannot be separated from the general</t>
  </si>
  <si>
    <t>costs of running the business.</t>
  </si>
  <si>
    <t>4. £750,000 has been spent on developing a new product. The future benefits</t>
  </si>
  <si>
    <t>have been estimated at £500,000.</t>
  </si>
  <si>
    <t>- £500,000 capitalised as an intangible (SoFP)</t>
  </si>
  <si>
    <t>- £250,000 expensed to the SoPoL</t>
  </si>
  <si>
    <t>Solution:</t>
  </si>
  <si>
    <t>Discuss the appropriate accounting treatment under IAS 37</t>
  </si>
  <si>
    <t>Provisions, contingent liablities and contingent assets for</t>
  </si>
  <si>
    <t>the following:</t>
  </si>
  <si>
    <t>a) A company provides warranties on products sold to</t>
  </si>
  <si>
    <t>customers. A warranty lasts for 2 years and some customers</t>
  </si>
  <si>
    <t>do claim repair costs in that period.</t>
  </si>
  <si>
    <t>b) A company has received a claim from a disgruntled customer</t>
  </si>
  <si>
    <t xml:space="preserve">regarding the supply of faulty raw materials which caused a </t>
  </si>
  <si>
    <t xml:space="preserve">breakdown in the customer's plant and machinery with a </t>
  </si>
  <si>
    <t>resulting loss of business and profits. The customer is claiming</t>
  </si>
  <si>
    <t>£200,000 and solicitors have advised that the claim may succceed.</t>
  </si>
  <si>
    <t xml:space="preserve">c) A company is claiming damages from a past employee who </t>
  </si>
  <si>
    <t xml:space="preserve">has taken a substantial amount of the company's trade to his </t>
  </si>
  <si>
    <t>new business. The claim is for £750,000 and solicitors advise</t>
  </si>
  <si>
    <t>the claim may succeed.</t>
  </si>
  <si>
    <t>- Is there an obligation as a result of a past event?</t>
  </si>
  <si>
    <t xml:space="preserve">   - Yes, the sale of the product is the obligating event and </t>
  </si>
  <si>
    <t xml:space="preserve">     there is a valid expectation that the warranties will be honoured.</t>
  </si>
  <si>
    <t>- Is the transfer of economic benefit probable?</t>
  </si>
  <si>
    <t xml:space="preserve">   - Yes, as past experience has shown that there'll be claims arising.</t>
  </si>
  <si>
    <t>- Can a reliable estimate be made?</t>
  </si>
  <si>
    <t xml:space="preserve">     be used to predict the future.</t>
  </si>
  <si>
    <t xml:space="preserve">   - Yes, a past experience will give a level of claims which can </t>
  </si>
  <si>
    <t>on costs on products sold before the end of the reporting period.</t>
  </si>
  <si>
    <r>
      <rPr>
        <b/>
        <sz val="11"/>
        <color theme="1"/>
        <rFont val="Aptos Narrow"/>
        <family val="2"/>
        <scheme val="minor"/>
      </rPr>
      <t>Conclusion</t>
    </r>
    <r>
      <rPr>
        <sz val="11"/>
        <color theme="1"/>
        <rFont val="Aptos Narrow"/>
        <family val="2"/>
        <scheme val="minor"/>
      </rPr>
      <t>: A provision should be made for the expected repair</t>
    </r>
  </si>
  <si>
    <t xml:space="preserve">   - There is only a possible obligation as the outcome is not clear.</t>
  </si>
  <si>
    <t xml:space="preserve">   - No - only 'may succeed'.</t>
  </si>
  <si>
    <t>of disclosure not only, as the outcome isnt clear as to whether</t>
  </si>
  <si>
    <t>or not the company would be held liable. The disclosure note</t>
  </si>
  <si>
    <t>should represent the nature of the contingency and an estimate</t>
  </si>
  <si>
    <t>of the financial effect.</t>
  </si>
  <si>
    <r>
      <rPr>
        <b/>
        <sz val="11"/>
        <color theme="1"/>
        <rFont val="Aptos Narrow"/>
        <family val="2"/>
        <scheme val="minor"/>
      </rPr>
      <t>Conclusion</t>
    </r>
    <r>
      <rPr>
        <sz val="11"/>
        <color theme="1"/>
        <rFont val="Aptos Narrow"/>
        <family val="2"/>
        <scheme val="minor"/>
      </rPr>
      <t>: A contingent liability should be recognised by way</t>
    </r>
  </si>
  <si>
    <t>Conclusion: This is a contingent asset as the company MAY</t>
  </si>
  <si>
    <t xml:space="preserve">receive some money. However, because of the effect of the </t>
  </si>
  <si>
    <t>prudence concept, contingent assets are never recognised</t>
  </si>
  <si>
    <t>in the accounts and can only be shown by way of disclosure note</t>
  </si>
  <si>
    <t>if they are probable. However this doesn't seem to be the case</t>
  </si>
  <si>
    <t>and so no action should be taken at all.</t>
  </si>
  <si>
    <t xml:space="preserve">A company prepares financial statements to 31 December </t>
  </si>
  <si>
    <t>each year. The following events occurred after 31 December</t>
  </si>
  <si>
    <t>2023 but before the financial statements for the year to 31</t>
  </si>
  <si>
    <t>December 2023 were authorised for issue:</t>
  </si>
  <si>
    <t>a) The company made a major investment in plant and equipment.</t>
  </si>
  <si>
    <t>b) The company made a take-over bid for another company.</t>
  </si>
  <si>
    <t>c) A customer who owed an amount of money to the company</t>
  </si>
  <si>
    <t>on 31 December 2022 was declared bankrupt.</t>
  </si>
  <si>
    <t xml:space="preserve">d) It was discovered that an item of equipment shown as an </t>
  </si>
  <si>
    <t>asset in the statement of financial position at 31 December 2023</t>
  </si>
  <si>
    <t>had been stolen on 12 January 2024.</t>
  </si>
  <si>
    <t>This is a non-adjusting event, disclose in the notes to the financial</t>
  </si>
  <si>
    <t>This is an adjusting event. Write off the irrecoverable debt.</t>
  </si>
  <si>
    <t>Key Points:</t>
  </si>
  <si>
    <t>In this topic, you need to know the definitions. If you know</t>
  </si>
  <si>
    <t>the definitions then you can apply them to any scenario</t>
  </si>
  <si>
    <t>given. The outcomes for the different levels of uncertainty</t>
  </si>
  <si>
    <t>can be summarised in the following table:</t>
  </si>
  <si>
    <t>Likelihood</t>
  </si>
  <si>
    <t>Remote</t>
  </si>
  <si>
    <t>Possible</t>
  </si>
  <si>
    <t>Probable</t>
  </si>
  <si>
    <t>Virtually</t>
  </si>
  <si>
    <t>Certain</t>
  </si>
  <si>
    <t>Outflow</t>
  </si>
  <si>
    <t>Inflow</t>
  </si>
  <si>
    <t>Do nothing</t>
  </si>
  <si>
    <t>Contingent Liability</t>
  </si>
  <si>
    <t>Provision</t>
  </si>
  <si>
    <t>Asset</t>
  </si>
  <si>
    <t>Contingent Asset</t>
  </si>
  <si>
    <t>List of Ratios used in Financial Statement Analysis:</t>
  </si>
  <si>
    <t>1) Profitability Ratios</t>
  </si>
  <si>
    <t>ROCE = Operating profit (Profit before Interest and Tax) * 100 / Capital Employed</t>
  </si>
  <si>
    <t>Capital employed = Share Capital + Reserves + Loan Capital</t>
  </si>
  <si>
    <t>ROCE = Operating profit margin * Asset turnover</t>
  </si>
  <si>
    <t>Operating profit margin = Operating Profit * 100 / Sales Revenue</t>
  </si>
  <si>
    <t>Asset Turnover = Sales Revenue / Capital Employed</t>
  </si>
  <si>
    <t>Gross Profit Margin = Gross Profit * 100 / Sales Revenue</t>
  </si>
  <si>
    <t>Net Profit Margin = Profit before Tax / Sales Revenue (*100)</t>
  </si>
  <si>
    <t>2) Liquidity Ratios</t>
  </si>
  <si>
    <t>Current Ratio = Current Assets / Current Liabilties</t>
  </si>
  <si>
    <t>Quick Ratio (Acid test) = (Current assets - Inventory) / Current Liabilities</t>
  </si>
  <si>
    <t>3) Gearing Ratios</t>
  </si>
  <si>
    <t>Gearing Ratio (1) = Debt/(Debt+Equity) = N.C. Liabilities * 100 / Capital Employed</t>
  </si>
  <si>
    <t>Gearing Ratio (2) = Debt * 100 / Equity</t>
  </si>
  <si>
    <t>Interest Cover = Profit before Interest / Finance Costs</t>
  </si>
  <si>
    <t>4) Efficiency (Working Capital) Ratios</t>
  </si>
  <si>
    <t>Inventory turnover period = Inventory * 365 / Cost</t>
  </si>
  <si>
    <t>of sales</t>
  </si>
  <si>
    <t>Trade Receivables (Debtors) Collection Period</t>
  </si>
  <si>
    <t>= Trade receivables * 365/Credit Sales</t>
  </si>
  <si>
    <t>Trade Receivables (Creditors) Payment Period</t>
  </si>
  <si>
    <t>= Trade payables * 365/Credit Purchases (COS)</t>
  </si>
  <si>
    <t>5) Investment Ratios</t>
  </si>
  <si>
    <t>Earnings per share (EPS) = Profit avaliable to</t>
  </si>
  <si>
    <t>shareholders / Number of ordinary shares</t>
  </si>
  <si>
    <t>Price/Earnings (P/E) Ratio = Current share price</t>
  </si>
  <si>
    <t>/ EPS</t>
  </si>
  <si>
    <t>Dividend Yield = Dividend per share / Current Share</t>
  </si>
  <si>
    <t>Price</t>
  </si>
  <si>
    <t>Dividend Cover = Profit after tax/Dividends</t>
  </si>
  <si>
    <t>Note: Just "remember" these ratios and you should</t>
  </si>
  <si>
    <t>be fine.</t>
  </si>
  <si>
    <t>PPE (W5)</t>
  </si>
  <si>
    <r>
      <t xml:space="preserve">- </t>
    </r>
    <r>
      <rPr>
        <b/>
        <sz val="11"/>
        <color theme="1"/>
        <rFont val="Aptos Narrow"/>
        <family val="2"/>
        <scheme val="minor"/>
      </rPr>
      <t>Presentation</t>
    </r>
    <r>
      <rPr>
        <sz val="11"/>
        <color theme="1"/>
        <rFont val="Aptos Narrow"/>
        <family val="2"/>
        <scheme val="minor"/>
      </rPr>
      <t>:</t>
    </r>
  </si>
  <si>
    <t xml:space="preserve">Statement of profit or loss </t>
  </si>
  <si>
    <t>and other comprehensive income</t>
  </si>
  <si>
    <t>- The marketed sale price must be reasonable in relation to its current fair value</t>
  </si>
  <si>
    <t>2021 Gross Profit</t>
  </si>
  <si>
    <t>2021 Cost of Goods Sold</t>
  </si>
  <si>
    <t>the overhead per unit would increase and increase the year end</t>
  </si>
  <si>
    <t xml:space="preserve">Loss of disposal </t>
  </si>
  <si>
    <t>+ NBV of disposals</t>
  </si>
  <si>
    <t>Exceptional Items:</t>
  </si>
  <si>
    <t>- The name often given to material items of income and expense</t>
  </si>
  <si>
    <t>of such size, nature, or incidence that disclosure is necessary in</t>
  </si>
  <si>
    <t>order to explain the performance of the entity.</t>
  </si>
  <si>
    <t>The accounting treatment of exceptional items is to:</t>
  </si>
  <si>
    <t>- Include the item in the standard statement of profit or loss line</t>
  </si>
  <si>
    <t>- Disclose the nature and amount in the notes</t>
  </si>
  <si>
    <t>Examples include:</t>
  </si>
  <si>
    <t>- Write down of inventories to NRV</t>
  </si>
  <si>
    <t>- Impairment of property, plant, and equipment</t>
  </si>
  <si>
    <t>- Restructuring costs</t>
  </si>
  <si>
    <t>- Gains/losses on disposal of non-current assets</t>
  </si>
  <si>
    <t>- Discontinued operations</t>
  </si>
  <si>
    <t>- Litigation settlements</t>
  </si>
  <si>
    <t>- Reversals of provisions</t>
  </si>
  <si>
    <t>IAS 1 requires that an asset or liabilities is held as 'current' if:</t>
  </si>
  <si>
    <t>- It will be settled within 12 months of the reporting date</t>
  </si>
  <si>
    <t>- It is a part of the entity's normal operating cycle</t>
  </si>
  <si>
    <t>Within the 'equity' section of the SoFP, other components of equity</t>
  </si>
  <si>
    <t>include:</t>
  </si>
  <si>
    <t>- Revaluation Surplus</t>
  </si>
  <si>
    <t>- Share Premium</t>
  </si>
  <si>
    <t>- Investment Reserve</t>
  </si>
  <si>
    <t>Formula for which is =</t>
  </si>
  <si>
    <t>Opening Inventory + Purchases - Less Purchase</t>
  </si>
  <si>
    <t>Returns - Less Closing Inventory</t>
  </si>
  <si>
    <r>
      <rPr>
        <b/>
        <sz val="11"/>
        <color theme="1"/>
        <rFont val="Aptos Narrow"/>
        <family val="2"/>
        <scheme val="minor"/>
      </rPr>
      <t xml:space="preserve">First Step: </t>
    </r>
    <r>
      <rPr>
        <sz val="11"/>
        <color theme="1"/>
        <rFont val="Aptos Narrow"/>
        <family val="2"/>
        <scheme val="minor"/>
      </rPr>
      <t>Work out Cost of Sales</t>
    </r>
  </si>
  <si>
    <t>Include Sundry Income afterwards if present</t>
  </si>
  <si>
    <t>Then calculate Admin Expenses</t>
  </si>
  <si>
    <t>All the administrative expenses added together</t>
  </si>
  <si>
    <t>(Understand the meaning of each cost)</t>
  </si>
  <si>
    <t>E.g. Wages, Rent, Motor Expenses, Insurance,</t>
  </si>
  <si>
    <t>Irrecoverable Debts, ( - Decrease in Allowance ),</t>
  </si>
  <si>
    <t>Light and Heat, Bank Interest, and Depreciation</t>
  </si>
  <si>
    <t>But only include depreciation in where the question</t>
  </si>
  <si>
    <t>tells you to include it to.</t>
  </si>
  <si>
    <t>Just read the trial balance and act accordingly.</t>
  </si>
  <si>
    <r>
      <rPr>
        <b/>
        <sz val="11"/>
        <color theme="1"/>
        <rFont val="Aptos Narrow"/>
        <family val="2"/>
        <scheme val="minor"/>
      </rPr>
      <t>Third Step</t>
    </r>
    <r>
      <rPr>
        <sz val="11"/>
        <color theme="1"/>
        <rFont val="Aptos Narrow"/>
        <family val="2"/>
        <scheme val="minor"/>
      </rPr>
      <t>: After Whipping that Value in</t>
    </r>
  </si>
  <si>
    <r>
      <rPr>
        <b/>
        <sz val="11"/>
        <color theme="1"/>
        <rFont val="Aptos Narrow"/>
        <family val="2"/>
        <scheme val="minor"/>
      </rPr>
      <t>Fourth Step</t>
    </r>
    <r>
      <rPr>
        <sz val="11"/>
        <color theme="1"/>
        <rFont val="Aptos Narrow"/>
        <family val="2"/>
        <scheme val="minor"/>
      </rPr>
      <t>: Calculate the income tax</t>
    </r>
  </si>
  <si>
    <r>
      <rPr>
        <b/>
        <sz val="11"/>
        <color theme="1"/>
        <rFont val="Aptos Narrow"/>
        <family val="2"/>
        <scheme val="minor"/>
      </rPr>
      <t>Second Step:</t>
    </r>
    <r>
      <rPr>
        <sz val="11"/>
        <color theme="1"/>
        <rFont val="Aptos Narrow"/>
        <family val="2"/>
        <scheme val="minor"/>
      </rPr>
      <t xml:space="preserve"> Work out Depreciation</t>
    </r>
  </si>
  <si>
    <t>Straight-line = Straight up divide by x%</t>
  </si>
  <si>
    <t>and divide by Y years if given</t>
  </si>
  <si>
    <t>Reducing Balance = (Cost - Depreciation) * (Rate)</t>
  </si>
  <si>
    <t>Add them all up and divide to each category</t>
  </si>
  <si>
    <t>accordingly.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</si>
</sst>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£&quot;#,##0;[Red]\-&quot;£&quot;#,##0"/>
  </numFmts>
  <fonts count="1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b/>
      <u/>
      <sz val="11"/>
      <color theme="1"/>
      <name val="Aptos Narrow"/>
      <family val="2"/>
      <scheme val="minor"/>
    </font>
    <font>
      <b/>
      <u/>
      <sz val="11"/>
      <color rgb="FF00B0F0"/>
      <name val="Aptos Narrow"/>
      <family val="2"/>
      <scheme val="minor"/>
    </font>
    <font>
      <b/>
      <sz val="11"/>
      <color rgb="FF00B0F0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u/>
      <sz val="11"/>
      <color rgb="FFFF0000"/>
      <name val="Aptos Narrow"/>
      <family val="2"/>
      <scheme val="minor"/>
    </font>
    <font>
      <b/>
      <u/>
      <sz val="18"/>
      <color theme="1"/>
      <name val="Aptos Narrow"/>
      <family val="2"/>
      <scheme val="minor"/>
    </font>
    <font>
      <b/>
      <i/>
      <sz val="11"/>
      <color rgb="FFFF0000"/>
      <name val="Aptos Narrow"/>
      <family val="2"/>
      <scheme val="minor"/>
    </font>
    <font>
      <b/>
      <sz val="18"/>
      <color theme="1"/>
      <name val="Aptos Narrow"/>
      <family val="2"/>
      <scheme val="minor"/>
    </font>
    <font>
      <sz val="9"/>
      <color theme="1"/>
      <name val="Arial"/>
      <family val="2"/>
    </font>
    <font>
      <b/>
      <sz val="10"/>
      <color theme="1"/>
      <name val="Montserrat Light"/>
    </font>
    <font>
      <sz val="10"/>
      <color theme="1"/>
      <name val="Montserrat Light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6">
    <xf numFmtId="0" fontId="0" fillId="0" borderId="0" xfId="0"/>
    <xf numFmtId="0" fontId="3" fillId="0" borderId="0" xfId="0" applyFont="1"/>
    <xf numFmtId="3" fontId="0" fillId="0" borderId="0" xfId="0" applyNumberFormat="1"/>
    <xf numFmtId="0" fontId="0" fillId="0" borderId="1" xfId="0" applyBorder="1"/>
    <xf numFmtId="3" fontId="0" fillId="0" borderId="1" xfId="0" applyNumberFormat="1" applyBorder="1"/>
    <xf numFmtId="0" fontId="3" fillId="0" borderId="0" xfId="0" applyFont="1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0" fillId="0" borderId="0" xfId="0" quotePrefix="1"/>
    <xf numFmtId="0" fontId="3" fillId="0" borderId="0" xfId="0" quotePrefix="1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6" fillId="0" borderId="0" xfId="0" quotePrefix="1" applyFont="1"/>
    <xf numFmtId="0" fontId="8" fillId="0" borderId="0" xfId="0" applyFont="1"/>
    <xf numFmtId="0" fontId="0" fillId="2" borderId="0" xfId="0" applyFill="1"/>
    <xf numFmtId="3" fontId="0" fillId="2" borderId="0" xfId="0" applyNumberFormat="1" applyFill="1"/>
    <xf numFmtId="0" fontId="9" fillId="0" borderId="0" xfId="0" applyFont="1"/>
    <xf numFmtId="0" fontId="2" fillId="0" borderId="0" xfId="0" applyFont="1"/>
    <xf numFmtId="0" fontId="0" fillId="3" borderId="0" xfId="0" applyFill="1"/>
    <xf numFmtId="3" fontId="0" fillId="3" borderId="0" xfId="0" applyNumberFormat="1" applyFill="1"/>
    <xf numFmtId="0" fontId="0" fillId="4" borderId="0" xfId="0" applyFill="1"/>
    <xf numFmtId="3" fontId="0" fillId="4" borderId="0" xfId="0" applyNumberFormat="1" applyFill="1"/>
    <xf numFmtId="0" fontId="0" fillId="5" borderId="0" xfId="0" applyFill="1"/>
    <xf numFmtId="3" fontId="0" fillId="5" borderId="0" xfId="0" applyNumberFormat="1" applyFill="1"/>
    <xf numFmtId="0" fontId="0" fillId="3" borderId="1" xfId="0" applyFill="1" applyBorder="1"/>
    <xf numFmtId="3" fontId="0" fillId="2" borderId="1" xfId="0" applyNumberFormat="1" applyFill="1" applyBorder="1"/>
    <xf numFmtId="9" fontId="0" fillId="0" borderId="0" xfId="1" applyFont="1"/>
    <xf numFmtId="0" fontId="0" fillId="4" borderId="1" xfId="0" applyFill="1" applyBorder="1"/>
    <xf numFmtId="0" fontId="10" fillId="0" borderId="0" xfId="0" applyFont="1"/>
    <xf numFmtId="0" fontId="12" fillId="0" borderId="0" xfId="0" applyFont="1"/>
    <xf numFmtId="0" fontId="0" fillId="0" borderId="3" xfId="0" applyBorder="1"/>
    <xf numFmtId="0" fontId="0" fillId="0" borderId="3" xfId="0" applyBorder="1" applyAlignment="1">
      <alignment horizontal="right"/>
    </xf>
    <xf numFmtId="0" fontId="3" fillId="0" borderId="3" xfId="0" applyFont="1" applyBorder="1"/>
    <xf numFmtId="3" fontId="0" fillId="0" borderId="3" xfId="0" applyNumberFormat="1" applyBorder="1"/>
    <xf numFmtId="0" fontId="0" fillId="0" borderId="5" xfId="0" applyBorder="1"/>
    <xf numFmtId="0" fontId="0" fillId="0" borderId="4" xfId="0" applyBorder="1"/>
    <xf numFmtId="0" fontId="0" fillId="0" borderId="2" xfId="0" applyBorder="1"/>
    <xf numFmtId="0" fontId="3" fillId="0" borderId="5" xfId="0" applyFont="1" applyBorder="1"/>
    <xf numFmtId="0" fontId="0" fillId="0" borderId="3" xfId="0" applyBorder="1" applyAlignment="1">
      <alignment horizontal="center"/>
    </xf>
    <xf numFmtId="0" fontId="13" fillId="0" borderId="0" xfId="0" applyFont="1"/>
    <xf numFmtId="0" fontId="3" fillId="6" borderId="3" xfId="0" applyFont="1" applyFill="1" applyBorder="1"/>
    <xf numFmtId="0" fontId="0" fillId="6" borderId="3" xfId="0" applyFill="1" applyBorder="1"/>
    <xf numFmtId="0" fontId="3" fillId="6" borderId="5" xfId="0" applyFont="1" applyFill="1" applyBorder="1"/>
    <xf numFmtId="0" fontId="0" fillId="6" borderId="4" xfId="0" applyFill="1" applyBorder="1"/>
    <xf numFmtId="0" fontId="3" fillId="6" borderId="6" xfId="0" applyFont="1" applyFill="1" applyBorder="1"/>
    <xf numFmtId="0" fontId="0" fillId="6" borderId="7" xfId="0" applyFill="1" applyBorder="1"/>
    <xf numFmtId="0" fontId="3" fillId="6" borderId="9" xfId="0" applyFont="1" applyFill="1" applyBorder="1"/>
    <xf numFmtId="0" fontId="0" fillId="6" borderId="8" xfId="0" applyFill="1" applyBorder="1"/>
    <xf numFmtId="0" fontId="3" fillId="3" borderId="10" xfId="0" applyFont="1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13" xfId="0" applyFill="1" applyBorder="1"/>
    <xf numFmtId="0" fontId="0" fillId="3" borderId="14" xfId="0" applyFill="1" applyBorder="1"/>
    <xf numFmtId="0" fontId="3" fillId="3" borderId="13" xfId="0" applyFont="1" applyFill="1" applyBorder="1"/>
    <xf numFmtId="0" fontId="0" fillId="3" borderId="13" xfId="0" quotePrefix="1" applyFill="1" applyBorder="1"/>
    <xf numFmtId="0" fontId="0" fillId="3" borderId="15" xfId="0" applyFill="1" applyBorder="1"/>
    <xf numFmtId="0" fontId="0" fillId="3" borderId="16" xfId="0" applyFill="1" applyBorder="1"/>
    <xf numFmtId="0" fontId="5" fillId="3" borderId="10" xfId="0" applyFont="1" applyFill="1" applyBorder="1"/>
    <xf numFmtId="0" fontId="0" fillId="3" borderId="15" xfId="0" quotePrefix="1" applyFill="1" applyBorder="1"/>
    <xf numFmtId="0" fontId="3" fillId="3" borderId="13" xfId="0" quotePrefix="1" applyFont="1" applyFill="1" applyBorder="1"/>
    <xf numFmtId="0" fontId="3" fillId="3" borderId="15" xfId="0" applyFont="1" applyFill="1" applyBorder="1"/>
    <xf numFmtId="0" fontId="5" fillId="3" borderId="13" xfId="0" applyFont="1" applyFill="1" applyBorder="1"/>
    <xf numFmtId="3" fontId="0" fillId="3" borderId="1" xfId="0" applyNumberFormat="1" applyFill="1" applyBorder="1"/>
    <xf numFmtId="6" fontId="0" fillId="3" borderId="0" xfId="0" applyNumberFormat="1" applyFill="1"/>
    <xf numFmtId="0" fontId="14" fillId="0" borderId="0" xfId="0" applyFont="1"/>
    <xf numFmtId="0" fontId="15" fillId="0" borderId="0" xfId="0" applyFont="1"/>
    <xf numFmtId="0" fontId="15" fillId="0" borderId="0" xfId="0" quotePrefix="1" applyFont="1"/>
    <xf numFmtId="0" fontId="0" fillId="0" borderId="3" xfId="0" applyBorder="1" applyAlignment="1">
      <alignment horizontal="right"/>
    </xf>
    <xf numFmtId="3" fontId="0" fillId="0" borderId="3" xfId="0" applyNumberFormat="1" applyBorder="1" applyAlignment="1">
      <alignment horizontal="right"/>
    </xf>
    <xf numFmtId="0" fontId="0" fillId="3" borderId="3" xfId="0" applyFill="1" applyBorder="1" applyAlignment="1">
      <alignment horizontal="center" vertical="top"/>
    </xf>
    <xf numFmtId="0" fontId="3" fillId="6" borderId="3" xfId="0" applyFont="1" applyFill="1" applyBorder="1" applyAlignment="1">
      <alignment horizontal="center"/>
    </xf>
    <xf numFmtId="0" fontId="0" fillId="3" borderId="3" xfId="0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3" Type="http://schemas.openxmlformats.org/officeDocument/2006/relationships/customXml" Target="../ink/ink1.xml"/><Relationship Id="rId7" Type="http://schemas.openxmlformats.org/officeDocument/2006/relationships/customXml" Target="../ink/ink3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4.png"/><Relationship Id="rId5" Type="http://schemas.openxmlformats.org/officeDocument/2006/relationships/customXml" Target="../ink/ink2.xml"/><Relationship Id="rId10" Type="http://schemas.openxmlformats.org/officeDocument/2006/relationships/image" Target="../media/image6.png"/><Relationship Id="rId4" Type="http://schemas.openxmlformats.org/officeDocument/2006/relationships/image" Target="../media/image3.png"/><Relationship Id="rId9" Type="http://schemas.openxmlformats.org/officeDocument/2006/relationships/customXml" Target="../ink/ink4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37.png"/><Relationship Id="rId1" Type="http://schemas.openxmlformats.org/officeDocument/2006/relationships/image" Target="../media/image36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7" Type="http://schemas.openxmlformats.org/officeDocument/2006/relationships/image" Target="../media/image13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6" Type="http://schemas.openxmlformats.org/officeDocument/2006/relationships/image" Target="../media/image12.png"/><Relationship Id="rId5" Type="http://schemas.openxmlformats.org/officeDocument/2006/relationships/image" Target="../media/image11.png"/><Relationship Id="rId4" Type="http://schemas.openxmlformats.org/officeDocument/2006/relationships/image" Target="../media/image10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5.png"/><Relationship Id="rId1" Type="http://schemas.openxmlformats.org/officeDocument/2006/relationships/image" Target="../media/image1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9.png"/><Relationship Id="rId2" Type="http://schemas.openxmlformats.org/officeDocument/2006/relationships/image" Target="../media/image18.png"/><Relationship Id="rId1" Type="http://schemas.openxmlformats.org/officeDocument/2006/relationships/image" Target="../media/image17.png"/><Relationship Id="rId5" Type="http://schemas.openxmlformats.org/officeDocument/2006/relationships/image" Target="../media/image21.png"/><Relationship Id="rId4" Type="http://schemas.openxmlformats.org/officeDocument/2006/relationships/image" Target="../media/image20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24.png"/><Relationship Id="rId7" Type="http://schemas.openxmlformats.org/officeDocument/2006/relationships/image" Target="../media/image28.png"/><Relationship Id="rId2" Type="http://schemas.openxmlformats.org/officeDocument/2006/relationships/image" Target="../media/image23.png"/><Relationship Id="rId1" Type="http://schemas.openxmlformats.org/officeDocument/2006/relationships/image" Target="../media/image22.png"/><Relationship Id="rId6" Type="http://schemas.openxmlformats.org/officeDocument/2006/relationships/image" Target="../media/image27.png"/><Relationship Id="rId5" Type="http://schemas.openxmlformats.org/officeDocument/2006/relationships/image" Target="../media/image26.png"/><Relationship Id="rId4" Type="http://schemas.openxmlformats.org/officeDocument/2006/relationships/image" Target="../media/image25.pn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40.png"/><Relationship Id="rId13" Type="http://schemas.openxmlformats.org/officeDocument/2006/relationships/customXml" Target="../ink/ink11.xml"/><Relationship Id="rId3" Type="http://schemas.openxmlformats.org/officeDocument/2006/relationships/customXml" Target="../ink/ink6.xml"/><Relationship Id="rId7" Type="http://schemas.openxmlformats.org/officeDocument/2006/relationships/customXml" Target="../ink/ink8.xml"/><Relationship Id="rId12" Type="http://schemas.openxmlformats.org/officeDocument/2006/relationships/image" Target="../media/image60.png"/><Relationship Id="rId2" Type="http://schemas.openxmlformats.org/officeDocument/2006/relationships/image" Target="../media/image110.png"/><Relationship Id="rId1" Type="http://schemas.openxmlformats.org/officeDocument/2006/relationships/customXml" Target="../ink/ink5.xml"/><Relationship Id="rId6" Type="http://schemas.openxmlformats.org/officeDocument/2006/relationships/image" Target="../media/image38.png"/><Relationship Id="rId11" Type="http://schemas.openxmlformats.org/officeDocument/2006/relationships/customXml" Target="../ink/ink10.xml"/><Relationship Id="rId5" Type="http://schemas.openxmlformats.org/officeDocument/2006/relationships/customXml" Target="../ink/ink7.xml"/><Relationship Id="rId10" Type="http://schemas.openxmlformats.org/officeDocument/2006/relationships/image" Target="../media/image50.png"/><Relationship Id="rId4" Type="http://schemas.openxmlformats.org/officeDocument/2006/relationships/image" Target="../media/image210.png"/><Relationship Id="rId9" Type="http://schemas.openxmlformats.org/officeDocument/2006/relationships/customXml" Target="../ink/ink9.xml"/><Relationship Id="rId14" Type="http://schemas.openxmlformats.org/officeDocument/2006/relationships/image" Target="../media/image70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1.png"/><Relationship Id="rId2" Type="http://schemas.openxmlformats.org/officeDocument/2006/relationships/image" Target="../media/image30.png"/><Relationship Id="rId1" Type="http://schemas.openxmlformats.org/officeDocument/2006/relationships/image" Target="../media/image29.png"/><Relationship Id="rId5" Type="http://schemas.openxmlformats.org/officeDocument/2006/relationships/image" Target="../media/image33.png"/><Relationship Id="rId4" Type="http://schemas.openxmlformats.org/officeDocument/2006/relationships/image" Target="../media/image32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35.png"/><Relationship Id="rId1" Type="http://schemas.openxmlformats.org/officeDocument/2006/relationships/image" Target="../media/image3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0</xdr:colOff>
      <xdr:row>29</xdr:row>
      <xdr:rowOff>182217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BD3C328-979B-E1CF-5797-BF0FC4F6E9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657600" cy="5715000"/>
        </a:xfrm>
        <a:prstGeom prst="rect">
          <a:avLst/>
        </a:prstGeom>
      </xdr:spPr>
    </xdr:pic>
    <xdr:clientData/>
  </xdr:twoCellAnchor>
  <xdr:twoCellAnchor editAs="oneCell">
    <xdr:from>
      <xdr:col>5</xdr:col>
      <xdr:colOff>600621</xdr:colOff>
      <xdr:row>0</xdr:row>
      <xdr:rowOff>0</xdr:rowOff>
    </xdr:from>
    <xdr:to>
      <xdr:col>10</xdr:col>
      <xdr:colOff>612913</xdr:colOff>
      <xdr:row>17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7F21E57-75EF-D0B0-81DA-C722F3EEF6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48621" y="0"/>
          <a:ext cx="3056979" cy="3238500"/>
        </a:xfrm>
        <a:prstGeom prst="rect">
          <a:avLst/>
        </a:prstGeom>
      </xdr:spPr>
    </xdr:pic>
    <xdr:clientData/>
  </xdr:twoCellAnchor>
  <xdr:twoCellAnchor editAs="oneCell">
    <xdr:from>
      <xdr:col>7</xdr:col>
      <xdr:colOff>581115</xdr:colOff>
      <xdr:row>23</xdr:row>
      <xdr:rowOff>28605</xdr:rowOff>
    </xdr:from>
    <xdr:to>
      <xdr:col>8</xdr:col>
      <xdr:colOff>533835</xdr:colOff>
      <xdr:row>23</xdr:row>
      <xdr:rowOff>152805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9" name="Ink 8">
              <a:extLst>
                <a:ext uri="{FF2B5EF4-FFF2-40B4-BE49-F238E27FC236}">
                  <a16:creationId xmlns:a16="http://schemas.microsoft.com/office/drawing/2014/main" id="{64476560-115A-0443-D3D7-8D7AB1BFDA05}"/>
                </a:ext>
              </a:extLst>
            </xdr14:cNvPr>
            <xdr14:cNvContentPartPr/>
          </xdr14:nvContentPartPr>
          <xdr14:nvPr macro=""/>
          <xdr14:xfrm>
            <a:off x="4848315" y="4410105"/>
            <a:ext cx="562320" cy="124200"/>
          </xdr14:xfrm>
        </xdr:contentPart>
      </mc:Choice>
      <mc:Fallback xmlns="">
        <xdr:pic>
          <xdr:nvPicPr>
            <xdr:cNvPr id="9" name="Ink 8">
              <a:extLst>
                <a:ext uri="{FF2B5EF4-FFF2-40B4-BE49-F238E27FC236}">
                  <a16:creationId xmlns:a16="http://schemas.microsoft.com/office/drawing/2014/main" id="{64476560-115A-0443-D3D7-8D7AB1BFDA05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4830315" y="4374105"/>
              <a:ext cx="597960" cy="195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581115</xdr:colOff>
      <xdr:row>5</xdr:row>
      <xdr:rowOff>9525</xdr:rowOff>
    </xdr:from>
    <xdr:to>
      <xdr:col>5</xdr:col>
      <xdr:colOff>371835</xdr:colOff>
      <xdr:row>5</xdr:row>
      <xdr:rowOff>95565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10" name="Ink 9">
              <a:extLst>
                <a:ext uri="{FF2B5EF4-FFF2-40B4-BE49-F238E27FC236}">
                  <a16:creationId xmlns:a16="http://schemas.microsoft.com/office/drawing/2014/main" id="{028C6210-96CD-E370-9968-5954BC0CA670}"/>
                </a:ext>
              </a:extLst>
            </xdr14:cNvPr>
            <xdr14:cNvContentPartPr/>
          </xdr14:nvContentPartPr>
          <xdr14:nvPr macro=""/>
          <xdr14:xfrm>
            <a:off x="3019515" y="962025"/>
            <a:ext cx="400320" cy="86040"/>
          </xdr14:xfrm>
        </xdr:contentPart>
      </mc:Choice>
      <mc:Fallback xmlns="">
        <xdr:pic>
          <xdr:nvPicPr>
            <xdr:cNvPr id="10" name="Ink 9">
              <a:extLst>
                <a:ext uri="{FF2B5EF4-FFF2-40B4-BE49-F238E27FC236}">
                  <a16:creationId xmlns:a16="http://schemas.microsoft.com/office/drawing/2014/main" id="{028C6210-96CD-E370-9968-5954BC0CA670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3001515" y="926025"/>
              <a:ext cx="435960" cy="157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552555</xdr:colOff>
      <xdr:row>23</xdr:row>
      <xdr:rowOff>57045</xdr:rowOff>
    </xdr:from>
    <xdr:to>
      <xdr:col>9</xdr:col>
      <xdr:colOff>362355</xdr:colOff>
      <xdr:row>23</xdr:row>
      <xdr:rowOff>162165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11" name="Ink 10">
              <a:extLst>
                <a:ext uri="{FF2B5EF4-FFF2-40B4-BE49-F238E27FC236}">
                  <a16:creationId xmlns:a16="http://schemas.microsoft.com/office/drawing/2014/main" id="{6744DB7B-2B6A-EE3F-59B6-A9250915AE38}"/>
                </a:ext>
              </a:extLst>
            </xdr14:cNvPr>
            <xdr14:cNvContentPartPr/>
          </xdr14:nvContentPartPr>
          <xdr14:nvPr macro=""/>
          <xdr14:xfrm>
            <a:off x="5429355" y="4438545"/>
            <a:ext cx="419400" cy="105120"/>
          </xdr14:xfrm>
        </xdr:contentPart>
      </mc:Choice>
      <mc:Fallback xmlns="">
        <xdr:pic>
          <xdr:nvPicPr>
            <xdr:cNvPr id="11" name="Ink 10">
              <a:extLst>
                <a:ext uri="{FF2B5EF4-FFF2-40B4-BE49-F238E27FC236}">
                  <a16:creationId xmlns:a16="http://schemas.microsoft.com/office/drawing/2014/main" id="{6744DB7B-2B6A-EE3F-59B6-A9250915AE38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5411355" y="4402545"/>
              <a:ext cx="455040" cy="176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104835</xdr:colOff>
      <xdr:row>6</xdr:row>
      <xdr:rowOff>143025</xdr:rowOff>
    </xdr:from>
    <xdr:to>
      <xdr:col>4</xdr:col>
      <xdr:colOff>391035</xdr:colOff>
      <xdr:row>7</xdr:row>
      <xdr:rowOff>28845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12" name="Ink 11">
              <a:extLst>
                <a:ext uri="{FF2B5EF4-FFF2-40B4-BE49-F238E27FC236}">
                  <a16:creationId xmlns:a16="http://schemas.microsoft.com/office/drawing/2014/main" id="{087F9EFF-EDC3-C55E-3A8D-0E0BE46FD492}"/>
                </a:ext>
              </a:extLst>
            </xdr14:cNvPr>
            <xdr14:cNvContentPartPr/>
          </xdr14:nvContentPartPr>
          <xdr14:nvPr macro=""/>
          <xdr14:xfrm>
            <a:off x="2543235" y="1286025"/>
            <a:ext cx="286200" cy="76320"/>
          </xdr14:xfrm>
        </xdr:contentPart>
      </mc:Choice>
      <mc:Fallback xmlns="">
        <xdr:pic>
          <xdr:nvPicPr>
            <xdr:cNvPr id="12" name="Ink 11">
              <a:extLst>
                <a:ext uri="{FF2B5EF4-FFF2-40B4-BE49-F238E27FC236}">
                  <a16:creationId xmlns:a16="http://schemas.microsoft.com/office/drawing/2014/main" id="{087F9EFF-EDC3-C55E-3A8D-0E0BE46FD492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2525235" y="1250025"/>
              <a:ext cx="321840" cy="14796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9525</xdr:colOff>
      <xdr:row>1</xdr:row>
      <xdr:rowOff>9525</xdr:rowOff>
    </xdr:from>
    <xdr:to>
      <xdr:col>16</xdr:col>
      <xdr:colOff>591312</xdr:colOff>
      <xdr:row>19</xdr:row>
      <xdr:rowOff>48109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4CF9A97-E34A-8665-E99F-0D5B374C5D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86325" y="200025"/>
          <a:ext cx="5458587" cy="3467584"/>
        </a:xfrm>
        <a:prstGeom prst="rect">
          <a:avLst/>
        </a:prstGeom>
      </xdr:spPr>
    </xdr:pic>
    <xdr:clientData/>
  </xdr:twoCellAnchor>
  <xdr:twoCellAnchor editAs="oneCell">
    <xdr:from>
      <xdr:col>8</xdr:col>
      <xdr:colOff>9525</xdr:colOff>
      <xdr:row>22</xdr:row>
      <xdr:rowOff>9526</xdr:rowOff>
    </xdr:from>
    <xdr:to>
      <xdr:col>16</xdr:col>
      <xdr:colOff>604637</xdr:colOff>
      <xdr:row>38</xdr:row>
      <xdr:rowOff>104776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1557819-7CD5-0189-E171-00A98A0BF1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886325" y="4200526"/>
          <a:ext cx="5471912" cy="31432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9526</xdr:rowOff>
    </xdr:from>
    <xdr:to>
      <xdr:col>8</xdr:col>
      <xdr:colOff>2289</xdr:colOff>
      <xdr:row>31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61FEAFE-AA71-A449-B037-70E341CE3F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90526"/>
          <a:ext cx="4874606" cy="551497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33</xdr:row>
      <xdr:rowOff>9526</xdr:rowOff>
    </xdr:from>
    <xdr:to>
      <xdr:col>8</xdr:col>
      <xdr:colOff>0</xdr:colOff>
      <xdr:row>50</xdr:row>
      <xdr:rowOff>136256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7F13363-6C26-6130-71AE-7ED5DBDC3F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6296026"/>
          <a:ext cx="4876800" cy="3365230"/>
        </a:xfrm>
        <a:prstGeom prst="rect">
          <a:avLst/>
        </a:prstGeom>
      </xdr:spPr>
    </xdr:pic>
    <xdr:clientData/>
  </xdr:twoCellAnchor>
  <xdr:twoCellAnchor editAs="oneCell">
    <xdr:from>
      <xdr:col>8</xdr:col>
      <xdr:colOff>609599</xdr:colOff>
      <xdr:row>3</xdr:row>
      <xdr:rowOff>0</xdr:rowOff>
    </xdr:from>
    <xdr:to>
      <xdr:col>16</xdr:col>
      <xdr:colOff>4198</xdr:colOff>
      <xdr:row>22</xdr:row>
      <xdr:rowOff>190499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AB18709-022E-CFBF-CEDC-63B9DAFB8D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86399" y="571500"/>
          <a:ext cx="4266916" cy="3809999"/>
        </a:xfrm>
        <a:prstGeom prst="rect">
          <a:avLst/>
        </a:prstGeom>
      </xdr:spPr>
    </xdr:pic>
    <xdr:clientData/>
  </xdr:twoCellAnchor>
  <xdr:twoCellAnchor editAs="oneCell">
    <xdr:from>
      <xdr:col>9</xdr:col>
      <xdr:colOff>1</xdr:colOff>
      <xdr:row>23</xdr:row>
      <xdr:rowOff>0</xdr:rowOff>
    </xdr:from>
    <xdr:to>
      <xdr:col>16</xdr:col>
      <xdr:colOff>1</xdr:colOff>
      <xdr:row>33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4F6B54A-A6AE-7803-6BCD-C2FE0CE526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486401" y="4381500"/>
          <a:ext cx="4267200" cy="1905000"/>
        </a:xfrm>
        <a:prstGeom prst="rect">
          <a:avLst/>
        </a:prstGeom>
      </xdr:spPr>
    </xdr:pic>
    <xdr:clientData/>
  </xdr:twoCellAnchor>
  <xdr:twoCellAnchor editAs="oneCell">
    <xdr:from>
      <xdr:col>9</xdr:col>
      <xdr:colOff>9526</xdr:colOff>
      <xdr:row>36</xdr:row>
      <xdr:rowOff>9525</xdr:rowOff>
    </xdr:from>
    <xdr:to>
      <xdr:col>17</xdr:col>
      <xdr:colOff>0</xdr:colOff>
      <xdr:row>40</xdr:row>
      <xdr:rowOff>9631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3FB4ED8-540E-C922-A73A-9C59D32DE4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495926" y="6867525"/>
          <a:ext cx="4867274" cy="762106"/>
        </a:xfrm>
        <a:prstGeom prst="rect">
          <a:avLst/>
        </a:prstGeom>
      </xdr:spPr>
    </xdr:pic>
    <xdr:clientData/>
  </xdr:twoCellAnchor>
  <xdr:twoCellAnchor editAs="oneCell">
    <xdr:from>
      <xdr:col>9</xdr:col>
      <xdr:colOff>9525</xdr:colOff>
      <xdr:row>49</xdr:row>
      <xdr:rowOff>9525</xdr:rowOff>
    </xdr:from>
    <xdr:to>
      <xdr:col>17</xdr:col>
      <xdr:colOff>0</xdr:colOff>
      <xdr:row>51</xdr:row>
      <xdr:rowOff>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4833AED7-38CE-3124-6B93-8C02256326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495925" y="9344025"/>
          <a:ext cx="4867275" cy="371475"/>
        </a:xfrm>
        <a:prstGeom prst="rect">
          <a:avLst/>
        </a:prstGeom>
      </xdr:spPr>
    </xdr:pic>
    <xdr:clientData/>
  </xdr:twoCellAnchor>
  <xdr:twoCellAnchor editAs="oneCell">
    <xdr:from>
      <xdr:col>9</xdr:col>
      <xdr:colOff>9525</xdr:colOff>
      <xdr:row>58</xdr:row>
      <xdr:rowOff>9526</xdr:rowOff>
    </xdr:from>
    <xdr:to>
      <xdr:col>17</xdr:col>
      <xdr:colOff>0</xdr:colOff>
      <xdr:row>64</xdr:row>
      <xdr:rowOff>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CC17E634-041A-237E-CE74-E157A021FB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495925" y="11058526"/>
          <a:ext cx="4867275" cy="113347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613</xdr:colOff>
      <xdr:row>24</xdr:row>
      <xdr:rowOff>47625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71AA84A-BC91-BB8B-53B3-79E8433F8D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658213" cy="46577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66675</xdr:rowOff>
    </xdr:from>
    <xdr:to>
      <xdr:col>6</xdr:col>
      <xdr:colOff>475</xdr:colOff>
      <xdr:row>35</xdr:row>
      <xdr:rowOff>152400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B8684EF-BCAB-CA5B-076D-C94DA06993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638675"/>
          <a:ext cx="3658075" cy="21907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9525</xdr:colOff>
      <xdr:row>27</xdr:row>
      <xdr:rowOff>9524</xdr:rowOff>
    </xdr:from>
    <xdr:to>
      <xdr:col>17</xdr:col>
      <xdr:colOff>0</xdr:colOff>
      <xdr:row>37</xdr:row>
      <xdr:rowOff>180974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DCB1087-6BB3-7A91-2240-298C0F0409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95925" y="5153024"/>
          <a:ext cx="4867275" cy="208597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9525</xdr:rowOff>
    </xdr:from>
    <xdr:to>
      <xdr:col>7</xdr:col>
      <xdr:colOff>353070</xdr:colOff>
      <xdr:row>14</xdr:row>
      <xdr:rowOff>181345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D04BF46-B150-C179-0AEF-91C61639B3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00025"/>
          <a:ext cx="4620270" cy="2648320"/>
        </a:xfrm>
        <a:prstGeom prst="rect">
          <a:avLst/>
        </a:prstGeom>
      </xdr:spPr>
    </xdr:pic>
    <xdr:clientData/>
  </xdr:twoCellAnchor>
  <xdr:twoCellAnchor editAs="oneCell">
    <xdr:from>
      <xdr:col>9</xdr:col>
      <xdr:colOff>9525</xdr:colOff>
      <xdr:row>1</xdr:row>
      <xdr:rowOff>9525</xdr:rowOff>
    </xdr:from>
    <xdr:to>
      <xdr:col>15</xdr:col>
      <xdr:colOff>603520</xdr:colOff>
      <xdr:row>14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8F8D657-FBEF-BAC6-8BF6-54911F6ED1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95925" y="200025"/>
          <a:ext cx="4251595" cy="2466975"/>
        </a:xfrm>
        <a:prstGeom prst="rect">
          <a:avLst/>
        </a:prstGeom>
      </xdr:spPr>
    </xdr:pic>
    <xdr:clientData/>
  </xdr:twoCellAnchor>
  <xdr:twoCellAnchor editAs="oneCell">
    <xdr:from>
      <xdr:col>9</xdr:col>
      <xdr:colOff>1</xdr:colOff>
      <xdr:row>14</xdr:row>
      <xdr:rowOff>171450</xdr:rowOff>
    </xdr:from>
    <xdr:to>
      <xdr:col>16</xdr:col>
      <xdr:colOff>9525</xdr:colOff>
      <xdr:row>29</xdr:row>
      <xdr:rowOff>9525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94E5187-AA40-0530-C83A-2125B6CC4E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86401" y="2838450"/>
          <a:ext cx="4276724" cy="2695575"/>
        </a:xfrm>
        <a:prstGeom prst="rect">
          <a:avLst/>
        </a:prstGeom>
      </xdr:spPr>
    </xdr:pic>
    <xdr:clientData/>
  </xdr:twoCellAnchor>
  <xdr:twoCellAnchor editAs="oneCell">
    <xdr:from>
      <xdr:col>9</xdr:col>
      <xdr:colOff>6498</xdr:colOff>
      <xdr:row>30</xdr:row>
      <xdr:rowOff>9525</xdr:rowOff>
    </xdr:from>
    <xdr:to>
      <xdr:col>16</xdr:col>
      <xdr:colOff>9525</xdr:colOff>
      <xdr:row>42</xdr:row>
      <xdr:rowOff>162381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18442AF4-2F9B-B519-BCE5-DBD6C2ECE5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492898" y="5724525"/>
          <a:ext cx="4270227" cy="2448381"/>
        </a:xfrm>
        <a:prstGeom prst="rect">
          <a:avLst/>
        </a:prstGeom>
      </xdr:spPr>
    </xdr:pic>
    <xdr:clientData/>
  </xdr:twoCellAnchor>
  <xdr:twoCellAnchor editAs="oneCell">
    <xdr:from>
      <xdr:col>9</xdr:col>
      <xdr:colOff>19049</xdr:colOff>
      <xdr:row>44</xdr:row>
      <xdr:rowOff>9525</xdr:rowOff>
    </xdr:from>
    <xdr:to>
      <xdr:col>15</xdr:col>
      <xdr:colOff>600074</xdr:colOff>
      <xdr:row>63</xdr:row>
      <xdr:rowOff>41869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E7D37350-0D91-A2CD-B41E-620FDA602A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505449" y="8401050"/>
          <a:ext cx="4238625" cy="365184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9526</xdr:colOff>
      <xdr:row>22</xdr:row>
      <xdr:rowOff>9525</xdr:rowOff>
    </xdr:from>
    <xdr:to>
      <xdr:col>14</xdr:col>
      <xdr:colOff>600076</xdr:colOff>
      <xdr:row>25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C88C8D2-9E5A-E166-6F55-67AB584826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86326" y="4200525"/>
          <a:ext cx="4248150" cy="561975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27</xdr:row>
      <xdr:rowOff>1</xdr:rowOff>
    </xdr:from>
    <xdr:to>
      <xdr:col>14</xdr:col>
      <xdr:colOff>600075</xdr:colOff>
      <xdr:row>31</xdr:row>
      <xdr:rowOff>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FE056E1-15B4-D909-4DDC-07E0004636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876800" y="5143501"/>
          <a:ext cx="4257675" cy="762000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33</xdr:row>
      <xdr:rowOff>0</xdr:rowOff>
    </xdr:from>
    <xdr:to>
      <xdr:col>15</xdr:col>
      <xdr:colOff>0</xdr:colOff>
      <xdr:row>35</xdr:row>
      <xdr:rowOff>37817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3C18023-A0DB-7D1B-B665-271CF0BEC1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876800" y="6286500"/>
          <a:ext cx="4267200" cy="418817"/>
        </a:xfrm>
        <a:prstGeom prst="rect">
          <a:avLst/>
        </a:prstGeom>
      </xdr:spPr>
    </xdr:pic>
    <xdr:clientData/>
  </xdr:twoCellAnchor>
  <xdr:twoCellAnchor editAs="oneCell">
    <xdr:from>
      <xdr:col>16</xdr:col>
      <xdr:colOff>19050</xdr:colOff>
      <xdr:row>1</xdr:row>
      <xdr:rowOff>9525</xdr:rowOff>
    </xdr:from>
    <xdr:to>
      <xdr:col>22</xdr:col>
      <xdr:colOff>597796</xdr:colOff>
      <xdr:row>11</xdr:row>
      <xdr:rowOff>57150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3DE6B69-96F2-AC4A-B6E5-8142DB11F2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772650" y="200025"/>
          <a:ext cx="4236346" cy="1952625"/>
        </a:xfrm>
        <a:prstGeom prst="rect">
          <a:avLst/>
        </a:prstGeom>
      </xdr:spPr>
    </xdr:pic>
    <xdr:clientData/>
  </xdr:twoCellAnchor>
  <xdr:twoCellAnchor editAs="oneCell">
    <xdr:from>
      <xdr:col>16</xdr:col>
      <xdr:colOff>19050</xdr:colOff>
      <xdr:row>11</xdr:row>
      <xdr:rowOff>28575</xdr:rowOff>
    </xdr:from>
    <xdr:to>
      <xdr:col>22</xdr:col>
      <xdr:colOff>609017</xdr:colOff>
      <xdr:row>42</xdr:row>
      <xdr:rowOff>86658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0B27D14-A3F5-FEB5-9D1A-B266F8B0D2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772650" y="2124075"/>
          <a:ext cx="4247567" cy="5963583"/>
        </a:xfrm>
        <a:prstGeom prst="rect">
          <a:avLst/>
        </a:prstGeom>
      </xdr:spPr>
    </xdr:pic>
    <xdr:clientData/>
  </xdr:twoCellAnchor>
  <xdr:twoCellAnchor editAs="oneCell">
    <xdr:from>
      <xdr:col>22</xdr:col>
      <xdr:colOff>604464</xdr:colOff>
      <xdr:row>1</xdr:row>
      <xdr:rowOff>19050</xdr:rowOff>
    </xdr:from>
    <xdr:to>
      <xdr:col>28</xdr:col>
      <xdr:colOff>515105</xdr:colOff>
      <xdr:row>21</xdr:row>
      <xdr:rowOff>28575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DA7C75E-48DA-8BC6-D938-2CB676E26C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4015664" y="209550"/>
          <a:ext cx="3568241" cy="3819525"/>
        </a:xfrm>
        <a:prstGeom prst="rect">
          <a:avLst/>
        </a:prstGeom>
      </xdr:spPr>
    </xdr:pic>
    <xdr:clientData/>
  </xdr:twoCellAnchor>
  <xdr:twoCellAnchor editAs="oneCell">
    <xdr:from>
      <xdr:col>22</xdr:col>
      <xdr:colOff>608682</xdr:colOff>
      <xdr:row>20</xdr:row>
      <xdr:rowOff>133351</xdr:rowOff>
    </xdr:from>
    <xdr:to>
      <xdr:col>28</xdr:col>
      <xdr:colOff>514350</xdr:colOff>
      <xdr:row>49</xdr:row>
      <xdr:rowOff>47625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F4E0CDA-05C7-6F86-D4B7-355A8A5911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4019882" y="3943351"/>
          <a:ext cx="3563268" cy="543877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28440</xdr:colOff>
      <xdr:row>7</xdr:row>
      <xdr:rowOff>142860</xdr:rowOff>
    </xdr:from>
    <xdr:to>
      <xdr:col>10</xdr:col>
      <xdr:colOff>238920</xdr:colOff>
      <xdr:row>20</xdr:row>
      <xdr:rowOff>79800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322CBBC8-29AE-41A7-A937-B8AA51673041}"/>
                </a:ext>
              </a:extLst>
            </xdr14:cNvPr>
            <xdr14:cNvContentPartPr/>
          </xdr14:nvContentPartPr>
          <xdr14:nvPr macro=""/>
          <xdr14:xfrm>
            <a:off x="5514840" y="1476360"/>
            <a:ext cx="820080" cy="241344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31058F21-A6C8-1BF0-AA95-65A34A81589E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505840" y="1467360"/>
              <a:ext cx="837720" cy="2431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163080</xdr:colOff>
      <xdr:row>20</xdr:row>
      <xdr:rowOff>85560</xdr:rowOff>
    </xdr:from>
    <xdr:to>
      <xdr:col>9</xdr:col>
      <xdr:colOff>257400</xdr:colOff>
      <xdr:row>20</xdr:row>
      <xdr:rowOff>95280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2CA0AB2D-7689-45E5-A5C0-9B36784D01A7}"/>
                </a:ext>
              </a:extLst>
            </xdr14:cNvPr>
            <xdr14:cNvContentPartPr/>
          </xdr14:nvContentPartPr>
          <xdr14:nvPr macro=""/>
          <xdr14:xfrm>
            <a:off x="5649480" y="3895560"/>
            <a:ext cx="94320" cy="9720"/>
          </xdr14:xfrm>
        </xdr:contentPart>
      </mc:Choice>
      <mc:Fallback xmlns="">
        <xdr:pic>
          <xdr:nvPicPr>
            <xdr:cNvPr id="7" name="Ink 6">
              <a:extLst>
                <a:ext uri="{FF2B5EF4-FFF2-40B4-BE49-F238E27FC236}">
                  <a16:creationId xmlns:a16="http://schemas.microsoft.com/office/drawing/2014/main" id="{4704F528-51EE-3945-FE2B-0E0756252C5D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5640480" y="3886560"/>
              <a:ext cx="111960" cy="27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95520</xdr:colOff>
      <xdr:row>27</xdr:row>
      <xdr:rowOff>184875</xdr:rowOff>
    </xdr:from>
    <xdr:to>
      <xdr:col>9</xdr:col>
      <xdr:colOff>125280</xdr:colOff>
      <xdr:row>33</xdr:row>
      <xdr:rowOff>195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4" name="Ink 3">
              <a:extLst>
                <a:ext uri="{FF2B5EF4-FFF2-40B4-BE49-F238E27FC236}">
                  <a16:creationId xmlns:a16="http://schemas.microsoft.com/office/drawing/2014/main" id="{51D7AAC1-0162-44B5-B6AC-D147FEA96091}"/>
                </a:ext>
              </a:extLst>
            </xdr14:cNvPr>
            <xdr14:cNvContentPartPr/>
          </xdr14:nvContentPartPr>
          <xdr14:nvPr macro=""/>
          <xdr14:xfrm>
            <a:off x="3143520" y="5337900"/>
            <a:ext cx="2468160" cy="958320"/>
          </xdr14:xfrm>
        </xdr:contentPart>
      </mc:Choice>
      <mc:Fallback xmlns="">
        <xdr:pic>
          <xdr:nvPicPr>
            <xdr:cNvPr id="15" name="Ink 14">
              <a:extLst>
                <a:ext uri="{FF2B5EF4-FFF2-40B4-BE49-F238E27FC236}">
                  <a16:creationId xmlns:a16="http://schemas.microsoft.com/office/drawing/2014/main" id="{3200923A-888A-2ABD-7951-3DF82FC75480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3134880" y="5329260"/>
              <a:ext cx="2485800" cy="975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417600</xdr:colOff>
      <xdr:row>37</xdr:row>
      <xdr:rowOff>28425</xdr:rowOff>
    </xdr:from>
    <xdr:to>
      <xdr:col>6</xdr:col>
      <xdr:colOff>486000</xdr:colOff>
      <xdr:row>38</xdr:row>
      <xdr:rowOff>143565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5" name="Ink 4">
              <a:extLst>
                <a:ext uri="{FF2B5EF4-FFF2-40B4-BE49-F238E27FC236}">
                  <a16:creationId xmlns:a16="http://schemas.microsoft.com/office/drawing/2014/main" id="{9A15592E-2326-472E-BD05-2A2A564B5741}"/>
                </a:ext>
              </a:extLst>
            </xdr14:cNvPr>
            <xdr14:cNvContentPartPr/>
          </xdr14:nvContentPartPr>
          <xdr14:nvPr macro=""/>
          <xdr14:xfrm>
            <a:off x="2246400" y="7105500"/>
            <a:ext cx="1897200" cy="305640"/>
          </xdr14:xfrm>
        </xdr:contentPart>
      </mc:Choice>
      <mc:Fallback xmlns="">
        <xdr:pic>
          <xdr:nvPicPr>
            <xdr:cNvPr id="17" name="Ink 16">
              <a:extLst>
                <a:ext uri="{FF2B5EF4-FFF2-40B4-BE49-F238E27FC236}">
                  <a16:creationId xmlns:a16="http://schemas.microsoft.com/office/drawing/2014/main" id="{CFD838AE-CD37-24B3-7A08-D70FFAF12DF4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2237760" y="7096500"/>
              <a:ext cx="1914840" cy="323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541560</xdr:colOff>
      <xdr:row>35</xdr:row>
      <xdr:rowOff>115305</xdr:rowOff>
    </xdr:from>
    <xdr:to>
      <xdr:col>6</xdr:col>
      <xdr:colOff>466920</xdr:colOff>
      <xdr:row>37</xdr:row>
      <xdr:rowOff>28785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6" name="Ink 5">
              <a:extLst>
                <a:ext uri="{FF2B5EF4-FFF2-40B4-BE49-F238E27FC236}">
                  <a16:creationId xmlns:a16="http://schemas.microsoft.com/office/drawing/2014/main" id="{78C36EC6-5FA6-41F5-BF03-4B7F315CB55A}"/>
                </a:ext>
              </a:extLst>
            </xdr14:cNvPr>
            <xdr14:cNvContentPartPr/>
          </xdr14:nvContentPartPr>
          <xdr14:nvPr macro=""/>
          <xdr14:xfrm>
            <a:off x="3589560" y="6811380"/>
            <a:ext cx="534960" cy="294480"/>
          </xdr14:xfrm>
        </xdr:contentPart>
      </mc:Choice>
      <mc:Fallback xmlns="">
        <xdr:pic>
          <xdr:nvPicPr>
            <xdr:cNvPr id="18" name="Ink 17">
              <a:extLst>
                <a:ext uri="{FF2B5EF4-FFF2-40B4-BE49-F238E27FC236}">
                  <a16:creationId xmlns:a16="http://schemas.microsoft.com/office/drawing/2014/main" id="{A1EB0B9C-4DE3-A134-4672-C27D2AB7E023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3580560" y="6802380"/>
              <a:ext cx="552600" cy="312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133440</xdr:colOff>
      <xdr:row>44</xdr:row>
      <xdr:rowOff>177960</xdr:rowOff>
    </xdr:from>
    <xdr:to>
      <xdr:col>7</xdr:col>
      <xdr:colOff>152520</xdr:colOff>
      <xdr:row>46</xdr:row>
      <xdr:rowOff>162360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DAC960C1-DB48-43F4-BBD1-6E4085F250AC}"/>
                </a:ext>
              </a:extLst>
            </xdr14:cNvPr>
            <xdr14:cNvContentPartPr/>
          </xdr14:nvContentPartPr>
          <xdr14:nvPr macro=""/>
          <xdr14:xfrm>
            <a:off x="2571840" y="8598060"/>
            <a:ext cx="1847880" cy="365400"/>
          </xdr14:xfrm>
        </xdr:contentPart>
      </mc:Choice>
      <mc:Fallback xmlns="">
        <xdr:pic>
          <xdr:nvPicPr>
            <xdr:cNvPr id="23" name="Ink 22">
              <a:extLst>
                <a:ext uri="{FF2B5EF4-FFF2-40B4-BE49-F238E27FC236}">
                  <a16:creationId xmlns:a16="http://schemas.microsoft.com/office/drawing/2014/main" id="{DB775A8D-F5FE-383A-5887-22FFF7337A63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2562842" y="8589420"/>
              <a:ext cx="1865517" cy="383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247680</xdr:colOff>
      <xdr:row>49</xdr:row>
      <xdr:rowOff>9195</xdr:rowOff>
    </xdr:from>
    <xdr:to>
      <xdr:col>4</xdr:col>
      <xdr:colOff>542760</xdr:colOff>
      <xdr:row>50</xdr:row>
      <xdr:rowOff>47655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">
          <xdr14:nvContentPartPr>
            <xdr14:cNvPr id="8" name="Ink 7">
              <a:extLst>
                <a:ext uri="{FF2B5EF4-FFF2-40B4-BE49-F238E27FC236}">
                  <a16:creationId xmlns:a16="http://schemas.microsoft.com/office/drawing/2014/main" id="{47CA7C14-2B08-4D04-A226-825244B5C25F}"/>
                </a:ext>
              </a:extLst>
            </xdr14:cNvPr>
            <xdr14:cNvContentPartPr/>
          </xdr14:nvContentPartPr>
          <xdr14:nvPr macro=""/>
          <xdr14:xfrm>
            <a:off x="2076480" y="9391320"/>
            <a:ext cx="904680" cy="228960"/>
          </xdr14:xfrm>
        </xdr:contentPart>
      </mc:Choice>
      <mc:Fallback xmlns="">
        <xdr:pic>
          <xdr:nvPicPr>
            <xdr:cNvPr id="27" name="Ink 26">
              <a:extLst>
                <a:ext uri="{FF2B5EF4-FFF2-40B4-BE49-F238E27FC236}">
                  <a16:creationId xmlns:a16="http://schemas.microsoft.com/office/drawing/2014/main" id="{4F66C365-C0D2-E36B-85A9-3EF056C68F72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2067484" y="9382320"/>
              <a:ext cx="922313" cy="2466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9525</xdr:rowOff>
    </xdr:from>
    <xdr:to>
      <xdr:col>7</xdr:col>
      <xdr:colOff>400701</xdr:colOff>
      <xdr:row>10</xdr:row>
      <xdr:rowOff>19291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83D0E57-4A3C-2489-8894-20782D2CCB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00025"/>
          <a:ext cx="4667901" cy="1724266"/>
        </a:xfrm>
        <a:prstGeom prst="rect">
          <a:avLst/>
        </a:prstGeom>
      </xdr:spPr>
    </xdr:pic>
    <xdr:clientData/>
  </xdr:twoCellAnchor>
  <xdr:twoCellAnchor editAs="oneCell">
    <xdr:from>
      <xdr:col>9</xdr:col>
      <xdr:colOff>9525</xdr:colOff>
      <xdr:row>1</xdr:row>
      <xdr:rowOff>9525</xdr:rowOff>
    </xdr:from>
    <xdr:to>
      <xdr:col>15</xdr:col>
      <xdr:colOff>409575</xdr:colOff>
      <xdr:row>10</xdr:row>
      <xdr:rowOff>171450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E4910C1-9951-2FA3-C264-8789FCD945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95925" y="200025"/>
          <a:ext cx="4057650" cy="1876425"/>
        </a:xfrm>
        <a:prstGeom prst="rect">
          <a:avLst/>
        </a:prstGeom>
      </xdr:spPr>
    </xdr:pic>
    <xdr:clientData/>
  </xdr:twoCellAnchor>
  <xdr:twoCellAnchor editAs="oneCell">
    <xdr:from>
      <xdr:col>17</xdr:col>
      <xdr:colOff>19051</xdr:colOff>
      <xdr:row>1</xdr:row>
      <xdr:rowOff>19050</xdr:rowOff>
    </xdr:from>
    <xdr:to>
      <xdr:col>23</xdr:col>
      <xdr:colOff>608741</xdr:colOff>
      <xdr:row>24</xdr:row>
      <xdr:rowOff>85725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1B9D700-FBFD-F874-EF5A-9CAE380724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382251" y="209550"/>
          <a:ext cx="4247290" cy="4448175"/>
        </a:xfrm>
        <a:prstGeom prst="rect">
          <a:avLst/>
        </a:prstGeom>
      </xdr:spPr>
    </xdr:pic>
    <xdr:clientData/>
  </xdr:twoCellAnchor>
  <xdr:twoCellAnchor editAs="oneCell">
    <xdr:from>
      <xdr:col>24</xdr:col>
      <xdr:colOff>28575</xdr:colOff>
      <xdr:row>1</xdr:row>
      <xdr:rowOff>38101</xdr:rowOff>
    </xdr:from>
    <xdr:to>
      <xdr:col>30</xdr:col>
      <xdr:colOff>504825</xdr:colOff>
      <xdr:row>13</xdr:row>
      <xdr:rowOff>124985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8A77E42-CBF0-0F78-D5D5-72CBB37A61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658975" y="228601"/>
          <a:ext cx="4133850" cy="2372884"/>
        </a:xfrm>
        <a:prstGeom prst="rect">
          <a:avLst/>
        </a:prstGeom>
      </xdr:spPr>
    </xdr:pic>
    <xdr:clientData/>
  </xdr:twoCellAnchor>
  <xdr:twoCellAnchor editAs="oneCell">
    <xdr:from>
      <xdr:col>24</xdr:col>
      <xdr:colOff>28574</xdr:colOff>
      <xdr:row>14</xdr:row>
      <xdr:rowOff>9525</xdr:rowOff>
    </xdr:from>
    <xdr:to>
      <xdr:col>30</xdr:col>
      <xdr:colOff>592803</xdr:colOff>
      <xdr:row>23</xdr:row>
      <xdr:rowOff>114300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CFFD033-03CC-D8C6-0284-13E746119A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4658974" y="2676525"/>
          <a:ext cx="4221829" cy="1819275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9525</xdr:rowOff>
    </xdr:from>
    <xdr:to>
      <xdr:col>6</xdr:col>
      <xdr:colOff>603266</xdr:colOff>
      <xdr:row>17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18AD272-1289-3567-56D2-81BDE55F23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90525"/>
          <a:ext cx="4260866" cy="28479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16</xdr:row>
      <xdr:rowOff>189996</xdr:rowOff>
    </xdr:from>
    <xdr:to>
      <xdr:col>6</xdr:col>
      <xdr:colOff>600075</xdr:colOff>
      <xdr:row>50</xdr:row>
      <xdr:rowOff>66675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910FCDE-5DF3-A9AB-6EBA-6DFAB0FBAC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237996"/>
          <a:ext cx="4257675" cy="6363204"/>
        </a:xfrm>
        <a:prstGeom prst="rect">
          <a:avLst/>
        </a:prstGeom>
      </xdr:spPr>
    </xdr:pic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ax="1920" units="cm"/>
          <inkml:channel name="Y" type="integer" max="1080" units="cm"/>
          <inkml:channel name="T" type="integer" max="2.14748E9" units="dev"/>
        </inkml:traceFormat>
        <inkml:channelProperties>
          <inkml:channelProperty channel="X" name="resolution" value="36.09023" units="1/cm"/>
          <inkml:channelProperty channel="Y" name="resolution" value="35.52632" units="1/cm"/>
          <inkml:channelProperty channel="T" name="resolution" value="1" units="1/dev"/>
        </inkml:channelProperties>
      </inkml:inkSource>
      <inkml:timestamp xml:id="ts0" timeString="2024-05-08T01:38:31.353"/>
    </inkml:context>
    <inkml:brush xml:id="br0">
      <inkml:brushProperty name="width" value="0.1" units="cm"/>
      <inkml:brushProperty name="height" value="0.2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26 238 0,'27'0'78,"-1"0"0,1 0-47,-27-26 0,26 26-15,0 0 15,1 0 16,-27-27-31,26 27-1,1 0 1,-1 0 15,-26-26-31,27 26 16,-1 0 15,1 0 0,-27-27-31,26 27 32,1 0-17,-1 0 17,-26-26-1,27 26-31,-1 0 15,0 0 17,1 0-1,-1 0 0,1 0 0,-1 0-15,1 0 15,-1 0-15,1 0 0,-1 0-1,1 0 16,-1 0-15,1 0 15,-1 0-15,0 0 15,1 0 16,-1 0-16,1 0-15,-1 0 31,-26 26-32,27-26 1,-1 0 0,1 0-1,-1 0 17,1 0-17,-1 0 1,0 0-1,1 0 1,-1 0 0,1 0-1,-1 0 17,1 0-17,-27-26 1,26 26-16,1 0 31,-1 0-15,1 0 15,-27-27 0,26 27-15,0 0 46,1 0 204,-27 27-266,0-1 78,0 1-15,0-1 46,-27-26-93,27 27-1,-26-27 16,0 0 188,-1 0-172,1 0 16,26 26-48,-27-26 1,1 0-1,-1 0 1,1 0 31,26 26-31,-27-26-1,1 0 16,-1 0 1,1 0-1,0 0 16,-1 0-16,1 0 0,-1 0-15,1 0 0,-1 0-1,1 0 1,-1 0 15,27 27-31,-26-27 16,-1 0-1,1 0 17,0 0-17,-1 0 16,1 0 1,-1 0-1,1 0-15,-1 0 15,1 0 16,-1 0 0,1 0-16,-1 0 16,1 0-16,-1 0 16,1 0-32,0 0 17,-1 0-17,1 0 17,-1 0-17,1 0 1,-1 0 15,1 0-15,26 26-1,-27-26 1,1 0 0,-1 0 30,1 0 33,-1 0-33,1 0 17,0 0 171,-1 0-124,27-26 108,-26 26-139,26-27-33,0 1 1,-27 26-15,27-26 14,0-1 48,0 1 0,27 26-47,-27-27-47,26 27 78,-26-26-47,27 26-15,-1 0 31,0 0-16,1 0 0,-1 0 0,1 0 1,-1 0-1,1 0 0,-1 0-15,1 0 15,-1 0-15,1 0-1,-1 0 1,1 0 0,-1 0-1,0 0 32,1 0-16,-27-27-31,26 27 16,1 0 0,-27-26 15,26 26-16,1 0 1,-1 0 15,1 0 16,-27-27-31,26 27-16,1 0 15,-1 0 1,1 0 0,-27-26 15,26 26-15,0 0 30,1 0 1,-1 0-15,1 0 14,-1 0-14,1 0-1,-1 0 0,1 0 0,-1 0-15,1 0 15,-1 0-15,0 0 31,1 0 0,-1 0-32,1 0 1,-1 0-16,-26 26 16,27-26-16,-1 0 0,1 0 15,-1 0 1,1 0-1,-1 0 17,0 0 15,1 0-16,-1 0 109,-26 27-124,27-27 15,-27 26 1,26-26-1,-26 27-16,0-1 1,27-26 0,-27 27-16,0-1 31,0 1 0,0-1 0,0 0 1,-27-26-1,27 27-31,-26-27 187,-1 0-124,1 0-32,-1 0 16,1 0-31,26 26-1,-26-26 1,-1 0 0,1 0-1,-1 0 32,1 0 16,-1 0-32,27 27-16,-26-27 17,-1 0-1,1 0 0,-1 0 0,1 0 16,0 0-31,-1 0 0,1 0 15,-1 0-16,1 0 1,-1 0 0,1 0-1,-1 0 1,1 0 15,-1 0-15,1 0-1,0 0 1,-1 0 15,1 0-15,-1 0 0,1 0-1,-1 0 1,1 0-1,-1 0 1,1 0 0,-1 0-1,1 0 1,-1 0 0,1 0-1,0 0 16,-1 0-15,1 0 15,-1 0-15,1 0 15,-1 0 16,1 0 0,-1 0-16,1 0 16,-1 0-16,1 0 1,-1 0-1,1 0 0,0 0 16,-1 0-16,1 0 16,-1 0 0,1 0 0,26-27 187,0 1-203,0-1 1,0 1 15,0 0-16,0-1-16,0 1 17,0-1 15,0 1 15,26 26-46,-26-27 15,27 27 125,-1 0-109,1 0-16,-1 0-15,0 0 31,1 0-32,-1 0 17,1 0-1,-1 0 0,1 0 0,-1 0 16,-26-26-31,27 26 0,-1 0 62,1 0-31,-1 0 46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5-08T21:32:21.418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5133 273 24575,'-1'19'0,"0"0"0,-2-1 0,0 1 0,-1-1 0,-1 0 0,-14 33 0,5-18 0,-2-1 0,-35 50 0,24-42 0,-5 8 0,-1-1 0,-70 73 0,83-101 0,-1 0 0,-1-1 0,0-2 0,-27 16 0,35-24 0,0-1 0,0-1 0,-1 0 0,0-1 0,0-1 0,0 0 0,-1-1 0,-28 2 0,-67 7 0,72-6 0,-52 1 0,-1443-8 0,1514 0 0,0-1 0,-35-8 0,33 5 0,1 2 0,-26-2 0,-157-15 0,144 12 0,1-3 0,-16-2 0,10 5 0,0-3 0,0-2 0,-73-26 0,24 7 0,0-8 0,80 27 0,-59-17 0,67 23 0,0-2 0,1-1 0,0-2 0,1 0 0,-45-30 0,1 1 0,46 26 0,1-1 0,0-1 0,1-1 0,1 0 0,-17-22 0,-17-15 0,10 13 0,-2 2 0,-68-47 0,89 71 0,-1 2 0,-1 0 0,0 2 0,0 1 0,-1 1 0,-1 1 0,-30-6 0,10 4 0,30 6 0,0 1 0,-34-3 0,-35-6 0,63 8 0,-48-3 0,32 6-116,15 0-92,-1 2 0,1 0 0,0 1-1,0 2 1,-37 8 0,45-6-6618</inkml:trace>
  <inkml:trace contextRef="#ctx0" brushRef="#br0" timeOffset="1">0 140 24575,'0'-4'0,"0"-6"0,5-2 0,0-3 0,6 1 0,-1-1 0,4 1 0,-2-1 0,3 2 0,-2-1 0,-3 1-8191</inkml:trace>
  <inkml:trace contextRef="#ctx0" brushRef="#br0" timeOffset="2">26 140 24575,'5'0'0,"5"0"0,2 5 0,3 1 0,3 0 0,4-1 0,-3 2 0,0 1 0,-2 4 0,-1-1 0,-2-2-8191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5-08T21:32:21.421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2513 635 24575,'-3'0'0,"0"-1"0,0 0 0,0 0 0,1 0 0,-1-1 0,0 1 0,1-1 0,-1 1 0,1-1 0,-1 0 0,1 0 0,0 0 0,-4-4 0,-25-31 0,18 18 0,0 2 0,-1-1 0,-1 2 0,-1 0 0,0 1 0,-28-20 0,4 7 0,-1 2 0,-1 1 0,-82-33 0,-358-106 0,454 155 0,13 4 0,-1 0 0,1 1 0,-1 1 0,-22-2 0,-67-11 0,51 6 0,-4-2 0,37 7 0,0 1 0,-37-2 0,34 4 0,-44-9 0,44 6 0,-46-3 0,-276 7 0,163 2 0,164 1 0,0 0 0,1 2 0,0 0 0,0 0 0,0 2 0,0 0 0,-24 13 0,-30 10 0,69-28-6,0 1 0,-1-1 0,1 1 0,1 0 0,-1 0-1,0 0 1,0 0 0,1 1 0,-1-1 0,1 1 0,0-1 0,0 1 0,0 0-1,0 0 1,0 0 0,1 0 0,-1 0 0,1 1 0,0-1 0,0 0 0,0 1-1,0-1 1,0 0 0,1 1 0,0 5 0,-7 18-1200,2-10-5620</inkml:trace>
  <inkml:trace contextRef="#ctx0" brushRef="#br0" timeOffset="1">0 0 24575,'0'5'0,"5"1"0,0 4 0,1 6 0,3-1 0,0 1 0,-1 4 0,-2 2 0,2-3 0,0 1 0,-1 0 0,-3-2-8191</inkml:trace>
  <inkml:trace contextRef="#ctx0" brushRef="#br0" timeOffset="2">79 212 24575,'5'0'0,"5"0"0,6 0 0,5 0 0,3 0 0,3 0 0,0 0 0,0 0 0,1 0 0,-1 0 0,0 0 0,0 0 0,0 0 0,-5 0-8191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ax="1920" units="cm"/>
          <inkml:channel name="Y" type="integer" max="1080" units="cm"/>
          <inkml:channel name="T" type="integer" max="2.14748E9" units="dev"/>
        </inkml:traceFormat>
        <inkml:channelProperties>
          <inkml:channelProperty channel="X" name="resolution" value="36.09023" units="1/cm"/>
          <inkml:channelProperty channel="Y" name="resolution" value="35.52632" units="1/cm"/>
          <inkml:channelProperty channel="T" name="resolution" value="1" units="1/dev"/>
        </inkml:channelProperties>
      </inkml:inkSource>
      <inkml:timestamp xml:id="ts0" timeString="2024-05-08T01:38:41.652"/>
    </inkml:context>
    <inkml:brush xml:id="br0">
      <inkml:brushProperty name="width" value="0.1" units="cm"/>
      <inkml:brushProperty name="height" value="0.2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26 132 0,'27'0'360,"-1"0"-251,1 0-46,-27 27-48,26-27 95,0 0-48,1 0 16,-27 26-62,26-26-1,1 0 17,-1 0-1,1 0 0,-1 0 0,-26 27 1,27-27-32,-1 0 31,1 0 0,-1 0-15,1 0 15,-1 0-15,0 0-1,1 0 1,-27 26-16,26-26 16,1 0-1,-1 0 1,1 0-1,-1 0 1,1 0 0,-1 0 15,1 0 0,-1 0-15,1 0 15,-1 0 0,0 0 1,1 0-1,-1 0 0,1 0-15,-1 0 15,1 0 16,-1 0-16,1 0 0,-27-26-15,26 26 0,1 0 77,-27-27 1,26 27-94,-26-26 109,0-1-62,0 1 0,0-1-16,0 1 32,0-1 62,-26 27 47,-1 0-141,1 0 0,-1 0 1,27-26-1,-26 26-31,-1 0 31,1 0-15,-1 0-1,1 0 17,-1 0-17,1 0 16,0 0 1,-1 0-1,1 0 0,-1 0-15,27 26-1,-26-26 1,-1 0 15,1 0 1,-1 0-1,27 27-16,-26-27 1,-1 0 15,1 0-15,-1 0 15,1 0 16,0 0-31,26 26-16,-27-26 15,1 0 17,-1 0 30,1 0-31,-1 0-15,1 0 15,-1 0-15,1 0-1,-1 0 1,1 0 15,-1 0-15,1 0 0,0 0-1,-1 0 16,1 0 1,-1 0 15,1 0-1,52 0 267,-26 27-204,27-27-109,-27 26 94,26-26-78,1 0 249,-1 0-218,0 0 0,1 0-16,-1 0-15,1 0 0,-1 0 15,1 0-16,-1 0 1,1 0 0,-1-26-1,1 26 17,-1 0-17,1 0 16,-1 0-15,0 0 15,-26-27-15,27 27 0,-1 0 30,1 0-30,-1 0 0,1 0-1,-1 0 32,-26-26-47,27 26 16,-54 0 281,1 0-282,-1 0 1,1 0 0,-1 0-1,1 0 1,-1 0-1,1 0 1,0 0-16,-1 0 16,27-27-16,-26 27 15,-1 0 1,1 0 0,-1 0-16,1 0 15,-1 0 1,1 0-1,-1 0 17,1 0 155,-1 0-124,1 0-1,0 0-15,-1 0 16,1 0-32,26 27 109,0-1-93,0 1-31,0-1 0,0 1-1,0-1 1,0 1 328,26-27-329,1 0 16,-1 0-15,-26 26 0,26-26-16,1 0 15,-1 0 17,1 0-1,-1 0 16,1 0-16,-1 0 31,1 0-15,-1 0 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ax="1920" units="cm"/>
          <inkml:channel name="Y" type="integer" max="1080" units="cm"/>
          <inkml:channel name="T" type="integer" max="2.14748E9" units="dev"/>
        </inkml:traceFormat>
        <inkml:channelProperties>
          <inkml:channelProperty channel="X" name="resolution" value="36.09023" units="1/cm"/>
          <inkml:channelProperty channel="Y" name="resolution" value="35.52632" units="1/cm"/>
          <inkml:channelProperty channel="T" name="resolution" value="1" units="1/dev"/>
        </inkml:channelProperties>
      </inkml:inkSource>
      <inkml:timestamp xml:id="ts0" timeString="2024-05-08T01:39:02.522"/>
    </inkml:context>
    <inkml:brush xml:id="br0">
      <inkml:brushProperty name="width" value="0.1" units="cm"/>
      <inkml:brushProperty name="height" value="0.2" units="cm"/>
      <inkml:brushProperty name="color" value="#EF0C4D"/>
      <inkml:brushProperty name="tip" value="rectangle"/>
      <inkml:brushProperty name="rasterOp" value="maskPen"/>
    </inkml:brush>
  </inkml:definitions>
  <inkml:trace contextRef="#ctx0" brushRef="#br0">79 27 0,'27'0'63,"-27"26"-63,26-26 15,0 0 1,1 0 0,-1 0-1,1 0-15,-1 0 16,1 0 0,-1 0-1,1 0-15,-1 0 31,1 0-15,-1 0 47,1 0-48,-1 0 16,-26 27-15,26-27-16,1 0 16,-1 0 15,1 0-15,-1 0-1,1 0 1,-1 0-1,1 0 1,-1 0 0,1 0-1,-1 0 1,0 0 0,1 0-1,-1 0 1,-26-27-16,27 27 15,-1 0 1,1 0 0,-1 0 15,-26-26-15,27 26-1,-1 0 1,-26-27 15,27 27-31,-1 0 109,0 0 16,-26 27-78,27-27-31,-1 0 15,-26 26-15,27-26 15,-27 27 47,0-1-15,0 1-16,0-1-1,0 1-14,0-1 46,0 0 31,-27-26-62,27 27-31,-26-27 62,-1 0-16,1 0-15,0 0-16,-1 0 1,1 0-17,-1 0 1,1 0 46,-1 0-46,27-27 0,-26 27-1,-1 0 1,1 0 15,-1 0-15,1 0 15,0 0-15,-1 0-1,1 0 1,-1 0 15,1 0-15,-1 0 15,1 0 0,-1 0-15,1 0 0,-1 0-1,1 0 16,0 0 1,26 27-17,-27-27 1,1 0 0,-1 0 30,1 0-30,-1 0 15,1 0-15,-1 0 0,27 26-16,-26-26 15,-1 0 16,1 0 32,-1 0-16,1 0-32,0 0 32,-1 0 313,27-26-360,0-1 47,-26 27-47,26-26 15,-27 26 1,27-26-1,0-1 1,-26 27 0,26-26-1,0-1 1,0 1 93,26 26-93,1 0 15,-1 0 32,1 0 109,-27-27-172,0 1 31,26 26 0,-26-27-15,26 27 156,1 0-110,-1 0-31,1 0-15,-1 0 15,-26 27-31,27-27 16,-1 0-1,1 0 17,-1 0 15,1 0-16,-1 0 16,1 0 0,-1 0-16,0 0-16,1 0 1,-1 0 0,1 0-1,-1 0 1,1 0 0,-1 0-16,1 0 15,-1 0 1,-26-27-1,27 27-15,-1 0 16,0 0 93,1 0-62,-1 0 31,1 0-15,-1 0-16,1 0-16,-1 0 0,1 0 16,-1 0 16,1 0-1,-1 0 1,-26 27-32,26-27 0,-26 26 0,27-26-15,-27 27 47,0-1-17,0 1-14,0-1-17,0 1 17,0-1-17,0 0 16,-27-26-15,27 27 15,-26-27-15,26 26-16,-26-26 47,-1 0 62,1 0-46,-1 0 46,1 0-62,-1 0 0,1 0 0,-1 0-16,1 0 31,-1 0-15,1 0 0,0 0 0,-1 0 0,1 0-16,-1 0-15,1 0 15,-1 0-15,1 0-1,26-26 1,-27 26-16,1 0 16,-1 0 15,1 0-16,0 0 1,-1 0 0,1 0 77,-1 0-61,1 0-1,-1 0 16,27-27-47,-26 27 15,-1 0 17,27-26-17,-26 26 1,-1 0 0,1 0-1,26-26 1,-27 26-1,1 0 17,26-27-32,-26 27 15,52 0 157,0 0-156,1 0-1,-1 0 1,1 0 0,-1 0-16,1 0 15,-1 0-15,1 0 0,-1 0 16,1 0-16,-1 0 16,1 0-1,-27 27-15,26-27 16,0 0-16,1 0 15,-1 0 17,1 0-17,-1 0 1,1 0 15,-1 0-15,1 0-1,-27 26 1,26-26-16,1 0 16,-1 0-1,0 0 1,1 0 0,-1 0 15,1 0 0,-1 0-15,1 0-1,-1 0 17,-26-26-32,27 26 15,-1 0 1,1 0-1,-1 0 1,0 0 0,-26-27-16,27 27 62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ax="1920" units="cm"/>
          <inkml:channel name="Y" type="integer" max="1080" units="cm"/>
          <inkml:channel name="T" type="integer" max="2.14748E9" units="dev"/>
        </inkml:traceFormat>
        <inkml:channelProperties>
          <inkml:channelProperty channel="X" name="resolution" value="36.09023" units="1/cm"/>
          <inkml:channelProperty channel="Y" name="resolution" value="35.52632" units="1/cm"/>
          <inkml:channelProperty channel="T" name="resolution" value="1" units="1/dev"/>
        </inkml:channelProperties>
      </inkml:inkSource>
      <inkml:timestamp xml:id="ts0" timeString="2024-05-08T01:39:14.924"/>
    </inkml:context>
    <inkml:brush xml:id="br0">
      <inkml:brushProperty name="width" value="0.1" units="cm"/>
      <inkml:brushProperty name="height" value="0.2" units="cm"/>
      <inkml:brushProperty name="color" value="#EF0C4D"/>
      <inkml:brushProperty name="tip" value="rectangle"/>
      <inkml:brushProperty name="rasterOp" value="maskPen"/>
    </inkml:brush>
  </inkml:definitions>
  <inkml:trace contextRef="#ctx0" brushRef="#br0">0 52 0,'26'0'156,"1"0"-109,-27 27 0,26-27-47,1 0 47,-1 0 15,1 0 16,-1 0-31,1 0 0,-27 26 16,26-26-63,0 0 15,1 0 16,-1 0 32,1 0-32,-1 0 0,1 0-15,-1 0 15,1 0 1,-1 0-1,1 0 0,-1 0 0,0 0 16,1 0-31,-1 0 15,1 0 32,-1 0-1,1 0-15,-1 0 31,1 0-15,-1 0 15,-26-26-63,27 26 63,-54 0 188,27-27-250,-26 27 46,-1 0 32,1 0 31,-1 0-47,1 0 0,-1 0-15,1 0-32,-1 0 0,1 0 0,0 0-15,26 27 0,-27-27-1,1 0 1,-1 0 31,1 0-32,-1 0 48,1 0-16,-1 0 31,1 0-47,-1 0 0,1 0 16,0 0-31,-1 0 15,1 0 0,26 26-15,-27-26 0,1 0 15,-1 0 0,1 0 32,26 27 15,-27-27-78,1 0 140,52 0 189,-26 26-251,27-26-78,-1 0 62,1 0-31,-1 0 16,1 0-15,-1 0-1,1 0 0,-1 0 0,0 0 1,1 0 14,-1 0 1,1 0 0,-1 0-16,1 0 1,-1 0-1,-26 27-31,27-27 31,-1 0-15,1 0-1,-1 0 17,0 0-1,1 0-15,-27 26-16,26-26 15,1 0 1,-1 0 31,1 0 0,-1 0-1,1 0 17,-1 0-1,-26-26-15,27 26-15,-27-27 171,0 1-172,0-1 47,0 1-47,0-1 16,-27 27 125,27-26-156,-26 26 31,-1 0-32,1 0 16,-1 0 1,27-26-32,-26 26 15,-1 0 32,1 0-16,-1 0 1,1 0 15,0 0-16,-1 0 0,1 0 0,-1 0-15,1 0 0,-1 0-1,1 0 32,-1 0-16,1 0 1,-1 0 61,1 0-61,0 0-1,-1 0 0,1 0 0,26 26-15,-27-26-16,1 0 16,-1 0 15,1 0 16,-1 0-16,1 0 16,26 26 172,0 1-188,0-1-16,0 1 17,0-1 15,0 1 234,26-27-266,1 0 32,-1 0 31,1 0-31,-1 0 0,1 0 31,-1 0-15,1 0-1,-1 0-15,0 0 0,1 0 16,-1 0-1,1 0 1,-1 0 30,1 0-15,-1 0-15,1 0-16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5-08T21:32:21.408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0 0 24575,'5'1'0,"0"0"0,0 0 0,0 0 0,0 1 0,0 0 0,0-1 0,-1 2 0,1-1 0,-1 0 0,1 1 0,-1 0 0,4 4 0,48 43 0,-50-44 0,278 234 0,-103-94 0,39 30 0,-106-80 0,-40-30 0,144 142 0,-145-133 0,59 75 0,-104-117 0,67 85 0,-58-68 0,-7-10 0,-2 1 0,43 84 0,107 239 0,-76-155 0,-49-95 0,64 196 0,-95-245 0,-1-6 0,23 108 0,-39-139 0,4 21 0,-2 0 0,0 65 0,-8 679 0,-1-759 0,-2-1 0,-1 1 0,-17 56 0,3-14 0,9-34 0,-1 0 0,-31 75 0,-11 41 0,-85 202 0,115-297 0,-8 17 0,-23 70 0,45-117 0,5-17 0,-1-1 0,0 1 0,-1-1 0,0 0 0,-15 22 0,-2-1 0,-1-2 0,-3-1 0,-32 32 0,-31 38 0,22-23 0,20-17 0,34-44 0,-30 34 0,-155 145 0,93-119 0,-41 40 0,110-91 0,-66 39 0,36-26 0,-156 126 0,180-133 0,10-10 0,-68 37 0,100-60 0,0-1 0,1 1 0,-1-1 0,0 0 0,0 1 0,0-1 0,0 0 0,0 0 0,0 0 0,1 0 0,-1 0 0,0 0 0,0 0 0,0 0 0,0 0 0,0 0 0,0 0 0,1 0 0,-1-1 0,0 1 0,0 0 0,0-1 0,0 1 0,1 0 0,-1-1 0,0 1 0,0-1 0,1 0 0,-1 1 0,0-1 0,1 1 0,-1-1 0,1 0 0,-1 0 0,1 1 0,-1-1 0,1 0 0,-1 0 0,1 0 0,0 1 0,-1-1 0,1 0 0,0 0 0,0 0 0,0 0 0,0 0 0,0 0 0,0 1 0,0-2 0,-4-52 0,4 47 0,-1-29 0,0 18 0,1 0 0,0 0 0,2 0 0,6-33 0,-8 50 0,0 1 0,-1 0 0,1 0 0,0-1 0,0 1 0,0 0 0,1-1 0,-1 1 0,0 0 0,0 0 0,0-1 0,0 1 0,0 0 0,0 0 0,0-1 0,0 1 0,0 0 0,1 0 0,-1-1 0,0 1 0,0 0 0,0 0 0,1 0 0,-1-1 0,0 1 0,0 0 0,0 0 0,1 0 0,-1 0 0,0-1 0,0 1 0,1 0 0,-1 0 0,0 0 0,1 0 0,-1 0 0,0 0 0,0 0 0,1 0 0,-1 0 0,0 0 0,1 0 0,-1 0 0,0 0 0,0 0 0,1 0 0,-1 0 0,0 0 0,0 0 0,1 0 0,-1 1 0,0-1 0,0 0 0,1 0 0,-1 0 0,0 0 0,1 1 0,12 22 0,6 34 0,-16-20 0,-2-29 0,-1 1 0,1-1 0,0 1 0,1-1 0,3 11 0,-4-17 0,0 0 0,0 1 0,0-1 0,0 0 0,1 0 0,-1 0 0,1 0 0,-1 0 0,1-1 0,0 1 0,0 0 0,0-1 0,0 1 0,0-1 0,0 0 0,0 1 0,0-1 0,1 0 0,-1-1 0,0 1 0,1 0 0,3 0 0,60 11 0,69 2 0,-308-15-1365,149 1-5461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5-08T21:32:21.409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235 26 24575,'-5'0'0,"-5"0"0,-6 0 0,-5 0 0,-3 0 0,-2 0 0,-1 0 0,-1 0 0,1 0 0,-1 0 0,5 0-8191</inkml:trace>
  <inkml:trace contextRef="#ctx0" brushRef="#br0" timeOffset="1">261 0 24575,'0'0'-8191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5-08T21:32:21.411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6852 2000 24575,'1'57'0,"1"-36"0,-1 1 0,-1-1 0,-1 1 0,-1-1 0,-1 1 0,-1-1 0,-7 21 0,8-35 0,-1-1 0,1 0 0,-1 0 0,-1-1 0,1 1 0,-1-1 0,0 0 0,0 0 0,-10 7 0,-58 37 0,56-39 0,-22 12 0,-1-3 0,-85 30 0,-6 2 0,94-37 0,0-1 0,-39 8 0,-37 12 0,92-27 0,1-1 0,-1-1 0,-24 2 0,-27 6 0,12 0 0,0-2 0,0-2 0,-95-2 0,-718-7 0,850 0 0,1-1 0,-41-11 0,13 3 0,-188-42 0,122 29 0,-58-9 0,120 23 0,-56-17 0,63 13 0,-78-26 0,78 22 0,-48-10 0,-200-48 0,73 6 0,167 48 0,1-2 0,-93-55 0,100 52 0,3-3 0,2-2 0,0-2 0,3-1 0,-54-60 0,56 57 0,3 6 0,-14-14 0,-59-87 0,38 32 0,-59-80 0,64 84 0,34 49 0,-144-202 0,156 224 0,0 2 0,-29-29 0,-23-29 0,25 25 0,-3 2 0,-67-57 0,32 30 0,-115-117 0,52 79 0,113 85 0,24 23 0,0 1 0,-1 0 0,0 1 0,-1 0 0,0 1 0,0 0 0,-1 0 0,-15-6 0,6 6 0,-1 2 0,0 0 0,0 2 0,0 0 0,0 2 0,-1 0 0,-30 2 0,-16-7 0,58 5 0,0 0 0,-1 1 0,1 0 0,0 1 0,-1 0 0,-21 4 0,-169 59 0,195-62 4,0 1-1,1 0 1,-1 0-1,1 1 0,0 0 1,0 0-1,0 0 1,0 0-1,0 1 0,0 0 1,1 1-1,0-1 1,0 1-1,0 0 1,1 0-1,-6 7 0,1 4-74,1 0-1,0 1 0,1 0 0,-8 27 0,-3 8-992,12-35-5762</inkml:trace>
  <inkml:trace contextRef="#ctx0" brushRef="#br0" timeOffset="1">79 333 24575,'-2'0'0,"1"-1"0,-1 0 0,0 0 0,1 0 0,-1 0 0,1 0 0,-1 0 0,1 0 0,-1 0 0,1-1 0,0 1 0,0 0 0,-1-1 0,1 1 0,0-1 0,1 0 0,-3-2 0,-13-32 0,3 3 0,9 23 0,0 0 0,0-1 0,1 1 0,0-1 0,1 1 0,-1-12 0,3 21 0,0 1 0,0 0 0,0-1 0,0 1 0,0 0 0,0 0 0,0-1 0,0 1 0,0 0 0,0-1 0,0 1 0,0 0 0,0 0 0,0-1 0,1 1 0,-1 0 0,0 0 0,0 0 0,0-1 0,0 1 0,1 0 0,-1 0 0,0-1 0,0 1 0,0 0 0,1 0 0,-1 0 0,0 0 0,0 0 0,1-1 0,-1 1 0,0 0 0,0 0 0,1 0 0,-1 0 0,0 0 0,0 0 0,1 0 0,-1 0 0,0 0 0,1 0 0,-1 0 0,0 0 0,0 0 0,1 0 0,-1 0 0,20 9 0,13 18 0,-6 8 0,-23-28 0,1 0 0,0 0 0,1-1 0,0 0 0,0 0 0,7 6 0,-10-10 0,0-1 0,0 1 0,0-1 0,1 1 0,-1-1 0,1 0 0,-1 0 0,1 0 0,-1-1 0,1 1 0,-1-1 0,1 0 0,0 0 0,-1 0 0,1 0 0,0-1 0,-1 0 0,5-1 0,-3 1 0,44-15 0,-48 13 0,-10 3 0,-13 4 0,1 2-80,16-5-37,0 0 0,0 0 1,0 1-1,0-1 0,0 1 0,0 1 0,1-1 0,-1 1 1,1-1-1,-6 5 0,-1 6-6709</inkml:trace>
  <inkml:trace contextRef="#ctx0" brushRef="#br0" timeOffset="2">105 333 24575,'28'1'0,"0"-2"0,0-1 0,0-1 0,51-13 0,-78 15 0,1 1 0,0-1 0,0 1 0,-1-1 0,1 0 0,0 1 0,-1-1 0,1 0 0,-1 0 0,1 0 0,-1 0 0,1-1 0,-1 1 0,2-2 0,-2 2 0,-1 0 0,0 1 0,0-1 0,0 1 0,1-1 0,-1 0 0,0 1 0,0-1 0,0 0 0,0 1 0,0-1 0,0 0 0,0 1 0,0-1 0,-1 1 0,1-1 0,0 0 0,0 1 0,0-1 0,-1 1 0,1-1 0,0 0 0,-1 1 0,1-1 0,0 1 0,-2-2 0,0 0 0,-1-1 0,0 1 0,0 0 0,0 0 0,0 0 0,0 0 0,0 1 0,-1-1 0,1 1 0,0 0 0,-1 0 0,-6-1 0,-43-3-1365,28 5-5461</inkml:trace>
  <inkml:trace contextRef="#ctx0" brushRef="#br0" timeOffset="3">158 227 24575,'5'0'0,"0"-4"0,1-7 0,-1-5 0,2 0 0,1 2-8191</inkml:trace>
  <inkml:trace contextRef="#ctx0" brushRef="#br0" timeOffset="4">237 147 24575,'0'0'-8191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5-08T21:32:21.416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5269 0 24575,'-557'0'0,"537"2"0,0 0 0,-35 8 0,34-6 0,-1 0 0,-24 1 0,-672-3 0,350-5 0,266 2 0,-112 3 0,142 11 0,53-8 0,0-2 0,-30 3 0,-165 13 0,136-11 0,9 5 0,49-9 0,0 0 0,-29 1 0,-95 10 0,50-3 0,15 0 0,49-6 0,-47 2 0,47-5 0,1 1 0,0 1 0,0 2 0,-37 13 0,34-9 0,-1-2 0,-62 9 0,58-12 0,0 1 0,-58 19 0,-27 7 0,76-22 0,-57 21 0,63-18 0,0-2 0,-48 9 0,-45 4 0,7 4 0,38-6 0,46-12 0,0 2 0,-44 20 0,-37 13 0,-94 28 0,-11 14 0,226-87 0,1-1 0,0 1 0,-1 0 0,1-1 0,0 1 0,-1-1 0,1 0 0,-1 1 0,1-1 0,0 0 0,-1 0 0,1 0 0,-1 0 0,1 0 0,-1 0 0,1-1 0,-1 1 0,1 0 0,0-1 0,-1 1 0,1-1 0,-1 1 0,1-1 0,0 0 0,0 1 0,-1-1 0,1 0 0,0 0 0,0 0 0,0 0 0,0 0 0,0 0 0,0 0 0,0 0 0,0-1 0,1 1 0,-1 0 0,0-1 0,1 1 0,-1 0 0,1-1 0,-1 1 0,1 0 0,0-1 0,0 1 0,-1-1 0,1-1 0,-2-12 0,0 0 0,2 1 0,0-28 0,1 28 0,-1-16 0,3-40 0,-4 70 0,1 0 0,0-1 0,0 1 0,0 0 0,0-1 0,0 1 0,0-1 0,0 1 0,0 0 0,0-1 0,0 1 0,0 0 0,0-1 0,1 1 0,-1 0 0,0-1 0,0 1 0,0 0 0,0-1 0,1 1 0,-1 0 0,0-1 0,0 1 0,1 0 0,-1 0 0,0-1 0,0 1 0,1 0 0,-1 0 0,0-1 0,1 1 0,-1 0 0,0 0 0,1 0 0,-1 0 0,1-1 0,7 14 0,2 23 0,-8-12 0,-1 0 0,-1 1 0,-1-1 0,0 0 0,-2 0 0,-9 34 0,11-56 0,1 0 0,-1 0 0,0 0 0,1 0 0,0 0 0,-1 0 0,1 1 0,0-1 0,0 0 0,0 0 0,0 0 0,1 0 0,-1 0 0,0 0 0,1 0 0,0 0 0,-1 0 0,1 0 0,0 0 0,0 0 0,0-1 0,0 1 0,0 0 0,1 0 0,-1-1 0,0 1 0,1-1 0,-1 1 0,1-1 0,0 0 0,-1 0 0,1 0 0,0 0 0,0 0 0,0 0 0,0 0 0,2 1 0,9 1 0,0-1 0,0 0 0,0 0 0,0-2 0,17 0 0,34 4 0,28 11-1365,-71-14-5461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5-08T21:32:21.417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1485 817 24575,'-28'0'0,"-1"-1"0,1-2 0,0-1 0,0-1 0,1-2 0,-1 0 0,1-2 0,-35-16 0,-95-28 0,-28-27 0,136 59 0,30 14 0,1-1 0,-34-20 0,-9-11 0,16 10 0,-59-48 0,0-3 0,64 51 0,-65-61 0,44 43 0,2 2 0,35 23 0,16 16 0,0-1 0,0-1 0,0 1 0,1-1 0,0-1 0,0 1 0,1-1 0,-6-12 0,15 36 0,0 0 0,0 1 0,-2-1 0,0 1 0,0 0 0,-2-1 0,0 1 0,-1-1 0,-5 25 0,7-39 0,0 0 0,-1 0 0,1 0 0,0 0 0,-1 0 0,1 0 0,0 0 0,-1 0 0,0-1 0,1 1 0,-1 0 0,1 0 0,-1 0 0,0 0 0,0-1 0,1 1 0,-1 0 0,0-1 0,0 1 0,0 0 0,-1 0 0,2-1 0,-1-1 0,0 1 0,0 0 0,1 0 0,-1 0 0,1-1 0,-1 1 0,0 0 0,1-1 0,-1 1 0,1 0 0,-1-1 0,1 1 0,-1-1 0,1 1 0,-1-1 0,1 1 0,-1-1 0,1 0 0,-1 1 0,1-1 0,0 1 0,-1-2 0,-13-42 0,13 40 0,-1-12 0,0-1 0,1 1 0,1-1 0,3-21 0,-3 35 0,0 1 0,0 0 0,1 0 0,-1-1 0,1 1 0,-1 0 0,1 0 0,0 0 0,0 0 0,0 0 0,0 0 0,0 0 0,0 0 0,0 0 0,1 0 0,-1 1 0,1-1 0,-1 0 0,1 1 0,0 0 0,-1-1 0,1 1 0,0 0 0,0 0 0,0 0 0,0 0 0,0 0 0,0 0 0,0 0 0,1 1 0,-1-1 0,0 1 0,0 0 0,0 0 0,1-1 0,-1 1 0,0 1 0,0-1 0,1 0 0,-1 1 0,3 0 0,66 19 59,-46-12-534,-1-1 0,30 4 1,-33-9-6352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A1FBF-88B8-44BE-B32C-028C99FCFB71}">
  <dimension ref="B2:J18"/>
  <sheetViews>
    <sheetView zoomScale="115" zoomScaleNormal="115" workbookViewId="0">
      <selection activeCell="J2" sqref="J2"/>
    </sheetView>
  </sheetViews>
  <sheetFormatPr defaultRowHeight="15" x14ac:dyDescent="0.3"/>
  <cols>
    <col min="1" max="16384" width="9.140625" style="69"/>
  </cols>
  <sheetData>
    <row r="2" spans="2:10" x14ac:dyDescent="0.3">
      <c r="B2" s="68" t="s">
        <v>888</v>
      </c>
      <c r="J2" s="68" t="s">
        <v>903</v>
      </c>
    </row>
    <row r="3" spans="2:10" x14ac:dyDescent="0.3">
      <c r="B3" s="70" t="s">
        <v>889</v>
      </c>
      <c r="J3" s="70" t="s">
        <v>904</v>
      </c>
    </row>
    <row r="4" spans="2:10" x14ac:dyDescent="0.3">
      <c r="B4" s="69" t="s">
        <v>890</v>
      </c>
      <c r="J4" s="70" t="s">
        <v>905</v>
      </c>
    </row>
    <row r="5" spans="2:10" x14ac:dyDescent="0.3">
      <c r="B5" s="69" t="s">
        <v>891</v>
      </c>
    </row>
    <row r="6" spans="2:10" x14ac:dyDescent="0.3">
      <c r="J6" s="69" t="s">
        <v>906</v>
      </c>
    </row>
    <row r="7" spans="2:10" x14ac:dyDescent="0.3">
      <c r="B7" s="68" t="s">
        <v>892</v>
      </c>
      <c r="J7" s="69" t="s">
        <v>907</v>
      </c>
    </row>
    <row r="8" spans="2:10" x14ac:dyDescent="0.3">
      <c r="B8" s="70" t="s">
        <v>893</v>
      </c>
      <c r="J8" s="70" t="s">
        <v>908</v>
      </c>
    </row>
    <row r="9" spans="2:10" x14ac:dyDescent="0.3">
      <c r="B9" s="70" t="s">
        <v>894</v>
      </c>
      <c r="J9" s="70" t="s">
        <v>909</v>
      </c>
    </row>
    <row r="10" spans="2:10" x14ac:dyDescent="0.3">
      <c r="J10" s="70" t="s">
        <v>910</v>
      </c>
    </row>
    <row r="11" spans="2:10" x14ac:dyDescent="0.3">
      <c r="B11" s="68" t="s">
        <v>895</v>
      </c>
    </row>
    <row r="12" spans="2:10" x14ac:dyDescent="0.3">
      <c r="B12" s="70" t="s">
        <v>896</v>
      </c>
    </row>
    <row r="13" spans="2:10" x14ac:dyDescent="0.3">
      <c r="B13" s="70" t="s">
        <v>897</v>
      </c>
    </row>
    <row r="14" spans="2:10" x14ac:dyDescent="0.3">
      <c r="B14" s="70" t="s">
        <v>898</v>
      </c>
    </row>
    <row r="15" spans="2:10" x14ac:dyDescent="0.3">
      <c r="B15" s="70" t="s">
        <v>899</v>
      </c>
    </row>
    <row r="16" spans="2:10" x14ac:dyDescent="0.3">
      <c r="B16" s="70" t="s">
        <v>900</v>
      </c>
    </row>
    <row r="17" spans="2:2" x14ac:dyDescent="0.3">
      <c r="B17" s="70" t="s">
        <v>901</v>
      </c>
    </row>
    <row r="18" spans="2:2" x14ac:dyDescent="0.3">
      <c r="B18" s="70" t="s">
        <v>902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FABD8-BF3A-4334-879E-5710F5999681}">
  <dimension ref="A1:V74"/>
  <sheetViews>
    <sheetView zoomScaleNormal="100" workbookViewId="0">
      <selection activeCell="E13" sqref="E13"/>
    </sheetView>
  </sheetViews>
  <sheetFormatPr defaultRowHeight="15" x14ac:dyDescent="0.25"/>
  <sheetData>
    <row r="1" spans="1:22" ht="24" x14ac:dyDescent="0.4">
      <c r="M1" s="32" t="s">
        <v>387</v>
      </c>
      <c r="V1" s="32" t="s">
        <v>388</v>
      </c>
    </row>
    <row r="2" spans="1:22" ht="18.75" x14ac:dyDescent="0.3">
      <c r="A2" s="17" t="s">
        <v>336</v>
      </c>
    </row>
    <row r="3" spans="1:22" x14ac:dyDescent="0.25">
      <c r="M3" t="s">
        <v>390</v>
      </c>
      <c r="V3" t="s">
        <v>391</v>
      </c>
    </row>
    <row r="4" spans="1:22" x14ac:dyDescent="0.25">
      <c r="E4" t="s">
        <v>269</v>
      </c>
      <c r="M4" t="s">
        <v>393</v>
      </c>
      <c r="V4" s="1" t="s">
        <v>394</v>
      </c>
    </row>
    <row r="5" spans="1:22" x14ac:dyDescent="0.25">
      <c r="A5" s="18" t="s">
        <v>337</v>
      </c>
      <c r="B5" s="18"/>
      <c r="C5" s="18"/>
      <c r="D5" s="18"/>
      <c r="E5" s="19">
        <v>3900</v>
      </c>
      <c r="G5" s="20" t="s">
        <v>338</v>
      </c>
      <c r="H5" s="21"/>
      <c r="I5" s="21"/>
      <c r="V5" t="s">
        <v>396</v>
      </c>
    </row>
    <row r="6" spans="1:22" x14ac:dyDescent="0.25">
      <c r="A6" s="22" t="s">
        <v>339</v>
      </c>
      <c r="B6" s="22"/>
      <c r="C6" s="22"/>
      <c r="D6" s="22"/>
      <c r="E6" s="23">
        <v>3350</v>
      </c>
      <c r="G6" s="20" t="s">
        <v>340</v>
      </c>
      <c r="H6" s="21"/>
      <c r="I6" s="21"/>
      <c r="M6" s="1" t="s">
        <v>397</v>
      </c>
    </row>
    <row r="7" spans="1:22" x14ac:dyDescent="0.25">
      <c r="A7" s="24" t="s">
        <v>341</v>
      </c>
      <c r="B7" s="24"/>
      <c r="C7" s="24"/>
      <c r="D7" s="24"/>
      <c r="E7" s="25">
        <v>3700</v>
      </c>
      <c r="G7" s="20" t="s">
        <v>342</v>
      </c>
      <c r="H7" s="21"/>
      <c r="I7" s="21"/>
      <c r="M7" s="1" t="s">
        <v>399</v>
      </c>
      <c r="V7" t="s">
        <v>400</v>
      </c>
    </row>
    <row r="8" spans="1:22" x14ac:dyDescent="0.25">
      <c r="A8" s="26" t="s">
        <v>343</v>
      </c>
      <c r="B8" s="26"/>
      <c r="C8" s="26"/>
      <c r="D8" s="26"/>
      <c r="E8" s="27">
        <v>6500</v>
      </c>
      <c r="G8" s="20" t="s">
        <v>344</v>
      </c>
      <c r="H8" s="21"/>
      <c r="I8" s="21"/>
      <c r="V8" t="s">
        <v>402</v>
      </c>
    </row>
    <row r="9" spans="1:22" x14ac:dyDescent="0.25">
      <c r="A9" s="22" t="s">
        <v>345</v>
      </c>
      <c r="B9" s="22"/>
      <c r="C9" s="22"/>
      <c r="D9" s="22"/>
      <c r="E9" s="23">
        <v>1850</v>
      </c>
      <c r="M9" s="13" t="s">
        <v>404</v>
      </c>
    </row>
    <row r="10" spans="1:22" x14ac:dyDescent="0.25">
      <c r="V10" t="s">
        <v>406</v>
      </c>
    </row>
    <row r="11" spans="1:22" x14ac:dyDescent="0.25">
      <c r="A11" t="s">
        <v>346</v>
      </c>
      <c r="M11" s="10" t="s">
        <v>407</v>
      </c>
      <c r="V11" t="s">
        <v>408</v>
      </c>
    </row>
    <row r="12" spans="1:22" x14ac:dyDescent="0.25">
      <c r="A12" t="s">
        <v>347</v>
      </c>
      <c r="M12" t="s">
        <v>409</v>
      </c>
    </row>
    <row r="13" spans="1:22" x14ac:dyDescent="0.25">
      <c r="V13" s="1" t="s">
        <v>410</v>
      </c>
    </row>
    <row r="14" spans="1:22" x14ac:dyDescent="0.25">
      <c r="A14" s="1" t="s">
        <v>261</v>
      </c>
      <c r="M14" s="10" t="s">
        <v>412</v>
      </c>
      <c r="V14" s="1" t="s">
        <v>413</v>
      </c>
    </row>
    <row r="15" spans="1:22" x14ac:dyDescent="0.25">
      <c r="V15" s="1"/>
    </row>
    <row r="16" spans="1:22" x14ac:dyDescent="0.25">
      <c r="A16" s="1" t="s">
        <v>348</v>
      </c>
      <c r="M16" s="10" t="s">
        <v>415</v>
      </c>
      <c r="V16" s="11" t="s">
        <v>416</v>
      </c>
    </row>
    <row r="17" spans="1:22" x14ac:dyDescent="0.25">
      <c r="A17" s="1" t="s">
        <v>349</v>
      </c>
      <c r="V17" s="11" t="s">
        <v>418</v>
      </c>
    </row>
    <row r="18" spans="1:22" x14ac:dyDescent="0.25">
      <c r="M18" s="10" t="s">
        <v>420</v>
      </c>
      <c r="V18" s="11" t="s">
        <v>421</v>
      </c>
    </row>
    <row r="19" spans="1:22" x14ac:dyDescent="0.25">
      <c r="F19" t="s">
        <v>269</v>
      </c>
      <c r="M19" t="s">
        <v>422</v>
      </c>
      <c r="V19" s="11" t="s">
        <v>423</v>
      </c>
    </row>
    <row r="20" spans="1:22" x14ac:dyDescent="0.25">
      <c r="A20" s="26" t="s">
        <v>350</v>
      </c>
      <c r="B20" s="26"/>
      <c r="F20" s="27">
        <v>6500</v>
      </c>
      <c r="G20" s="14" t="s">
        <v>343</v>
      </c>
      <c r="M20" t="s">
        <v>425</v>
      </c>
    </row>
    <row r="22" spans="1:22" ht="24" x14ac:dyDescent="0.4">
      <c r="A22" s="22" t="s">
        <v>351</v>
      </c>
      <c r="B22" s="22"/>
      <c r="C22" s="22"/>
      <c r="D22" s="22"/>
      <c r="M22" s="32" t="s">
        <v>428</v>
      </c>
      <c r="V22" s="33" t="s">
        <v>429</v>
      </c>
    </row>
    <row r="23" spans="1:22" ht="24" x14ac:dyDescent="0.4">
      <c r="A23" t="s">
        <v>352</v>
      </c>
      <c r="M23" s="32" t="s">
        <v>430</v>
      </c>
    </row>
    <row r="24" spans="1:22" ht="15.75" thickBot="1" x14ac:dyDescent="0.3">
      <c r="A24" t="s">
        <v>353</v>
      </c>
      <c r="F24" s="28">
        <f>-(3350+1850)</f>
        <v>-5200</v>
      </c>
      <c r="G24" s="14" t="s">
        <v>354</v>
      </c>
      <c r="V24" t="s">
        <v>431</v>
      </c>
    </row>
    <row r="25" spans="1:22" x14ac:dyDescent="0.25">
      <c r="M25" t="s">
        <v>433</v>
      </c>
      <c r="V25" t="s">
        <v>434</v>
      </c>
    </row>
    <row r="26" spans="1:22" x14ac:dyDescent="0.25">
      <c r="A26" t="s">
        <v>355</v>
      </c>
      <c r="F26" s="2">
        <f>F20+F24</f>
        <v>1300</v>
      </c>
    </row>
    <row r="27" spans="1:22" x14ac:dyDescent="0.25">
      <c r="M27" s="1" t="s">
        <v>436</v>
      </c>
      <c r="V27" t="s">
        <v>437</v>
      </c>
    </row>
    <row r="28" spans="1:22" x14ac:dyDescent="0.25">
      <c r="A28" s="13" t="s">
        <v>356</v>
      </c>
      <c r="H28" s="20" t="s">
        <v>357</v>
      </c>
      <c r="V28" t="s">
        <v>439</v>
      </c>
    </row>
    <row r="29" spans="1:22" ht="15.75" thickBot="1" x14ac:dyDescent="0.3">
      <c r="A29" s="18" t="s">
        <v>358</v>
      </c>
      <c r="B29" s="18"/>
      <c r="C29" s="29">
        <v>3900</v>
      </c>
      <c r="D29" s="30">
        <f>(3900/6500)*100%</f>
        <v>0.6</v>
      </c>
      <c r="H29" s="20" t="s">
        <v>359</v>
      </c>
      <c r="M29" s="10" t="s">
        <v>440</v>
      </c>
      <c r="V29" t="s">
        <v>441</v>
      </c>
    </row>
    <row r="30" spans="1:22" x14ac:dyDescent="0.25">
      <c r="C30" s="2">
        <v>6500</v>
      </c>
      <c r="H30" s="20" t="s">
        <v>360</v>
      </c>
      <c r="M30" t="s">
        <v>443</v>
      </c>
    </row>
    <row r="31" spans="1:22" x14ac:dyDescent="0.25">
      <c r="H31" s="20" t="s">
        <v>361</v>
      </c>
      <c r="V31" s="1" t="s">
        <v>445</v>
      </c>
    </row>
    <row r="32" spans="1:22" x14ac:dyDescent="0.25">
      <c r="D32" t="s">
        <v>269</v>
      </c>
      <c r="H32" s="20" t="s">
        <v>362</v>
      </c>
      <c r="M32" s="10" t="s">
        <v>447</v>
      </c>
    </row>
    <row r="33" spans="1:22" x14ac:dyDescent="0.25">
      <c r="A33" t="s">
        <v>363</v>
      </c>
      <c r="D33">
        <v>780</v>
      </c>
      <c r="E33" s="14" t="s">
        <v>364</v>
      </c>
      <c r="M33" t="s">
        <v>448</v>
      </c>
      <c r="V33" t="s">
        <v>449</v>
      </c>
    </row>
    <row r="34" spans="1:22" ht="15.75" thickBot="1" x14ac:dyDescent="0.3">
      <c r="A34" t="s">
        <v>365</v>
      </c>
      <c r="D34" s="3">
        <f>-5200*0.6</f>
        <v>-3120</v>
      </c>
      <c r="V34" t="s">
        <v>451</v>
      </c>
    </row>
    <row r="35" spans="1:22" ht="24" x14ac:dyDescent="0.4">
      <c r="A35" s="18" t="s">
        <v>366</v>
      </c>
      <c r="B35" s="18"/>
      <c r="C35" s="18"/>
      <c r="D35" s="18">
        <f>D33-D34</f>
        <v>3900</v>
      </c>
      <c r="E35" s="14" t="s">
        <v>367</v>
      </c>
      <c r="H35" s="20" t="s">
        <v>368</v>
      </c>
      <c r="M35" s="32" t="s">
        <v>389</v>
      </c>
      <c r="V35" t="s">
        <v>453</v>
      </c>
    </row>
    <row r="36" spans="1:22" x14ac:dyDescent="0.25">
      <c r="H36" s="20" t="s">
        <v>369</v>
      </c>
      <c r="V36" t="s">
        <v>455</v>
      </c>
    </row>
    <row r="37" spans="1:22" x14ac:dyDescent="0.25">
      <c r="A37" s="13" t="s">
        <v>370</v>
      </c>
      <c r="H37" s="20" t="s">
        <v>371</v>
      </c>
      <c r="M37" t="s">
        <v>392</v>
      </c>
    </row>
    <row r="38" spans="1:22" x14ac:dyDescent="0.25">
      <c r="C38" t="s">
        <v>269</v>
      </c>
      <c r="H38" s="20" t="s">
        <v>372</v>
      </c>
      <c r="M38" t="s">
        <v>395</v>
      </c>
    </row>
    <row r="39" spans="1:22" x14ac:dyDescent="0.25">
      <c r="A39" s="18" t="s">
        <v>3</v>
      </c>
      <c r="B39" s="18"/>
      <c r="C39" s="19">
        <v>3900</v>
      </c>
      <c r="H39" s="20" t="s">
        <v>373</v>
      </c>
    </row>
    <row r="40" spans="1:22" ht="15.75" thickBot="1" x14ac:dyDescent="0.3">
      <c r="A40" t="s">
        <v>374</v>
      </c>
      <c r="C40" s="4">
        <v>3120</v>
      </c>
      <c r="M40" t="s">
        <v>398</v>
      </c>
    </row>
    <row r="41" spans="1:22" x14ac:dyDescent="0.25">
      <c r="A41" t="s">
        <v>4</v>
      </c>
      <c r="C41" s="2">
        <f>C39-C40</f>
        <v>780</v>
      </c>
      <c r="M41" t="s">
        <v>401</v>
      </c>
    </row>
    <row r="42" spans="1:22" x14ac:dyDescent="0.25">
      <c r="M42" t="s">
        <v>403</v>
      </c>
    </row>
    <row r="43" spans="1:22" x14ac:dyDescent="0.25">
      <c r="A43" s="13" t="s">
        <v>375</v>
      </c>
      <c r="F43" s="20" t="s">
        <v>376</v>
      </c>
      <c r="M43" t="s">
        <v>405</v>
      </c>
    </row>
    <row r="44" spans="1:22" x14ac:dyDescent="0.25">
      <c r="A44" s="22" t="s">
        <v>377</v>
      </c>
      <c r="B44" s="22"/>
      <c r="C44" s="22"/>
      <c r="D44" s="23">
        <v>3350</v>
      </c>
      <c r="F44" s="20" t="s">
        <v>378</v>
      </c>
    </row>
    <row r="45" spans="1:22" x14ac:dyDescent="0.25">
      <c r="A45" t="s">
        <v>379</v>
      </c>
      <c r="D45">
        <v>780</v>
      </c>
      <c r="F45" s="20" t="s">
        <v>380</v>
      </c>
      <c r="M45" s="13" t="s">
        <v>411</v>
      </c>
    </row>
    <row r="46" spans="1:22" ht="15.75" thickBot="1" x14ac:dyDescent="0.3">
      <c r="A46" s="24" t="s">
        <v>381</v>
      </c>
      <c r="B46" s="24"/>
      <c r="C46" s="24"/>
      <c r="D46" s="31">
        <v>3700</v>
      </c>
      <c r="F46" s="20"/>
    </row>
    <row r="47" spans="1:22" x14ac:dyDescent="0.25">
      <c r="D47" s="2">
        <f>D44+D45-D46</f>
        <v>430</v>
      </c>
      <c r="M47" t="s">
        <v>414</v>
      </c>
    </row>
    <row r="48" spans="1:22" x14ac:dyDescent="0.25">
      <c r="M48" t="s">
        <v>417</v>
      </c>
    </row>
    <row r="49" spans="1:13" x14ac:dyDescent="0.25">
      <c r="A49" s="13" t="s">
        <v>130</v>
      </c>
      <c r="F49" s="20" t="s">
        <v>382</v>
      </c>
      <c r="M49" t="s">
        <v>419</v>
      </c>
    </row>
    <row r="50" spans="1:13" x14ac:dyDescent="0.25">
      <c r="A50" t="s">
        <v>18</v>
      </c>
      <c r="F50" s="20" t="s">
        <v>383</v>
      </c>
    </row>
    <row r="51" spans="1:13" x14ac:dyDescent="0.25">
      <c r="A51" t="s">
        <v>384</v>
      </c>
      <c r="D51">
        <v>430</v>
      </c>
      <c r="F51" s="20" t="s">
        <v>385</v>
      </c>
      <c r="M51" t="s">
        <v>424</v>
      </c>
    </row>
    <row r="52" spans="1:13" x14ac:dyDescent="0.25">
      <c r="F52" s="20" t="s">
        <v>386</v>
      </c>
      <c r="M52" t="s">
        <v>426</v>
      </c>
    </row>
    <row r="53" spans="1:13" x14ac:dyDescent="0.25">
      <c r="F53" s="20"/>
      <c r="M53" t="s">
        <v>427</v>
      </c>
    </row>
    <row r="55" spans="1:13" x14ac:dyDescent="0.25">
      <c r="M55" s="13" t="s">
        <v>432</v>
      </c>
    </row>
    <row r="57" spans="1:13" x14ac:dyDescent="0.25">
      <c r="M57" t="s">
        <v>435</v>
      </c>
    </row>
    <row r="58" spans="1:13" x14ac:dyDescent="0.25">
      <c r="M58" t="s">
        <v>438</v>
      </c>
    </row>
    <row r="60" spans="1:13" x14ac:dyDescent="0.25">
      <c r="M60" s="1" t="s">
        <v>442</v>
      </c>
    </row>
    <row r="61" spans="1:13" x14ac:dyDescent="0.25">
      <c r="M61" s="10" t="s">
        <v>444</v>
      </c>
    </row>
    <row r="62" spans="1:13" x14ac:dyDescent="0.25">
      <c r="M62" t="s">
        <v>446</v>
      </c>
    </row>
    <row r="64" spans="1:13" x14ac:dyDescent="0.25">
      <c r="M64" s="1" t="s">
        <v>450</v>
      </c>
    </row>
    <row r="65" spans="13:13" x14ac:dyDescent="0.25">
      <c r="M65" s="10" t="s">
        <v>452</v>
      </c>
    </row>
    <row r="66" spans="13:13" x14ac:dyDescent="0.25">
      <c r="M66" t="s">
        <v>454</v>
      </c>
    </row>
    <row r="67" spans="13:13" x14ac:dyDescent="0.25">
      <c r="M67" s="10" t="s">
        <v>456</v>
      </c>
    </row>
    <row r="68" spans="13:13" x14ac:dyDescent="0.25">
      <c r="M68" t="s">
        <v>457</v>
      </c>
    </row>
    <row r="70" spans="13:13" x14ac:dyDescent="0.25">
      <c r="M70" s="1" t="s">
        <v>458</v>
      </c>
    </row>
    <row r="71" spans="13:13" x14ac:dyDescent="0.25">
      <c r="M71" s="10" t="s">
        <v>459</v>
      </c>
    </row>
    <row r="72" spans="13:13" x14ac:dyDescent="0.25">
      <c r="M72" t="s">
        <v>460</v>
      </c>
    </row>
    <row r="73" spans="13:13" x14ac:dyDescent="0.25">
      <c r="M73" s="10" t="s">
        <v>461</v>
      </c>
    </row>
    <row r="74" spans="13:13" x14ac:dyDescent="0.25">
      <c r="M74" t="s">
        <v>462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742B2-1AF7-4517-8AEB-845C340F686B}">
  <dimension ref="A1:R33"/>
  <sheetViews>
    <sheetView topLeftCell="Q1" workbookViewId="0">
      <selection activeCell="AF26" sqref="AF26"/>
    </sheetView>
  </sheetViews>
  <sheetFormatPr defaultRowHeight="15" x14ac:dyDescent="0.25"/>
  <sheetData>
    <row r="1" spans="1:18" x14ac:dyDescent="0.25">
      <c r="A1" t="s">
        <v>675</v>
      </c>
      <c r="J1" s="1" t="s">
        <v>692</v>
      </c>
      <c r="R1" s="1" t="s">
        <v>707</v>
      </c>
    </row>
    <row r="12" spans="1:18" x14ac:dyDescent="0.25">
      <c r="A12" t="s">
        <v>676</v>
      </c>
    </row>
    <row r="13" spans="1:18" x14ac:dyDescent="0.25">
      <c r="A13" t="s">
        <v>677</v>
      </c>
    </row>
    <row r="14" spans="1:18" x14ac:dyDescent="0.25">
      <c r="J14" s="1" t="s">
        <v>693</v>
      </c>
    </row>
    <row r="15" spans="1:18" x14ac:dyDescent="0.25">
      <c r="A15" t="s">
        <v>678</v>
      </c>
      <c r="J15" s="34"/>
      <c r="K15" s="34" t="s">
        <v>696</v>
      </c>
      <c r="L15" s="34" t="s">
        <v>697</v>
      </c>
      <c r="M15" s="34" t="s">
        <v>695</v>
      </c>
      <c r="N15" s="34" t="s">
        <v>698</v>
      </c>
      <c r="O15" s="34" t="s">
        <v>699</v>
      </c>
      <c r="P15" s="34" t="s">
        <v>700</v>
      </c>
    </row>
    <row r="16" spans="1:18" x14ac:dyDescent="0.25">
      <c r="A16" t="s">
        <v>679</v>
      </c>
      <c r="J16" s="34" t="s">
        <v>694</v>
      </c>
      <c r="K16" s="37">
        <v>50000</v>
      </c>
      <c r="L16" s="37">
        <v>45000</v>
      </c>
      <c r="M16" s="37">
        <v>55000</v>
      </c>
      <c r="N16" s="37">
        <v>55000</v>
      </c>
      <c r="O16" s="42" t="s">
        <v>701</v>
      </c>
      <c r="P16" s="34" t="s">
        <v>702</v>
      </c>
    </row>
    <row r="17" spans="1:16" x14ac:dyDescent="0.25">
      <c r="J17" s="34" t="s">
        <v>704</v>
      </c>
      <c r="K17" s="37">
        <v>19500</v>
      </c>
      <c r="L17" s="37">
        <v>11250</v>
      </c>
      <c r="M17" s="34">
        <v>14400</v>
      </c>
      <c r="N17" s="34">
        <v>14400</v>
      </c>
      <c r="O17" s="37">
        <f>K17-M17</f>
        <v>5100</v>
      </c>
      <c r="P17" s="34" t="s">
        <v>702</v>
      </c>
    </row>
    <row r="18" spans="1:16" x14ac:dyDescent="0.25">
      <c r="A18" s="1" t="s">
        <v>680</v>
      </c>
      <c r="J18" s="34" t="s">
        <v>705</v>
      </c>
      <c r="K18" s="37">
        <v>9250</v>
      </c>
      <c r="L18" s="37">
        <v>5800</v>
      </c>
      <c r="M18" s="37">
        <v>5000</v>
      </c>
      <c r="N18" s="37">
        <v>5800</v>
      </c>
      <c r="O18" s="37">
        <f>K18-N18</f>
        <v>3450</v>
      </c>
      <c r="P18" s="34" t="s">
        <v>703</v>
      </c>
    </row>
    <row r="19" spans="1:16" x14ac:dyDescent="0.25">
      <c r="A19" t="s">
        <v>681</v>
      </c>
      <c r="J19" s="34" t="s">
        <v>706</v>
      </c>
      <c r="K19" s="37">
        <v>34200</v>
      </c>
      <c r="L19" s="37">
        <v>40200</v>
      </c>
      <c r="M19" s="37">
        <v>38250</v>
      </c>
      <c r="N19" s="37">
        <v>40200</v>
      </c>
      <c r="O19" s="37">
        <f>N19-L19</f>
        <v>0</v>
      </c>
      <c r="P19" s="34" t="s">
        <v>703</v>
      </c>
    </row>
    <row r="21" spans="1:16" x14ac:dyDescent="0.25">
      <c r="A21" s="1" t="s">
        <v>682</v>
      </c>
    </row>
    <row r="22" spans="1:16" x14ac:dyDescent="0.25">
      <c r="A22" t="s">
        <v>683</v>
      </c>
    </row>
    <row r="23" spans="1:16" x14ac:dyDescent="0.25">
      <c r="A23" t="s">
        <v>684</v>
      </c>
    </row>
    <row r="26" spans="1:16" x14ac:dyDescent="0.25">
      <c r="A26" s="1" t="s">
        <v>685</v>
      </c>
    </row>
    <row r="27" spans="1:16" x14ac:dyDescent="0.25">
      <c r="A27" t="s">
        <v>687</v>
      </c>
    </row>
    <row r="28" spans="1:16" x14ac:dyDescent="0.25">
      <c r="A28" t="s">
        <v>686</v>
      </c>
    </row>
    <row r="30" spans="1:16" x14ac:dyDescent="0.25">
      <c r="A30" s="1" t="s">
        <v>688</v>
      </c>
    </row>
    <row r="31" spans="1:16" x14ac:dyDescent="0.25">
      <c r="A31" t="s">
        <v>689</v>
      </c>
    </row>
    <row r="32" spans="1:16" x14ac:dyDescent="0.25">
      <c r="A32" t="s">
        <v>690</v>
      </c>
    </row>
    <row r="33" spans="1:1" x14ac:dyDescent="0.25">
      <c r="A33" t="s">
        <v>691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7C8F1B-A924-4712-BEB6-DEF622C40A38}">
  <dimension ref="A1:O55"/>
  <sheetViews>
    <sheetView zoomScaleNormal="100" workbookViewId="0">
      <selection activeCell="O29" sqref="O29"/>
    </sheetView>
  </sheetViews>
  <sheetFormatPr defaultRowHeight="15" x14ac:dyDescent="0.25"/>
  <sheetData>
    <row r="1" spans="1:15" x14ac:dyDescent="0.25">
      <c r="A1" s="1" t="s">
        <v>708</v>
      </c>
    </row>
    <row r="3" spans="1:15" x14ac:dyDescent="0.25">
      <c r="I3" s="1" t="s">
        <v>709</v>
      </c>
    </row>
    <row r="4" spans="1:15" x14ac:dyDescent="0.25">
      <c r="I4" s="1" t="s">
        <v>710</v>
      </c>
    </row>
    <row r="5" spans="1:15" x14ac:dyDescent="0.25">
      <c r="I5" s="1" t="s">
        <v>711</v>
      </c>
    </row>
    <row r="7" spans="1:15" x14ac:dyDescent="0.25">
      <c r="M7" t="s">
        <v>232</v>
      </c>
      <c r="N7" t="s">
        <v>232</v>
      </c>
    </row>
    <row r="8" spans="1:15" x14ac:dyDescent="0.25">
      <c r="I8" s="1" t="s">
        <v>712</v>
      </c>
    </row>
    <row r="9" spans="1:15" x14ac:dyDescent="0.25">
      <c r="I9" t="s">
        <v>713</v>
      </c>
      <c r="M9">
        <v>392</v>
      </c>
      <c r="O9" t="s">
        <v>737</v>
      </c>
    </row>
    <row r="10" spans="1:15" x14ac:dyDescent="0.25">
      <c r="I10" t="s">
        <v>714</v>
      </c>
      <c r="M10">
        <v>118</v>
      </c>
      <c r="O10" t="s">
        <v>737</v>
      </c>
    </row>
    <row r="11" spans="1:15" x14ac:dyDescent="0.25">
      <c r="I11" t="s">
        <v>715</v>
      </c>
      <c r="M11">
        <v>18</v>
      </c>
      <c r="O11" t="s">
        <v>737</v>
      </c>
    </row>
    <row r="12" spans="1:15" x14ac:dyDescent="0.25">
      <c r="I12" t="s">
        <v>716</v>
      </c>
      <c r="M12">
        <v>28</v>
      </c>
      <c r="O12" t="s">
        <v>737</v>
      </c>
    </row>
    <row r="15" spans="1:15" x14ac:dyDescent="0.25">
      <c r="I15" t="s">
        <v>717</v>
      </c>
      <c r="M15">
        <v>-4</v>
      </c>
      <c r="O15" t="s">
        <v>738</v>
      </c>
    </row>
    <row r="16" spans="1:15" x14ac:dyDescent="0.25">
      <c r="I16" t="s">
        <v>718</v>
      </c>
      <c r="M16">
        <f>-(76-58)</f>
        <v>-18</v>
      </c>
      <c r="O16" t="s">
        <v>738</v>
      </c>
    </row>
    <row r="17" spans="9:15" x14ac:dyDescent="0.25">
      <c r="I17" t="s">
        <v>719</v>
      </c>
      <c r="M17">
        <f>12-6</f>
        <v>6</v>
      </c>
      <c r="O17" t="s">
        <v>738</v>
      </c>
    </row>
    <row r="19" spans="9:15" x14ac:dyDescent="0.25">
      <c r="I19" t="s">
        <v>720</v>
      </c>
      <c r="N19">
        <f>M9+M10+M11+M12+M16+M15+M17</f>
        <v>540</v>
      </c>
      <c r="O19" t="s">
        <v>739</v>
      </c>
    </row>
    <row r="20" spans="9:15" x14ac:dyDescent="0.25">
      <c r="I20" t="s">
        <v>722</v>
      </c>
      <c r="N20">
        <f>-(5+28-8)</f>
        <v>-25</v>
      </c>
      <c r="O20" t="s">
        <v>740</v>
      </c>
    </row>
    <row r="21" spans="9:15" ht="15.75" thickBot="1" x14ac:dyDescent="0.3">
      <c r="I21" t="s">
        <v>721</v>
      </c>
      <c r="N21" s="3">
        <f>-(81+124-94)</f>
        <v>-111</v>
      </c>
      <c r="O21" t="s">
        <v>740</v>
      </c>
    </row>
    <row r="23" spans="9:15" x14ac:dyDescent="0.25">
      <c r="I23" t="s">
        <v>723</v>
      </c>
      <c r="N23">
        <f>N19+N21+N20</f>
        <v>404</v>
      </c>
    </row>
    <row r="25" spans="9:15" x14ac:dyDescent="0.25">
      <c r="I25" s="1" t="s">
        <v>724</v>
      </c>
    </row>
    <row r="26" spans="9:15" x14ac:dyDescent="0.25">
      <c r="I26" t="s">
        <v>725</v>
      </c>
      <c r="N26">
        <v>-90</v>
      </c>
      <c r="O26" t="s">
        <v>741</v>
      </c>
    </row>
    <row r="27" spans="9:15" x14ac:dyDescent="0.25">
      <c r="I27" t="s">
        <v>726</v>
      </c>
      <c r="N27">
        <v>12</v>
      </c>
      <c r="O27" t="s">
        <v>886</v>
      </c>
    </row>
    <row r="28" spans="9:15" x14ac:dyDescent="0.25">
      <c r="O28" s="10" t="s">
        <v>887</v>
      </c>
    </row>
    <row r="29" spans="9:15" x14ac:dyDescent="0.25">
      <c r="I29" t="s">
        <v>727</v>
      </c>
      <c r="N29">
        <f>N26+N27</f>
        <v>-78</v>
      </c>
    </row>
    <row r="31" spans="9:15" x14ac:dyDescent="0.25">
      <c r="I31" s="1" t="s">
        <v>728</v>
      </c>
    </row>
    <row r="32" spans="9:15" x14ac:dyDescent="0.25">
      <c r="I32" t="s">
        <v>729</v>
      </c>
    </row>
    <row r="33" spans="9:15" x14ac:dyDescent="0.25">
      <c r="I33" t="s">
        <v>730</v>
      </c>
      <c r="N33">
        <f>360+36-340-24</f>
        <v>32</v>
      </c>
      <c r="O33" t="s">
        <v>742</v>
      </c>
    </row>
    <row r="34" spans="9:15" x14ac:dyDescent="0.25">
      <c r="I34" t="s">
        <v>731</v>
      </c>
      <c r="N34">
        <f>-(500-200)</f>
        <v>-300</v>
      </c>
      <c r="O34" t="s">
        <v>743</v>
      </c>
    </row>
    <row r="35" spans="9:15" x14ac:dyDescent="0.25">
      <c r="I35" t="s">
        <v>732</v>
      </c>
      <c r="N35">
        <v>-66</v>
      </c>
    </row>
    <row r="37" spans="9:15" x14ac:dyDescent="0.25">
      <c r="I37" t="s">
        <v>733</v>
      </c>
      <c r="N37">
        <f>N33+N34+N35</f>
        <v>-334</v>
      </c>
    </row>
    <row r="39" spans="9:15" x14ac:dyDescent="0.25">
      <c r="I39" t="s">
        <v>734</v>
      </c>
      <c r="N39">
        <v>-8</v>
      </c>
      <c r="O39" t="s">
        <v>744</v>
      </c>
    </row>
    <row r="40" spans="9:15" x14ac:dyDescent="0.25">
      <c r="I40" t="s">
        <v>735</v>
      </c>
      <c r="N40">
        <v>56</v>
      </c>
    </row>
    <row r="42" spans="9:15" x14ac:dyDescent="0.25">
      <c r="I42" t="s">
        <v>736</v>
      </c>
      <c r="N42">
        <f>N39+N40</f>
        <v>48</v>
      </c>
    </row>
    <row r="45" spans="9:15" x14ac:dyDescent="0.25">
      <c r="I45" s="1" t="s">
        <v>745</v>
      </c>
    </row>
    <row r="46" spans="9:15" x14ac:dyDescent="0.25">
      <c r="I46" s="1" t="s">
        <v>746</v>
      </c>
    </row>
    <row r="47" spans="9:15" x14ac:dyDescent="0.25">
      <c r="I47" s="1" t="s">
        <v>747</v>
      </c>
    </row>
    <row r="49" spans="9:9" x14ac:dyDescent="0.25">
      <c r="I49" s="43" t="s">
        <v>754</v>
      </c>
    </row>
    <row r="50" spans="9:9" x14ac:dyDescent="0.25">
      <c r="I50" s="43" t="s">
        <v>748</v>
      </c>
    </row>
    <row r="51" spans="9:9" x14ac:dyDescent="0.25">
      <c r="I51" s="43" t="s">
        <v>749</v>
      </c>
    </row>
    <row r="52" spans="9:9" x14ac:dyDescent="0.25">
      <c r="I52" s="43" t="s">
        <v>750</v>
      </c>
    </row>
    <row r="53" spans="9:9" x14ac:dyDescent="0.25">
      <c r="I53" s="43" t="s">
        <v>751</v>
      </c>
    </row>
    <row r="54" spans="9:9" x14ac:dyDescent="0.25">
      <c r="I54" s="43" t="s">
        <v>752</v>
      </c>
    </row>
    <row r="55" spans="9:9" x14ac:dyDescent="0.25">
      <c r="I55" s="43" t="s">
        <v>753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92997-5C07-4BDB-B67F-9FAFCB034705}">
  <dimension ref="A1:I26"/>
  <sheetViews>
    <sheetView topLeftCell="E1" workbookViewId="0">
      <selection activeCell="I2" sqref="I2"/>
    </sheetView>
  </sheetViews>
  <sheetFormatPr defaultRowHeight="15" x14ac:dyDescent="0.25"/>
  <sheetData>
    <row r="1" spans="1:9" x14ac:dyDescent="0.25">
      <c r="A1" s="1" t="s">
        <v>567</v>
      </c>
      <c r="I1" s="1" t="s">
        <v>692</v>
      </c>
    </row>
    <row r="2" spans="1:9" x14ac:dyDescent="0.25">
      <c r="A2" s="1"/>
    </row>
    <row r="3" spans="1:9" x14ac:dyDescent="0.25">
      <c r="A3" s="1" t="s">
        <v>755</v>
      </c>
    </row>
    <row r="4" spans="1:9" x14ac:dyDescent="0.25">
      <c r="A4" s="1" t="s">
        <v>756</v>
      </c>
    </row>
    <row r="5" spans="1:9" x14ac:dyDescent="0.25">
      <c r="A5" s="1" t="s">
        <v>757</v>
      </c>
    </row>
    <row r="7" spans="1:9" x14ac:dyDescent="0.25">
      <c r="A7" s="1" t="s">
        <v>758</v>
      </c>
    </row>
    <row r="8" spans="1:9" x14ac:dyDescent="0.25">
      <c r="A8" s="1" t="s">
        <v>759</v>
      </c>
    </row>
    <row r="9" spans="1:9" x14ac:dyDescent="0.25">
      <c r="A9" s="10" t="s">
        <v>760</v>
      </c>
    </row>
    <row r="10" spans="1:9" x14ac:dyDescent="0.25">
      <c r="A10" s="10" t="s">
        <v>761</v>
      </c>
    </row>
    <row r="12" spans="1:9" x14ac:dyDescent="0.25">
      <c r="A12" s="1" t="s">
        <v>762</v>
      </c>
    </row>
    <row r="13" spans="1:9" x14ac:dyDescent="0.25">
      <c r="A13" s="1" t="s">
        <v>764</v>
      </c>
    </row>
    <row r="14" spans="1:9" x14ac:dyDescent="0.25">
      <c r="A14" s="1" t="s">
        <v>763</v>
      </c>
    </row>
    <row r="15" spans="1:9" x14ac:dyDescent="0.25">
      <c r="A15" s="10" t="s">
        <v>765</v>
      </c>
    </row>
    <row r="16" spans="1:9" x14ac:dyDescent="0.25">
      <c r="A16" s="10" t="s">
        <v>766</v>
      </c>
    </row>
    <row r="18" spans="1:9" x14ac:dyDescent="0.25">
      <c r="A18" s="1" t="s">
        <v>767</v>
      </c>
    </row>
    <row r="19" spans="1:9" x14ac:dyDescent="0.25">
      <c r="A19" s="1" t="s">
        <v>768</v>
      </c>
    </row>
    <row r="20" spans="1:9" x14ac:dyDescent="0.25">
      <c r="A20" s="10" t="s">
        <v>769</v>
      </c>
    </row>
    <row r="21" spans="1:9" x14ac:dyDescent="0.25">
      <c r="A21" t="s">
        <v>770</v>
      </c>
    </row>
    <row r="22" spans="1:9" x14ac:dyDescent="0.25">
      <c r="I22" s="1" t="s">
        <v>775</v>
      </c>
    </row>
    <row r="23" spans="1:9" x14ac:dyDescent="0.25">
      <c r="A23" s="1" t="s">
        <v>771</v>
      </c>
    </row>
    <row r="24" spans="1:9" x14ac:dyDescent="0.25">
      <c r="A24" s="1" t="s">
        <v>772</v>
      </c>
    </row>
    <row r="25" spans="1:9" x14ac:dyDescent="0.25">
      <c r="A25" s="10" t="s">
        <v>773</v>
      </c>
    </row>
    <row r="26" spans="1:9" x14ac:dyDescent="0.25">
      <c r="A26" s="10" t="s">
        <v>774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F312D-AE61-4D34-95B6-7F9F3BE32AFC}">
  <dimension ref="A1:O35"/>
  <sheetViews>
    <sheetView topLeftCell="E1" workbookViewId="0">
      <selection activeCell="H23" sqref="H23"/>
    </sheetView>
  </sheetViews>
  <sheetFormatPr defaultRowHeight="15" x14ac:dyDescent="0.25"/>
  <sheetData>
    <row r="1" spans="1:15" x14ac:dyDescent="0.25">
      <c r="A1" s="1" t="s">
        <v>675</v>
      </c>
      <c r="O1" s="1" t="s">
        <v>692</v>
      </c>
    </row>
    <row r="2" spans="1:15" x14ac:dyDescent="0.25">
      <c r="A2" s="1"/>
    </row>
    <row r="3" spans="1:15" x14ac:dyDescent="0.25">
      <c r="A3" s="1" t="s">
        <v>776</v>
      </c>
      <c r="H3" s="1" t="s">
        <v>782</v>
      </c>
      <c r="O3" t="s">
        <v>814</v>
      </c>
    </row>
    <row r="4" spans="1:15" x14ac:dyDescent="0.25">
      <c r="A4" s="1" t="s">
        <v>777</v>
      </c>
      <c r="H4" s="1" t="s">
        <v>783</v>
      </c>
      <c r="O4" t="s">
        <v>815</v>
      </c>
    </row>
    <row r="5" spans="1:15" x14ac:dyDescent="0.25">
      <c r="A5" s="1" t="s">
        <v>778</v>
      </c>
      <c r="H5" s="1" t="s">
        <v>784</v>
      </c>
      <c r="O5" t="s">
        <v>816</v>
      </c>
    </row>
    <row r="6" spans="1:15" x14ac:dyDescent="0.25">
      <c r="A6" s="1"/>
      <c r="H6" s="1" t="s">
        <v>785</v>
      </c>
      <c r="O6" t="s">
        <v>817</v>
      </c>
    </row>
    <row r="7" spans="1:15" x14ac:dyDescent="0.25">
      <c r="A7" s="1" t="s">
        <v>779</v>
      </c>
      <c r="H7" s="1" t="s">
        <v>786</v>
      </c>
    </row>
    <row r="8" spans="1:15" x14ac:dyDescent="0.25">
      <c r="A8" s="1" t="s">
        <v>780</v>
      </c>
      <c r="O8" s="1" t="s">
        <v>818</v>
      </c>
    </row>
    <row r="9" spans="1:15" x14ac:dyDescent="0.25">
      <c r="A9" s="1" t="s">
        <v>781</v>
      </c>
      <c r="H9" s="11" t="s">
        <v>791</v>
      </c>
    </row>
    <row r="10" spans="1:15" x14ac:dyDescent="0.25">
      <c r="H10" s="10" t="s">
        <v>801</v>
      </c>
      <c r="O10" t="s">
        <v>825</v>
      </c>
    </row>
    <row r="11" spans="1:15" x14ac:dyDescent="0.25">
      <c r="A11" s="11" t="s">
        <v>791</v>
      </c>
      <c r="O11" t="s">
        <v>525</v>
      </c>
    </row>
    <row r="12" spans="1:15" x14ac:dyDescent="0.25">
      <c r="A12" s="10" t="s">
        <v>792</v>
      </c>
      <c r="H12" s="11" t="s">
        <v>794</v>
      </c>
    </row>
    <row r="13" spans="1:15" x14ac:dyDescent="0.25">
      <c r="A13" s="10" t="s">
        <v>793</v>
      </c>
      <c r="H13" s="10" t="s">
        <v>802</v>
      </c>
      <c r="O13" s="1" t="s">
        <v>819</v>
      </c>
    </row>
    <row r="15" spans="1:15" x14ac:dyDescent="0.25">
      <c r="A15" s="11" t="s">
        <v>794</v>
      </c>
      <c r="H15" t="s">
        <v>807</v>
      </c>
      <c r="O15" t="s">
        <v>825</v>
      </c>
    </row>
    <row r="16" spans="1:15" x14ac:dyDescent="0.25">
      <c r="A16" s="10" t="s">
        <v>795</v>
      </c>
      <c r="H16" t="s">
        <v>803</v>
      </c>
      <c r="O16" t="s">
        <v>525</v>
      </c>
    </row>
    <row r="17" spans="1:15" x14ac:dyDescent="0.25">
      <c r="H17" t="s">
        <v>804</v>
      </c>
    </row>
    <row r="18" spans="1:15" x14ac:dyDescent="0.25">
      <c r="A18" s="11" t="s">
        <v>796</v>
      </c>
      <c r="H18" t="s">
        <v>805</v>
      </c>
      <c r="O18" s="1" t="s">
        <v>820</v>
      </c>
    </row>
    <row r="19" spans="1:15" x14ac:dyDescent="0.25">
      <c r="A19" s="10" t="s">
        <v>798</v>
      </c>
      <c r="H19" t="s">
        <v>806</v>
      </c>
      <c r="O19" s="1" t="s">
        <v>821</v>
      </c>
    </row>
    <row r="20" spans="1:15" x14ac:dyDescent="0.25">
      <c r="A20" s="10" t="s">
        <v>797</v>
      </c>
    </row>
    <row r="21" spans="1:15" x14ac:dyDescent="0.25">
      <c r="O21" t="s">
        <v>826</v>
      </c>
    </row>
    <row r="22" spans="1:15" x14ac:dyDescent="0.25">
      <c r="A22" t="s">
        <v>800</v>
      </c>
    </row>
    <row r="23" spans="1:15" x14ac:dyDescent="0.25">
      <c r="A23" t="s">
        <v>799</v>
      </c>
      <c r="H23" s="1" t="s">
        <v>827</v>
      </c>
      <c r="O23" s="1" t="s">
        <v>822</v>
      </c>
    </row>
    <row r="24" spans="1:15" x14ac:dyDescent="0.25">
      <c r="O24" s="1" t="s">
        <v>823</v>
      </c>
    </row>
    <row r="25" spans="1:15" x14ac:dyDescent="0.25">
      <c r="A25" s="1" t="s">
        <v>787</v>
      </c>
      <c r="H25" t="s">
        <v>828</v>
      </c>
      <c r="O25" s="1" t="s">
        <v>824</v>
      </c>
    </row>
    <row r="26" spans="1:15" x14ac:dyDescent="0.25">
      <c r="A26" s="1" t="s">
        <v>788</v>
      </c>
      <c r="H26" t="s">
        <v>829</v>
      </c>
    </row>
    <row r="27" spans="1:15" x14ac:dyDescent="0.25">
      <c r="A27" s="1" t="s">
        <v>789</v>
      </c>
      <c r="H27" t="s">
        <v>830</v>
      </c>
      <c r="O27" t="s">
        <v>825</v>
      </c>
    </row>
    <row r="28" spans="1:15" x14ac:dyDescent="0.25">
      <c r="A28" s="1" t="s">
        <v>790</v>
      </c>
      <c r="H28" t="s">
        <v>831</v>
      </c>
      <c r="O28" t="s">
        <v>525</v>
      </c>
    </row>
    <row r="30" spans="1:15" x14ac:dyDescent="0.25">
      <c r="A30" t="s">
        <v>808</v>
      </c>
      <c r="H30" s="44" t="s">
        <v>832</v>
      </c>
      <c r="I30" s="45"/>
      <c r="J30" s="74" t="s">
        <v>838</v>
      </c>
      <c r="K30" s="74"/>
      <c r="L30" s="74" t="s">
        <v>839</v>
      </c>
      <c r="M30" s="74"/>
    </row>
    <row r="31" spans="1:15" x14ac:dyDescent="0.25">
      <c r="A31" t="s">
        <v>809</v>
      </c>
      <c r="H31" s="46" t="s">
        <v>833</v>
      </c>
      <c r="I31" s="47"/>
      <c r="J31" s="75" t="s">
        <v>840</v>
      </c>
      <c r="K31" s="75"/>
      <c r="L31" s="75" t="s">
        <v>840</v>
      </c>
      <c r="M31" s="75"/>
    </row>
    <row r="32" spans="1:15" x14ac:dyDescent="0.25">
      <c r="A32" t="s">
        <v>810</v>
      </c>
      <c r="H32" s="46" t="s">
        <v>834</v>
      </c>
      <c r="I32" s="47"/>
      <c r="J32" s="75" t="s">
        <v>841</v>
      </c>
      <c r="K32" s="75"/>
      <c r="L32" s="75" t="s">
        <v>840</v>
      </c>
      <c r="M32" s="75"/>
    </row>
    <row r="33" spans="1:13" x14ac:dyDescent="0.25">
      <c r="A33" t="s">
        <v>811</v>
      </c>
      <c r="H33" s="46" t="s">
        <v>835</v>
      </c>
      <c r="I33" s="47"/>
      <c r="J33" s="75" t="s">
        <v>842</v>
      </c>
      <c r="K33" s="75"/>
      <c r="L33" s="75" t="s">
        <v>844</v>
      </c>
      <c r="M33" s="75"/>
    </row>
    <row r="34" spans="1:13" x14ac:dyDescent="0.25">
      <c r="A34" t="s">
        <v>812</v>
      </c>
      <c r="H34" s="48" t="s">
        <v>836</v>
      </c>
      <c r="I34" s="49"/>
      <c r="J34" s="73" t="s">
        <v>842</v>
      </c>
      <c r="K34" s="73"/>
      <c r="L34" s="73" t="s">
        <v>843</v>
      </c>
      <c r="M34" s="73"/>
    </row>
    <row r="35" spans="1:13" x14ac:dyDescent="0.25">
      <c r="A35" t="s">
        <v>813</v>
      </c>
      <c r="H35" s="50" t="s">
        <v>837</v>
      </c>
      <c r="I35" s="51"/>
      <c r="J35" s="73"/>
      <c r="K35" s="73"/>
      <c r="L35" s="73"/>
      <c r="M35" s="73"/>
    </row>
  </sheetData>
  <mergeCells count="10">
    <mergeCell ref="L34:M35"/>
    <mergeCell ref="L30:M30"/>
    <mergeCell ref="J30:K30"/>
    <mergeCell ref="J34:K35"/>
    <mergeCell ref="J31:K31"/>
    <mergeCell ref="J32:K32"/>
    <mergeCell ref="J33:K33"/>
    <mergeCell ref="L31:M31"/>
    <mergeCell ref="L32:M32"/>
    <mergeCell ref="L33:M3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3BBBFC-BF75-4E4F-AE88-9A11CEC1BF62}">
  <dimension ref="A1:V38"/>
  <sheetViews>
    <sheetView topLeftCell="C8" zoomScaleNormal="100" workbookViewId="0">
      <selection activeCell="I10" sqref="I10"/>
    </sheetView>
  </sheetViews>
  <sheetFormatPr defaultRowHeight="15" x14ac:dyDescent="0.25"/>
  <cols>
    <col min="8" max="8" width="11.140625" customWidth="1"/>
    <col min="9" max="9" width="10.140625" customWidth="1"/>
    <col min="10" max="10" width="10.28515625" customWidth="1"/>
  </cols>
  <sheetData>
    <row r="1" spans="1:22" ht="18.75" x14ac:dyDescent="0.3">
      <c r="A1" s="12" t="s">
        <v>261</v>
      </c>
    </row>
    <row r="3" spans="1:22" ht="18.75" x14ac:dyDescent="0.3">
      <c r="A3" s="12" t="s">
        <v>262</v>
      </c>
    </row>
    <row r="4" spans="1:22" ht="18.75" x14ac:dyDescent="0.3">
      <c r="A4" s="12" t="s">
        <v>263</v>
      </c>
    </row>
    <row r="5" spans="1:22" ht="18.75" x14ac:dyDescent="0.3">
      <c r="A5" s="12"/>
    </row>
    <row r="6" spans="1:22" ht="18.75" x14ac:dyDescent="0.3">
      <c r="A6" s="12" t="s">
        <v>264</v>
      </c>
    </row>
    <row r="7" spans="1:22" ht="18.75" x14ac:dyDescent="0.3">
      <c r="A7" s="12" t="s">
        <v>265</v>
      </c>
    </row>
    <row r="9" spans="1:22" x14ac:dyDescent="0.25">
      <c r="A9" t="s">
        <v>266</v>
      </c>
      <c r="G9" s="13" t="s">
        <v>267</v>
      </c>
      <c r="P9" s="13" t="s">
        <v>268</v>
      </c>
    </row>
    <row r="11" spans="1:22" x14ac:dyDescent="0.25">
      <c r="D11" t="s">
        <v>269</v>
      </c>
      <c r="G11" t="s">
        <v>270</v>
      </c>
      <c r="M11" s="14" t="s">
        <v>271</v>
      </c>
      <c r="P11" t="s">
        <v>272</v>
      </c>
      <c r="T11">
        <f>(20/100)*K27</f>
        <v>1059</v>
      </c>
      <c r="U11" s="14" t="s">
        <v>273</v>
      </c>
      <c r="V11" s="15"/>
    </row>
    <row r="12" spans="1:22" x14ac:dyDescent="0.25">
      <c r="A12" s="1" t="s">
        <v>274</v>
      </c>
      <c r="G12" t="s">
        <v>275</v>
      </c>
      <c r="M12" s="14" t="s">
        <v>276</v>
      </c>
      <c r="P12" t="s">
        <v>277</v>
      </c>
      <c r="T12">
        <f>K32-(20/100 *4850)</f>
        <v>38.000000000000114</v>
      </c>
      <c r="U12" s="14" t="s">
        <v>278</v>
      </c>
      <c r="V12" s="15"/>
    </row>
    <row r="13" spans="1:22" x14ac:dyDescent="0.25">
      <c r="A13" s="1" t="s">
        <v>279</v>
      </c>
      <c r="M13" s="14" t="s">
        <v>280</v>
      </c>
      <c r="P13" t="s">
        <v>281</v>
      </c>
      <c r="T13">
        <f>(20/100)*50</f>
        <v>10</v>
      </c>
      <c r="U13" s="14" t="s">
        <v>282</v>
      </c>
      <c r="V13" s="15"/>
    </row>
    <row r="14" spans="1:22" x14ac:dyDescent="0.25">
      <c r="A14" t="s">
        <v>52</v>
      </c>
      <c r="D14">
        <v>550</v>
      </c>
      <c r="E14" s="14" t="s">
        <v>283</v>
      </c>
      <c r="G14" t="s">
        <v>284</v>
      </c>
      <c r="M14" s="14" t="s">
        <v>285</v>
      </c>
      <c r="T14">
        <f>T11+T12+T13</f>
        <v>1107</v>
      </c>
    </row>
    <row r="15" spans="1:22" x14ac:dyDescent="0.25">
      <c r="A15" t="s">
        <v>286</v>
      </c>
      <c r="D15">
        <f>(13900+4360)</f>
        <v>18260</v>
      </c>
      <c r="E15" s="14" t="s">
        <v>287</v>
      </c>
      <c r="G15" t="s">
        <v>288</v>
      </c>
      <c r="H15">
        <f>((30/100)*3000)*1.5</f>
        <v>1350</v>
      </c>
      <c r="I15" t="s">
        <v>289</v>
      </c>
      <c r="M15" s="16" t="s">
        <v>290</v>
      </c>
    </row>
    <row r="16" spans="1:22" x14ac:dyDescent="0.25">
      <c r="A16" t="s">
        <v>291</v>
      </c>
      <c r="D16">
        <f>1410</f>
        <v>1410</v>
      </c>
      <c r="P16" s="13" t="s">
        <v>292</v>
      </c>
      <c r="S16" s="13"/>
    </row>
    <row r="17" spans="1:20" x14ac:dyDescent="0.25">
      <c r="A17" t="s">
        <v>293</v>
      </c>
      <c r="D17">
        <v>208</v>
      </c>
      <c r="G17" s="13" t="s">
        <v>294</v>
      </c>
    </row>
    <row r="18" spans="1:20" x14ac:dyDescent="0.25">
      <c r="P18" t="s">
        <v>295</v>
      </c>
      <c r="R18">
        <v>7500</v>
      </c>
    </row>
    <row r="19" spans="1:20" x14ac:dyDescent="0.25">
      <c r="A19" s="1" t="s">
        <v>296</v>
      </c>
      <c r="I19" s="1" t="s">
        <v>297</v>
      </c>
      <c r="J19" s="1"/>
      <c r="K19" s="1" t="s">
        <v>298</v>
      </c>
      <c r="L19" s="1"/>
      <c r="M19" s="1" t="s">
        <v>299</v>
      </c>
      <c r="P19" t="s">
        <v>300</v>
      </c>
      <c r="R19">
        <f>(750-300-5)*(80/100)</f>
        <v>356</v>
      </c>
    </row>
    <row r="20" spans="1:20" x14ac:dyDescent="0.25">
      <c r="A20" t="s">
        <v>19</v>
      </c>
      <c r="D20">
        <f>(450+240-5)</f>
        <v>685</v>
      </c>
      <c r="E20" s="14" t="s">
        <v>301</v>
      </c>
      <c r="I20" s="1" t="s">
        <v>302</v>
      </c>
      <c r="J20" s="1"/>
      <c r="K20" s="1" t="s">
        <v>302</v>
      </c>
      <c r="L20" s="1"/>
      <c r="M20" s="1" t="s">
        <v>302</v>
      </c>
      <c r="P20" t="s">
        <v>303</v>
      </c>
      <c r="R20">
        <f>(30/100)*(900-600)</f>
        <v>90</v>
      </c>
    </row>
    <row r="21" spans="1:20" x14ac:dyDescent="0.25">
      <c r="A21" t="s">
        <v>20</v>
      </c>
      <c r="D21">
        <f>(2400+195)</f>
        <v>2595</v>
      </c>
      <c r="E21" s="14" t="s">
        <v>304</v>
      </c>
      <c r="P21" t="s">
        <v>305</v>
      </c>
      <c r="R21">
        <v>-70</v>
      </c>
    </row>
    <row r="22" spans="1:20" x14ac:dyDescent="0.25">
      <c r="A22" t="s">
        <v>306</v>
      </c>
      <c r="D22">
        <f>(600+165)</f>
        <v>765</v>
      </c>
      <c r="E22" s="14" t="s">
        <v>307</v>
      </c>
      <c r="G22" s="1" t="s">
        <v>308</v>
      </c>
      <c r="I22">
        <v>4500</v>
      </c>
      <c r="K22">
        <v>4500</v>
      </c>
      <c r="M22">
        <f>K22-I22</f>
        <v>0</v>
      </c>
      <c r="R22">
        <f>R18+R19+R20+R21</f>
        <v>7876</v>
      </c>
    </row>
    <row r="23" spans="1:20" x14ac:dyDescent="0.25">
      <c r="G23" t="s">
        <v>309</v>
      </c>
    </row>
    <row r="24" spans="1:20" x14ac:dyDescent="0.25">
      <c r="A24" s="1" t="s">
        <v>310</v>
      </c>
      <c r="D24">
        <f>D14+D15+D16+D17+D20+D21+D22</f>
        <v>24473</v>
      </c>
      <c r="G24" s="1" t="s">
        <v>25</v>
      </c>
      <c r="I24">
        <v>300</v>
      </c>
      <c r="K24">
        <v>750</v>
      </c>
      <c r="M24">
        <f>K24-I24</f>
        <v>450</v>
      </c>
      <c r="P24" s="13" t="s">
        <v>311</v>
      </c>
    </row>
    <row r="25" spans="1:20" x14ac:dyDescent="0.25">
      <c r="G25" s="1" t="s">
        <v>312</v>
      </c>
      <c r="K25">
        <v>-5</v>
      </c>
      <c r="M25">
        <v>-5</v>
      </c>
    </row>
    <row r="26" spans="1:20" x14ac:dyDescent="0.25">
      <c r="A26" s="1" t="s">
        <v>313</v>
      </c>
      <c r="G26" s="1" t="s">
        <v>314</v>
      </c>
      <c r="I26">
        <v>50</v>
      </c>
      <c r="K26">
        <v>50</v>
      </c>
      <c r="M26">
        <f>K26-I26</f>
        <v>0</v>
      </c>
      <c r="P26" t="s">
        <v>315</v>
      </c>
      <c r="S26">
        <v>1350</v>
      </c>
      <c r="T26" s="14" t="s">
        <v>316</v>
      </c>
    </row>
    <row r="27" spans="1:20" x14ac:dyDescent="0.25">
      <c r="A27" t="s">
        <v>317</v>
      </c>
      <c r="D27">
        <v>15000</v>
      </c>
      <c r="I27">
        <f>I22+I24+I26</f>
        <v>4850</v>
      </c>
      <c r="K27">
        <f>K22+K24+K25+K26</f>
        <v>5295</v>
      </c>
      <c r="M27">
        <f>M22+M24+M25+M26</f>
        <v>445</v>
      </c>
      <c r="P27" t="s">
        <v>318</v>
      </c>
      <c r="S27">
        <f>(30/100)*(900-600)</f>
        <v>90</v>
      </c>
      <c r="T27" s="14" t="s">
        <v>319</v>
      </c>
    </row>
    <row r="28" spans="1:20" x14ac:dyDescent="0.25">
      <c r="A28" t="s">
        <v>25</v>
      </c>
      <c r="D28">
        <v>7876</v>
      </c>
      <c r="P28" t="s">
        <v>320</v>
      </c>
    </row>
    <row r="29" spans="1:20" ht="15.75" thickBot="1" x14ac:dyDescent="0.3">
      <c r="A29" t="s">
        <v>321</v>
      </c>
      <c r="D29">
        <v>1087</v>
      </c>
      <c r="G29" s="13" t="s">
        <v>322</v>
      </c>
      <c r="P29" t="s">
        <v>305</v>
      </c>
      <c r="S29" s="3">
        <v>-30</v>
      </c>
      <c r="T29" s="14" t="s">
        <v>323</v>
      </c>
    </row>
    <row r="30" spans="1:20" x14ac:dyDescent="0.25">
      <c r="S30">
        <f>S26+S27+S29</f>
        <v>1410</v>
      </c>
    </row>
    <row r="31" spans="1:20" x14ac:dyDescent="0.25">
      <c r="A31" t="s">
        <v>26</v>
      </c>
      <c r="G31" t="s">
        <v>324</v>
      </c>
      <c r="K31">
        <v>4100</v>
      </c>
    </row>
    <row r="32" spans="1:20" x14ac:dyDescent="0.25">
      <c r="A32" t="s">
        <v>66</v>
      </c>
      <c r="D32">
        <f>(300+210)</f>
        <v>510</v>
      </c>
      <c r="E32" s="14" t="s">
        <v>325</v>
      </c>
      <c r="G32" t="s">
        <v>326</v>
      </c>
      <c r="K32">
        <f>(20/100)*4500*1.12</f>
        <v>1008.0000000000001</v>
      </c>
      <c r="L32" s="14" t="s">
        <v>327</v>
      </c>
      <c r="P32" s="1" t="s">
        <v>328</v>
      </c>
      <c r="Q32" s="13"/>
    </row>
    <row r="34" spans="1:18" x14ac:dyDescent="0.25">
      <c r="A34" t="s">
        <v>329</v>
      </c>
      <c r="D34">
        <f>D27+D29+D28+D32</f>
        <v>24473</v>
      </c>
      <c r="G34" t="s">
        <v>320</v>
      </c>
      <c r="P34" s="1" t="s">
        <v>330</v>
      </c>
    </row>
    <row r="35" spans="1:18" x14ac:dyDescent="0.25">
      <c r="G35" t="s">
        <v>331</v>
      </c>
      <c r="K35">
        <f>I27</f>
        <v>4850</v>
      </c>
      <c r="L35" s="16" t="s">
        <v>332</v>
      </c>
      <c r="P35">
        <f>25000*(25/125)</f>
        <v>5000</v>
      </c>
      <c r="Q35" t="s">
        <v>333</v>
      </c>
      <c r="R35" s="14" t="s">
        <v>334</v>
      </c>
    </row>
    <row r="36" spans="1:18" ht="15.75" thickBot="1" x14ac:dyDescent="0.3">
      <c r="G36" t="s">
        <v>305</v>
      </c>
      <c r="K36" s="3">
        <v>50</v>
      </c>
    </row>
    <row r="38" spans="1:18" x14ac:dyDescent="0.25">
      <c r="G38" t="s">
        <v>335</v>
      </c>
      <c r="K38">
        <f>K31+K32-K35-K36</f>
        <v>208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7B4E0-1967-4128-A638-2AF5A4B1F7F8}">
  <dimension ref="A1:J35"/>
  <sheetViews>
    <sheetView workbookViewId="0">
      <selection activeCell="J32" sqref="J32"/>
    </sheetView>
  </sheetViews>
  <sheetFormatPr defaultRowHeight="15" x14ac:dyDescent="0.25"/>
  <sheetData>
    <row r="1" spans="1:10" x14ac:dyDescent="0.25">
      <c r="A1" s="1" t="s">
        <v>845</v>
      </c>
    </row>
    <row r="3" spans="1:10" x14ac:dyDescent="0.25">
      <c r="A3" s="1" t="s">
        <v>846</v>
      </c>
      <c r="J3" s="1" t="s">
        <v>861</v>
      </c>
    </row>
    <row r="5" spans="1:10" x14ac:dyDescent="0.25">
      <c r="A5" t="s">
        <v>847</v>
      </c>
      <c r="J5" t="s">
        <v>862</v>
      </c>
    </row>
    <row r="6" spans="1:10" x14ac:dyDescent="0.25">
      <c r="J6" t="s">
        <v>863</v>
      </c>
    </row>
    <row r="7" spans="1:10" x14ac:dyDescent="0.25">
      <c r="A7" t="s">
        <v>848</v>
      </c>
    </row>
    <row r="8" spans="1:10" x14ac:dyDescent="0.25">
      <c r="J8" t="s">
        <v>864</v>
      </c>
    </row>
    <row r="9" spans="1:10" x14ac:dyDescent="0.25">
      <c r="A9" t="s">
        <v>849</v>
      </c>
      <c r="J9" s="10" t="s">
        <v>865</v>
      </c>
    </row>
    <row r="11" spans="1:10" x14ac:dyDescent="0.25">
      <c r="J11" t="s">
        <v>866</v>
      </c>
    </row>
    <row r="12" spans="1:10" x14ac:dyDescent="0.25">
      <c r="A12" t="s">
        <v>850</v>
      </c>
      <c r="J12" s="10" t="s">
        <v>867</v>
      </c>
    </row>
    <row r="14" spans="1:10" x14ac:dyDescent="0.25">
      <c r="A14" t="s">
        <v>851</v>
      </c>
    </row>
    <row r="15" spans="1:10" x14ac:dyDescent="0.25">
      <c r="J15" s="1" t="s">
        <v>868</v>
      </c>
    </row>
    <row r="17" spans="1:10" x14ac:dyDescent="0.25">
      <c r="A17" t="s">
        <v>852</v>
      </c>
      <c r="J17" t="s">
        <v>869</v>
      </c>
    </row>
    <row r="18" spans="1:10" x14ac:dyDescent="0.25">
      <c r="J18" t="s">
        <v>870</v>
      </c>
    </row>
    <row r="19" spans="1:10" x14ac:dyDescent="0.25">
      <c r="A19" t="s">
        <v>853</v>
      </c>
    </row>
    <row r="20" spans="1:10" x14ac:dyDescent="0.25">
      <c r="J20" t="s">
        <v>871</v>
      </c>
    </row>
    <row r="21" spans="1:10" x14ac:dyDescent="0.25">
      <c r="J21" t="s">
        <v>872</v>
      </c>
    </row>
    <row r="22" spans="1:10" x14ac:dyDescent="0.25">
      <c r="A22" s="1" t="s">
        <v>854</v>
      </c>
    </row>
    <row r="23" spans="1:10" x14ac:dyDescent="0.25">
      <c r="J23" t="s">
        <v>873</v>
      </c>
    </row>
    <row r="24" spans="1:10" x14ac:dyDescent="0.25">
      <c r="A24" t="s">
        <v>855</v>
      </c>
      <c r="J24" t="s">
        <v>874</v>
      </c>
    </row>
    <row r="26" spans="1:10" x14ac:dyDescent="0.25">
      <c r="A26" t="s">
        <v>856</v>
      </c>
      <c r="J26" t="s">
        <v>875</v>
      </c>
    </row>
    <row r="29" spans="1:10" x14ac:dyDescent="0.25">
      <c r="A29" s="1" t="s">
        <v>857</v>
      </c>
    </row>
    <row r="30" spans="1:10" x14ac:dyDescent="0.25">
      <c r="J30" t="s">
        <v>876</v>
      </c>
    </row>
    <row r="31" spans="1:10" x14ac:dyDescent="0.25">
      <c r="A31" t="s">
        <v>858</v>
      </c>
      <c r="J31" t="s">
        <v>877</v>
      </c>
    </row>
    <row r="33" spans="1:1" x14ac:dyDescent="0.25">
      <c r="A33" t="s">
        <v>859</v>
      </c>
    </row>
    <row r="35" spans="1:1" x14ac:dyDescent="0.25">
      <c r="A35" t="s">
        <v>860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1857CA-3A88-415B-AE58-AE820160C14E}">
  <dimension ref="A12:Q69"/>
  <sheetViews>
    <sheetView tabSelected="1" topLeftCell="A30" zoomScale="115" zoomScaleNormal="115" workbookViewId="0">
      <selection activeCell="Q48" sqref="Q48"/>
    </sheetView>
  </sheetViews>
  <sheetFormatPr defaultRowHeight="15" x14ac:dyDescent="0.25"/>
  <cols>
    <col min="16" max="16" width="10.140625" customWidth="1"/>
  </cols>
  <sheetData>
    <row r="12" spans="13:13" x14ac:dyDescent="0.25">
      <c r="M12">
        <f>(1/5)*28000</f>
        <v>5600</v>
      </c>
    </row>
    <row r="13" spans="13:13" x14ac:dyDescent="0.25">
      <c r="M13">
        <f>5600+16800</f>
        <v>22400</v>
      </c>
    </row>
    <row r="14" spans="13:13" x14ac:dyDescent="0.25">
      <c r="M14">
        <f>31-13</f>
        <v>18</v>
      </c>
    </row>
    <row r="19" spans="8:17" ht="15.75" thickBot="1" x14ac:dyDescent="0.3"/>
    <row r="20" spans="8:17" x14ac:dyDescent="0.25">
      <c r="H20" s="61" t="s">
        <v>0</v>
      </c>
      <c r="I20" s="53"/>
      <c r="J20" s="53"/>
      <c r="K20" s="53"/>
      <c r="L20" s="53"/>
      <c r="M20" s="54"/>
      <c r="Q20" t="s">
        <v>914</v>
      </c>
    </row>
    <row r="21" spans="8:17" x14ac:dyDescent="0.25">
      <c r="H21" s="65" t="s">
        <v>1</v>
      </c>
      <c r="I21" s="22"/>
      <c r="J21" s="22"/>
      <c r="K21" s="22"/>
      <c r="L21" s="22"/>
      <c r="M21" s="56"/>
      <c r="Q21" s="1" t="s">
        <v>911</v>
      </c>
    </row>
    <row r="22" spans="8:17" x14ac:dyDescent="0.25">
      <c r="H22" s="55"/>
      <c r="I22" s="22"/>
      <c r="J22" s="22"/>
      <c r="K22" s="22"/>
      <c r="L22" s="22"/>
      <c r="M22" s="56"/>
      <c r="Q22" s="10" t="s">
        <v>912</v>
      </c>
    </row>
    <row r="23" spans="8:17" x14ac:dyDescent="0.25">
      <c r="H23" s="55"/>
      <c r="I23" s="22"/>
      <c r="J23" s="22"/>
      <c r="K23" s="22"/>
      <c r="L23" s="22" t="s">
        <v>2</v>
      </c>
      <c r="M23" s="56"/>
      <c r="Q23" t="s">
        <v>913</v>
      </c>
    </row>
    <row r="24" spans="8:17" x14ac:dyDescent="0.25">
      <c r="H24" s="55" t="s">
        <v>12</v>
      </c>
      <c r="I24" s="22"/>
      <c r="J24" s="22"/>
      <c r="K24" s="22"/>
      <c r="L24" s="22">
        <f>365200-1200</f>
        <v>364000</v>
      </c>
      <c r="M24" s="56"/>
    </row>
    <row r="25" spans="8:17" x14ac:dyDescent="0.25">
      <c r="H25" s="55" t="s">
        <v>13</v>
      </c>
      <c r="I25" s="22"/>
      <c r="J25" s="22"/>
      <c r="K25" s="22"/>
      <c r="L25" s="23">
        <f>K48</f>
        <v>262860</v>
      </c>
      <c r="M25" s="56"/>
      <c r="Q25" t="s">
        <v>927</v>
      </c>
    </row>
    <row r="26" spans="8:17" x14ac:dyDescent="0.25">
      <c r="H26" s="55"/>
      <c r="I26" s="22"/>
      <c r="J26" s="22"/>
      <c r="K26" s="22"/>
      <c r="L26" s="22"/>
      <c r="M26" s="56"/>
      <c r="Q26" t="s">
        <v>928</v>
      </c>
    </row>
    <row r="27" spans="8:17" x14ac:dyDescent="0.25">
      <c r="H27" s="55" t="s">
        <v>4</v>
      </c>
      <c r="I27" s="22"/>
      <c r="J27" s="22"/>
      <c r="K27" s="22"/>
      <c r="L27" s="23">
        <f>L24-L25</f>
        <v>101140</v>
      </c>
      <c r="M27" s="56"/>
      <c r="Q27" t="s">
        <v>929</v>
      </c>
    </row>
    <row r="28" spans="8:17" x14ac:dyDescent="0.25">
      <c r="H28" s="55" t="s">
        <v>5</v>
      </c>
      <c r="I28" s="22"/>
      <c r="J28" s="22"/>
      <c r="K28" s="22"/>
      <c r="L28" s="23">
        <v>1622</v>
      </c>
      <c r="M28" s="56"/>
      <c r="Q28" t="s">
        <v>930</v>
      </c>
    </row>
    <row r="29" spans="8:17" x14ac:dyDescent="0.25">
      <c r="H29" s="55" t="s">
        <v>14</v>
      </c>
      <c r="I29" s="22"/>
      <c r="J29" s="22"/>
      <c r="K29" s="22"/>
      <c r="L29" s="23">
        <f>K61</f>
        <v>78418</v>
      </c>
      <c r="M29" s="56"/>
      <c r="Q29" t="s">
        <v>931</v>
      </c>
    </row>
    <row r="30" spans="8:17" x14ac:dyDescent="0.25">
      <c r="H30" s="55"/>
      <c r="I30" s="22"/>
      <c r="J30" s="22"/>
      <c r="K30" s="22"/>
      <c r="L30" s="22"/>
      <c r="M30" s="56"/>
      <c r="Q30" t="s">
        <v>932</v>
      </c>
    </row>
    <row r="31" spans="8:17" x14ac:dyDescent="0.25">
      <c r="H31" s="55" t="s">
        <v>7</v>
      </c>
      <c r="I31" s="22"/>
      <c r="J31" s="22"/>
      <c r="K31" s="22"/>
      <c r="L31" s="23">
        <f>L27+L28-L29</f>
        <v>24344</v>
      </c>
      <c r="M31" s="56"/>
    </row>
    <row r="32" spans="8:17" ht="15.75" thickBot="1" x14ac:dyDescent="0.3">
      <c r="H32" s="55" t="s">
        <v>15</v>
      </c>
      <c r="I32" s="22"/>
      <c r="J32" s="22"/>
      <c r="K32" s="22"/>
      <c r="L32" s="23">
        <f>-K66</f>
        <v>-7400</v>
      </c>
      <c r="M32" s="56"/>
      <c r="Q32" t="s">
        <v>925</v>
      </c>
    </row>
    <row r="33" spans="1:17" x14ac:dyDescent="0.25">
      <c r="A33" s="61" t="s">
        <v>16</v>
      </c>
      <c r="B33" s="53"/>
      <c r="C33" s="53"/>
      <c r="D33" s="53"/>
      <c r="E33" s="53"/>
      <c r="F33" s="54"/>
      <c r="H33" s="55"/>
      <c r="I33" s="22"/>
      <c r="J33" s="22"/>
      <c r="K33" s="22"/>
      <c r="L33" s="22"/>
      <c r="M33" s="56"/>
      <c r="Q33" t="s">
        <v>915</v>
      </c>
    </row>
    <row r="34" spans="1:17" x14ac:dyDescent="0.25">
      <c r="A34" s="55"/>
      <c r="B34" s="22"/>
      <c r="C34" s="22"/>
      <c r="D34" s="22"/>
      <c r="E34" s="22"/>
      <c r="F34" s="56"/>
      <c r="H34" s="55" t="s">
        <v>8</v>
      </c>
      <c r="I34" s="22"/>
      <c r="J34" s="22"/>
      <c r="K34" s="22"/>
      <c r="L34" s="23">
        <f>L31+L32</f>
        <v>16944</v>
      </c>
      <c r="M34" s="56"/>
      <c r="Q34" t="s">
        <v>916</v>
      </c>
    </row>
    <row r="35" spans="1:17" x14ac:dyDescent="0.25">
      <c r="A35" s="55"/>
      <c r="B35" s="22"/>
      <c r="C35" s="22"/>
      <c r="D35" s="22" t="s">
        <v>2</v>
      </c>
      <c r="E35" s="22" t="s">
        <v>2</v>
      </c>
      <c r="F35" s="56"/>
      <c r="H35" s="55"/>
      <c r="I35" s="22"/>
      <c r="J35" s="22"/>
      <c r="K35" s="22"/>
      <c r="L35" s="22"/>
      <c r="M35" s="56"/>
      <c r="Q35" s="1" t="s">
        <v>911</v>
      </c>
    </row>
    <row r="36" spans="1:17" x14ac:dyDescent="0.25">
      <c r="A36" s="55"/>
      <c r="B36" s="22"/>
      <c r="C36" s="22"/>
      <c r="D36" s="22"/>
      <c r="E36" s="22"/>
      <c r="F36" s="56"/>
      <c r="H36" s="55" t="s">
        <v>9</v>
      </c>
      <c r="I36" s="22"/>
      <c r="J36" s="22"/>
      <c r="K36" s="22"/>
      <c r="L36" s="22"/>
      <c r="M36" s="56"/>
      <c r="Q36" t="s">
        <v>917</v>
      </c>
    </row>
    <row r="37" spans="1:17" x14ac:dyDescent="0.25">
      <c r="A37" s="57" t="s">
        <v>17</v>
      </c>
      <c r="B37" s="22"/>
      <c r="C37" s="22"/>
      <c r="D37" s="22"/>
      <c r="E37" s="22"/>
      <c r="F37" s="56"/>
      <c r="H37" s="55" t="s">
        <v>10</v>
      </c>
      <c r="I37" s="22"/>
      <c r="J37" s="22"/>
      <c r="K37" s="22"/>
      <c r="L37" s="23">
        <v>150000</v>
      </c>
      <c r="M37" s="56"/>
      <c r="Q37" s="1" t="s">
        <v>918</v>
      </c>
    </row>
    <row r="38" spans="1:17" x14ac:dyDescent="0.25">
      <c r="A38" s="55" t="s">
        <v>878</v>
      </c>
      <c r="B38" s="22"/>
      <c r="C38" s="22"/>
      <c r="D38" s="22"/>
      <c r="E38" s="22">
        <f>Q57</f>
        <v>355832</v>
      </c>
      <c r="F38" s="56"/>
      <c r="H38" s="55"/>
      <c r="I38" s="22"/>
      <c r="J38" s="22"/>
      <c r="K38" s="22"/>
      <c r="L38" s="22"/>
      <c r="M38" s="56"/>
      <c r="Q38" t="s">
        <v>919</v>
      </c>
    </row>
    <row r="39" spans="1:17" ht="15.75" thickBot="1" x14ac:dyDescent="0.3">
      <c r="A39" s="55"/>
      <c r="B39" s="22"/>
      <c r="C39" s="22"/>
      <c r="D39" s="22"/>
      <c r="E39" s="22"/>
      <c r="F39" s="56"/>
      <c r="H39" s="64" t="s">
        <v>11</v>
      </c>
      <c r="I39" s="28"/>
      <c r="J39" s="28"/>
      <c r="K39" s="28"/>
      <c r="L39" s="66">
        <f>L34+L37</f>
        <v>166944</v>
      </c>
      <c r="M39" s="60"/>
      <c r="Q39" t="s">
        <v>920</v>
      </c>
    </row>
    <row r="40" spans="1:17" x14ac:dyDescent="0.25">
      <c r="A40" s="55"/>
      <c r="B40" s="22"/>
      <c r="C40" s="22"/>
      <c r="D40" s="22"/>
      <c r="E40" s="22"/>
      <c r="F40" s="56"/>
      <c r="Q40" t="s">
        <v>921</v>
      </c>
    </row>
    <row r="41" spans="1:17" x14ac:dyDescent="0.25">
      <c r="A41" s="57" t="s">
        <v>18</v>
      </c>
      <c r="B41" s="22"/>
      <c r="C41" s="22"/>
      <c r="D41" s="22"/>
      <c r="E41" s="22"/>
      <c r="F41" s="56"/>
      <c r="Q41" s="1" t="s">
        <v>922</v>
      </c>
    </row>
    <row r="42" spans="1:17" x14ac:dyDescent="0.25">
      <c r="A42" s="55" t="s">
        <v>19</v>
      </c>
      <c r="B42" s="22"/>
      <c r="C42" s="22"/>
      <c r="D42" s="23">
        <v>25680</v>
      </c>
      <c r="E42" s="22"/>
      <c r="F42" s="56"/>
      <c r="H42" s="1" t="s">
        <v>27</v>
      </c>
      <c r="K42" s="5" t="s">
        <v>2</v>
      </c>
      <c r="M42" s="1" t="s">
        <v>30</v>
      </c>
      <c r="O42" s="5" t="s">
        <v>2</v>
      </c>
      <c r="Q42" s="1" t="s">
        <v>923</v>
      </c>
    </row>
    <row r="43" spans="1:17" x14ac:dyDescent="0.25">
      <c r="A43" s="55" t="s">
        <v>20</v>
      </c>
      <c r="B43" s="22"/>
      <c r="C43" s="22"/>
      <c r="D43" s="23">
        <v>16684</v>
      </c>
      <c r="E43" s="22"/>
      <c r="F43" s="56"/>
      <c r="H43" t="s">
        <v>31</v>
      </c>
      <c r="K43" s="6">
        <v>23340</v>
      </c>
      <c r="O43" s="7"/>
    </row>
    <row r="44" spans="1:17" x14ac:dyDescent="0.25">
      <c r="A44" s="55" t="s">
        <v>21</v>
      </c>
      <c r="B44" s="22"/>
      <c r="C44" s="22"/>
      <c r="D44" s="23">
        <v>1000</v>
      </c>
      <c r="E44" s="22"/>
      <c r="F44" s="56"/>
      <c r="H44" t="s">
        <v>32</v>
      </c>
      <c r="K44" s="6">
        <v>266800</v>
      </c>
      <c r="M44" t="s">
        <v>45</v>
      </c>
      <c r="O44" s="7">
        <f>(2/100)*100000</f>
        <v>2000</v>
      </c>
    </row>
    <row r="45" spans="1:17" ht="15.75" thickBot="1" x14ac:dyDescent="0.3">
      <c r="A45" s="55" t="s">
        <v>22</v>
      </c>
      <c r="B45" s="22"/>
      <c r="C45" s="22"/>
      <c r="D45" s="66">
        <v>3312</v>
      </c>
      <c r="E45" s="22"/>
      <c r="F45" s="56"/>
      <c r="H45" t="s">
        <v>33</v>
      </c>
      <c r="K45" s="6">
        <v>-1600</v>
      </c>
      <c r="M45" t="s">
        <v>46</v>
      </c>
      <c r="O45" s="7">
        <f>28000*(20%)</f>
        <v>5600</v>
      </c>
      <c r="Q45" t="s">
        <v>926</v>
      </c>
    </row>
    <row r="46" spans="1:17" ht="15.75" thickBot="1" x14ac:dyDescent="0.3">
      <c r="A46" s="55"/>
      <c r="B46" s="22"/>
      <c r="C46" s="22"/>
      <c r="D46" s="22"/>
      <c r="E46" s="66">
        <f>D43+D42+D44+D45</f>
        <v>46676</v>
      </c>
      <c r="F46" s="56"/>
      <c r="K46" s="7"/>
      <c r="M46" t="s">
        <v>47</v>
      </c>
      <c r="O46" s="8">
        <f>(24000-12240)*(30/100)</f>
        <v>3528</v>
      </c>
      <c r="Q46" t="s">
        <v>924</v>
      </c>
    </row>
    <row r="47" spans="1:17" ht="15.75" thickBot="1" x14ac:dyDescent="0.3">
      <c r="A47" s="55"/>
      <c r="B47" s="22"/>
      <c r="C47" s="22"/>
      <c r="D47" s="22"/>
      <c r="E47" s="23">
        <f>E38+(D42+D43+D44+D45)</f>
        <v>402508</v>
      </c>
      <c r="F47" s="56"/>
      <c r="H47" t="s">
        <v>34</v>
      </c>
      <c r="K47" s="8">
        <v>-25680</v>
      </c>
      <c r="O47" s="7">
        <f>O44+O45+O46</f>
        <v>11128</v>
      </c>
    </row>
    <row r="48" spans="1:17" x14ac:dyDescent="0.25">
      <c r="A48" s="57" t="s">
        <v>23</v>
      </c>
      <c r="B48" s="22"/>
      <c r="C48" s="22"/>
      <c r="D48" s="22"/>
      <c r="E48" s="22"/>
      <c r="F48" s="56"/>
      <c r="K48" s="6">
        <f>K43+K44+K45+K47</f>
        <v>262860</v>
      </c>
    </row>
    <row r="49" spans="1:17" x14ac:dyDescent="0.25">
      <c r="A49" s="55" t="s">
        <v>24</v>
      </c>
      <c r="B49" s="22"/>
      <c r="C49" s="22"/>
      <c r="D49" s="23">
        <v>100000</v>
      </c>
      <c r="E49" s="22"/>
      <c r="F49" s="56"/>
      <c r="K49" s="7"/>
    </row>
    <row r="50" spans="1:17" x14ac:dyDescent="0.25">
      <c r="A50" s="55" t="s">
        <v>10</v>
      </c>
      <c r="B50" s="22"/>
      <c r="C50" s="22"/>
      <c r="D50" s="23">
        <f>250000-100000</f>
        <v>150000</v>
      </c>
      <c r="E50" s="22"/>
      <c r="F50" s="56"/>
      <c r="H50" s="1" t="s">
        <v>28</v>
      </c>
      <c r="K50" s="5" t="s">
        <v>2</v>
      </c>
      <c r="M50" s="1" t="s">
        <v>48</v>
      </c>
    </row>
    <row r="51" spans="1:17" ht="15.75" thickBot="1" x14ac:dyDescent="0.3">
      <c r="A51" s="55" t="s">
        <v>25</v>
      </c>
      <c r="B51" s="22"/>
      <c r="C51" s="22"/>
      <c r="D51" s="66">
        <f>104800+16944</f>
        <v>121744</v>
      </c>
      <c r="E51" s="22"/>
      <c r="F51" s="56"/>
      <c r="K51" s="7"/>
    </row>
    <row r="52" spans="1:17" x14ac:dyDescent="0.25">
      <c r="A52" s="55"/>
      <c r="B52" s="22"/>
      <c r="C52" s="22"/>
      <c r="D52" s="22"/>
      <c r="E52" s="23">
        <f>D49+D50+D51</f>
        <v>371744</v>
      </c>
      <c r="F52" s="56"/>
      <c r="H52" t="s">
        <v>35</v>
      </c>
      <c r="K52" s="6">
        <v>46160</v>
      </c>
      <c r="O52" s="1" t="s">
        <v>49</v>
      </c>
      <c r="P52" s="1" t="s">
        <v>50</v>
      </c>
      <c r="Q52" s="1" t="s">
        <v>51</v>
      </c>
    </row>
    <row r="53" spans="1:17" x14ac:dyDescent="0.25">
      <c r="A53" s="55"/>
      <c r="B53" s="22"/>
      <c r="C53" s="22"/>
      <c r="D53" s="22"/>
      <c r="E53" s="22"/>
      <c r="F53" s="56"/>
      <c r="H53" t="s">
        <v>36</v>
      </c>
      <c r="K53" s="6">
        <v>12000</v>
      </c>
      <c r="M53" t="s">
        <v>52</v>
      </c>
      <c r="O53">
        <v>250000</v>
      </c>
      <c r="P53" t="s">
        <v>56</v>
      </c>
      <c r="Q53">
        <v>250000</v>
      </c>
    </row>
    <row r="54" spans="1:17" x14ac:dyDescent="0.25">
      <c r="A54" s="57" t="s">
        <v>26</v>
      </c>
      <c r="B54" s="22"/>
      <c r="C54" s="22"/>
      <c r="D54" s="22"/>
      <c r="E54" s="22"/>
      <c r="F54" s="56"/>
      <c r="H54" t="s">
        <v>37</v>
      </c>
      <c r="K54" s="6">
        <v>3720</v>
      </c>
      <c r="M54" t="s">
        <v>53</v>
      </c>
      <c r="O54">
        <v>100000</v>
      </c>
      <c r="P54">
        <v>8000</v>
      </c>
      <c r="Q54">
        <v>92000</v>
      </c>
    </row>
    <row r="55" spans="1:17" x14ac:dyDescent="0.25">
      <c r="A55" s="55" t="s">
        <v>65</v>
      </c>
      <c r="B55" s="22"/>
      <c r="C55" s="22"/>
      <c r="D55" s="23">
        <f>K65</f>
        <v>7300</v>
      </c>
      <c r="E55" s="22"/>
      <c r="F55" s="56"/>
      <c r="H55" t="s">
        <v>38</v>
      </c>
      <c r="K55" s="6">
        <v>760</v>
      </c>
      <c r="M55" t="s">
        <v>54</v>
      </c>
      <c r="O55">
        <v>28000</v>
      </c>
      <c r="P55">
        <v>22400</v>
      </c>
      <c r="Q55">
        <v>5600</v>
      </c>
    </row>
    <row r="56" spans="1:17" ht="15.75" thickBot="1" x14ac:dyDescent="0.3">
      <c r="A56" s="55" t="s">
        <v>66</v>
      </c>
      <c r="B56" s="22"/>
      <c r="C56" s="22"/>
      <c r="D56" s="23">
        <v>23004</v>
      </c>
      <c r="E56" s="22"/>
      <c r="F56" s="56"/>
      <c r="H56" t="s">
        <v>39</v>
      </c>
      <c r="K56" s="6">
        <v>1114</v>
      </c>
      <c r="M56" s="3" t="s">
        <v>55</v>
      </c>
      <c r="N56" s="3"/>
      <c r="O56" s="3">
        <v>24000</v>
      </c>
      <c r="P56" s="3">
        <v>15768</v>
      </c>
      <c r="Q56" s="3">
        <v>8232</v>
      </c>
    </row>
    <row r="57" spans="1:17" ht="15.75" thickBot="1" x14ac:dyDescent="0.3">
      <c r="A57" s="55" t="s">
        <v>67</v>
      </c>
      <c r="B57" s="22"/>
      <c r="C57" s="22"/>
      <c r="D57" s="28">
        <v>460</v>
      </c>
      <c r="E57" s="22"/>
      <c r="F57" s="56"/>
      <c r="H57" t="s">
        <v>40</v>
      </c>
      <c r="K57" s="6">
        <v>-72</v>
      </c>
      <c r="O57">
        <f>O53+O54+O55+O56</f>
        <v>402000</v>
      </c>
      <c r="P57">
        <f>P54+P55+P56</f>
        <v>46168</v>
      </c>
      <c r="Q57">
        <f>Q53+Q54+Q55+Q56</f>
        <v>355832</v>
      </c>
    </row>
    <row r="58" spans="1:17" ht="15.75" thickBot="1" x14ac:dyDescent="0.3">
      <c r="A58" s="55"/>
      <c r="B58" s="22"/>
      <c r="C58" s="22"/>
      <c r="D58" s="22"/>
      <c r="E58" s="66">
        <f>D55+D56+D57</f>
        <v>30764</v>
      </c>
      <c r="F58" s="56"/>
      <c r="H58" t="s">
        <v>41</v>
      </c>
      <c r="K58" s="6">
        <v>3534</v>
      </c>
    </row>
    <row r="59" spans="1:17" ht="15.75" thickBot="1" x14ac:dyDescent="0.3">
      <c r="A59" s="59"/>
      <c r="B59" s="28"/>
      <c r="C59" s="28"/>
      <c r="D59" s="28"/>
      <c r="E59" s="66">
        <f>E52+E58</f>
        <v>402508</v>
      </c>
      <c r="F59" s="60"/>
      <c r="H59" t="s">
        <v>42</v>
      </c>
      <c r="K59" s="6">
        <v>74</v>
      </c>
    </row>
    <row r="60" spans="1:17" ht="15.75" thickBot="1" x14ac:dyDescent="0.3">
      <c r="H60" t="s">
        <v>43</v>
      </c>
      <c r="K60" s="9">
        <v>11128</v>
      </c>
      <c r="M60" s="1" t="s">
        <v>58</v>
      </c>
      <c r="P60" t="s">
        <v>2</v>
      </c>
    </row>
    <row r="61" spans="1:17" x14ac:dyDescent="0.25">
      <c r="K61" s="6">
        <f>K52+K53+K54+K55+K56+K57+K58+K59+K60</f>
        <v>78418</v>
      </c>
    </row>
    <row r="62" spans="1:17" x14ac:dyDescent="0.25">
      <c r="M62" t="s">
        <v>59</v>
      </c>
      <c r="P62" s="2">
        <v>17200</v>
      </c>
    </row>
    <row r="63" spans="1:17" x14ac:dyDescent="0.25">
      <c r="H63" s="1" t="s">
        <v>29</v>
      </c>
      <c r="K63" s="1" t="s">
        <v>2</v>
      </c>
      <c r="M63" t="s">
        <v>60</v>
      </c>
      <c r="P63">
        <v>-516</v>
      </c>
    </row>
    <row r="64" spans="1:17" x14ac:dyDescent="0.25">
      <c r="H64" t="s">
        <v>57</v>
      </c>
      <c r="K64">
        <v>100</v>
      </c>
      <c r="P64" s="2">
        <f>P62+P63</f>
        <v>16684</v>
      </c>
    </row>
    <row r="65" spans="8:16" ht="15.75" thickBot="1" x14ac:dyDescent="0.3">
      <c r="H65" t="s">
        <v>44</v>
      </c>
      <c r="K65" s="4">
        <v>7300</v>
      </c>
      <c r="M65" t="s">
        <v>61</v>
      </c>
    </row>
    <row r="66" spans="8:16" x14ac:dyDescent="0.25">
      <c r="K66" s="2">
        <f>K64+K65</f>
        <v>7400</v>
      </c>
      <c r="M66" t="s">
        <v>62</v>
      </c>
      <c r="P66">
        <v>588</v>
      </c>
    </row>
    <row r="67" spans="8:16" x14ac:dyDescent="0.25">
      <c r="M67" t="s">
        <v>63</v>
      </c>
      <c r="P67">
        <v>516</v>
      </c>
    </row>
    <row r="69" spans="8:16" x14ac:dyDescent="0.25">
      <c r="M69" t="s">
        <v>64</v>
      </c>
      <c r="P69">
        <f>P67-P66</f>
        <v>-72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DFCA0-F5C5-42A3-98F8-778FD94676DF}">
  <dimension ref="A1:J58"/>
  <sheetViews>
    <sheetView zoomScale="85" zoomScaleNormal="85" workbookViewId="0">
      <selection activeCell="R9" sqref="R9"/>
    </sheetView>
  </sheetViews>
  <sheetFormatPr defaultRowHeight="15" x14ac:dyDescent="0.25"/>
  <sheetData>
    <row r="1" spans="1:10" x14ac:dyDescent="0.25">
      <c r="A1" s="1" t="s">
        <v>68</v>
      </c>
      <c r="J1" s="1" t="s">
        <v>71</v>
      </c>
    </row>
    <row r="2" spans="1:10" x14ac:dyDescent="0.25">
      <c r="A2" s="1" t="s">
        <v>69</v>
      </c>
      <c r="J2" s="1" t="s">
        <v>72</v>
      </c>
    </row>
    <row r="3" spans="1:10" x14ac:dyDescent="0.25">
      <c r="J3" s="1" t="s">
        <v>73</v>
      </c>
    </row>
    <row r="33" spans="1:10" x14ac:dyDescent="0.25">
      <c r="A33" s="1" t="s">
        <v>70</v>
      </c>
    </row>
    <row r="35" spans="1:10" x14ac:dyDescent="0.25">
      <c r="J35" s="1" t="s">
        <v>74</v>
      </c>
    </row>
    <row r="36" spans="1:10" x14ac:dyDescent="0.25">
      <c r="J36" s="1" t="s">
        <v>75</v>
      </c>
    </row>
    <row r="43" spans="1:10" x14ac:dyDescent="0.25">
      <c r="J43" s="1" t="s">
        <v>76</v>
      </c>
    </row>
    <row r="44" spans="1:10" x14ac:dyDescent="0.25">
      <c r="J44" s="1" t="s">
        <v>77</v>
      </c>
    </row>
    <row r="45" spans="1:10" x14ac:dyDescent="0.25">
      <c r="J45" s="1" t="s">
        <v>78</v>
      </c>
    </row>
    <row r="46" spans="1:10" x14ac:dyDescent="0.25">
      <c r="J46" s="1"/>
    </row>
    <row r="47" spans="1:10" x14ac:dyDescent="0.25">
      <c r="J47" s="1" t="s">
        <v>79</v>
      </c>
    </row>
    <row r="48" spans="1:10" x14ac:dyDescent="0.25">
      <c r="J48" s="1" t="s">
        <v>80</v>
      </c>
    </row>
    <row r="49" spans="10:10" x14ac:dyDescent="0.25">
      <c r="J49" s="1" t="s">
        <v>81</v>
      </c>
    </row>
    <row r="50" spans="10:10" x14ac:dyDescent="0.25">
      <c r="J50" s="1"/>
    </row>
    <row r="54" spans="10:10" x14ac:dyDescent="0.25">
      <c r="J54" s="1" t="s">
        <v>82</v>
      </c>
    </row>
    <row r="55" spans="10:10" x14ac:dyDescent="0.25">
      <c r="J55" s="1" t="s">
        <v>83</v>
      </c>
    </row>
    <row r="56" spans="10:10" x14ac:dyDescent="0.25">
      <c r="J56" s="1" t="s">
        <v>84</v>
      </c>
    </row>
    <row r="57" spans="10:10" x14ac:dyDescent="0.25">
      <c r="J57" s="1" t="s">
        <v>85</v>
      </c>
    </row>
    <row r="58" spans="10:10" x14ac:dyDescent="0.25">
      <c r="J58" s="1" t="s">
        <v>86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AA0E1-67D2-49FB-B3D8-3F73E1C9C19E}">
  <dimension ref="A1:AG43"/>
  <sheetViews>
    <sheetView topLeftCell="L1" workbookViewId="0">
      <selection activeCell="S23" sqref="S23"/>
    </sheetView>
  </sheetViews>
  <sheetFormatPr defaultRowHeight="15" x14ac:dyDescent="0.25"/>
  <cols>
    <col min="12" max="12" width="16.28515625" customWidth="1"/>
    <col min="19" max="19" width="11.7109375" customWidth="1"/>
    <col min="26" max="26" width="11" customWidth="1"/>
  </cols>
  <sheetData>
    <row r="1" spans="1:33" x14ac:dyDescent="0.25">
      <c r="A1" s="61" t="s">
        <v>87</v>
      </c>
      <c r="B1" s="53"/>
      <c r="C1" s="53"/>
      <c r="D1" s="53"/>
      <c r="E1" s="54"/>
      <c r="G1" s="52" t="s">
        <v>97</v>
      </c>
      <c r="H1" s="53"/>
      <c r="I1" s="53"/>
      <c r="J1" s="53"/>
      <c r="K1" s="53"/>
      <c r="L1" s="54"/>
      <c r="N1" s="61" t="s">
        <v>145</v>
      </c>
      <c r="O1" s="53"/>
      <c r="P1" s="53"/>
      <c r="Q1" s="53"/>
      <c r="R1" s="53"/>
      <c r="S1" s="54"/>
      <c r="U1" s="52" t="s">
        <v>179</v>
      </c>
      <c r="V1" s="53"/>
      <c r="W1" s="53"/>
      <c r="X1" s="53"/>
      <c r="Y1" s="53"/>
      <c r="Z1" s="54"/>
      <c r="AB1" s="52" t="s">
        <v>209</v>
      </c>
      <c r="AC1" s="53"/>
      <c r="AD1" s="53"/>
      <c r="AE1" s="53"/>
      <c r="AF1" s="53"/>
      <c r="AG1" s="54"/>
    </row>
    <row r="2" spans="1:33" x14ac:dyDescent="0.25">
      <c r="A2" s="55"/>
      <c r="B2" s="22"/>
      <c r="C2" s="22"/>
      <c r="D2" s="22"/>
      <c r="E2" s="56"/>
      <c r="G2" s="55"/>
      <c r="H2" s="22"/>
      <c r="I2" s="22"/>
      <c r="J2" s="22"/>
      <c r="K2" s="22"/>
      <c r="L2" s="56"/>
      <c r="N2" s="57" t="s">
        <v>146</v>
      </c>
      <c r="O2" s="22"/>
      <c r="P2" s="22"/>
      <c r="Q2" s="22"/>
      <c r="R2" s="22"/>
      <c r="S2" s="56"/>
      <c r="U2" s="58" t="s">
        <v>185</v>
      </c>
      <c r="V2" s="22"/>
      <c r="W2" s="22"/>
      <c r="X2" s="22"/>
      <c r="Y2" s="22"/>
      <c r="Z2" s="56"/>
      <c r="AB2" s="58" t="s">
        <v>210</v>
      </c>
      <c r="AC2" s="22"/>
      <c r="AD2" s="22"/>
      <c r="AE2" s="22"/>
      <c r="AF2" s="22"/>
      <c r="AG2" s="56"/>
    </row>
    <row r="3" spans="1:33" x14ac:dyDescent="0.25">
      <c r="A3" s="57" t="s">
        <v>88</v>
      </c>
      <c r="B3" s="22"/>
      <c r="C3" s="22"/>
      <c r="D3" s="22"/>
      <c r="E3" s="56"/>
      <c r="G3" s="57" t="s">
        <v>98</v>
      </c>
      <c r="H3" s="22"/>
      <c r="I3" s="22"/>
      <c r="J3" s="22"/>
      <c r="K3" s="22"/>
      <c r="L3" s="56"/>
      <c r="N3" s="55"/>
      <c r="O3" s="22"/>
      <c r="P3" s="22"/>
      <c r="Q3" s="22"/>
      <c r="R3" s="22"/>
      <c r="S3" s="56"/>
      <c r="U3" s="55" t="s">
        <v>180</v>
      </c>
      <c r="V3" s="22"/>
      <c r="W3" s="22"/>
      <c r="X3" s="22"/>
      <c r="Y3" s="22"/>
      <c r="Z3" s="56"/>
      <c r="AB3" s="55" t="s">
        <v>211</v>
      </c>
      <c r="AC3" s="22"/>
      <c r="AD3" s="22"/>
      <c r="AE3" s="22"/>
      <c r="AF3" s="22"/>
      <c r="AG3" s="56"/>
    </row>
    <row r="4" spans="1:33" x14ac:dyDescent="0.25">
      <c r="A4" s="58" t="s">
        <v>89</v>
      </c>
      <c r="B4" s="22"/>
      <c r="C4" s="22"/>
      <c r="D4" s="22"/>
      <c r="E4" s="56"/>
      <c r="G4" s="55"/>
      <c r="H4" s="22"/>
      <c r="I4" s="22"/>
      <c r="J4" s="22"/>
      <c r="K4" s="22"/>
      <c r="L4" s="56"/>
      <c r="N4" s="58" t="s">
        <v>147</v>
      </c>
      <c r="O4" s="22"/>
      <c r="P4" s="22"/>
      <c r="Q4" s="22"/>
      <c r="R4" s="22"/>
      <c r="S4" s="56"/>
      <c r="U4" s="55"/>
      <c r="V4" s="22"/>
      <c r="W4" s="22"/>
      <c r="X4" s="22"/>
      <c r="Y4" s="22"/>
      <c r="Z4" s="56"/>
      <c r="AB4" s="55"/>
      <c r="AC4" s="22"/>
      <c r="AD4" s="22"/>
      <c r="AE4" s="22"/>
      <c r="AF4" s="22"/>
      <c r="AG4" s="56"/>
    </row>
    <row r="5" spans="1:33" x14ac:dyDescent="0.25">
      <c r="A5" s="58" t="s">
        <v>90</v>
      </c>
      <c r="B5" s="22"/>
      <c r="C5" s="22"/>
      <c r="D5" s="22"/>
      <c r="E5" s="56"/>
      <c r="G5" s="58" t="s">
        <v>99</v>
      </c>
      <c r="H5" s="22"/>
      <c r="I5" s="22"/>
      <c r="J5" s="22"/>
      <c r="K5" s="22"/>
      <c r="L5" s="56"/>
      <c r="N5" s="55"/>
      <c r="O5" s="22"/>
      <c r="P5" s="22"/>
      <c r="Q5" s="22"/>
      <c r="R5" s="22"/>
      <c r="S5" s="56"/>
      <c r="U5" s="58" t="s">
        <v>186</v>
      </c>
      <c r="V5" s="22"/>
      <c r="W5" s="22"/>
      <c r="X5" s="22"/>
      <c r="Y5" s="22"/>
      <c r="Z5" s="56"/>
      <c r="AB5" s="63" t="s">
        <v>212</v>
      </c>
      <c r="AC5" s="22"/>
      <c r="AD5" s="22"/>
      <c r="AE5" s="22"/>
      <c r="AF5" s="22"/>
      <c r="AG5" s="56"/>
    </row>
    <row r="6" spans="1:33" x14ac:dyDescent="0.25">
      <c r="A6" s="58" t="s">
        <v>91</v>
      </c>
      <c r="B6" s="22"/>
      <c r="C6" s="22"/>
      <c r="D6" s="22"/>
      <c r="E6" s="56"/>
      <c r="G6" s="58" t="s">
        <v>100</v>
      </c>
      <c r="H6" s="22"/>
      <c r="I6" s="22"/>
      <c r="J6" s="22"/>
      <c r="K6" s="22"/>
      <c r="L6" s="56"/>
      <c r="N6" s="63" t="s">
        <v>148</v>
      </c>
      <c r="O6" s="22"/>
      <c r="P6" s="22"/>
      <c r="Q6" s="22"/>
      <c r="R6" s="22"/>
      <c r="S6" s="56"/>
      <c r="U6" s="58" t="s">
        <v>181</v>
      </c>
      <c r="V6" s="22"/>
      <c r="W6" s="22"/>
      <c r="X6" s="22"/>
      <c r="Y6" s="22"/>
      <c r="Z6" s="56"/>
      <c r="AB6" s="58" t="s">
        <v>213</v>
      </c>
      <c r="AC6" s="22"/>
      <c r="AD6" s="22"/>
      <c r="AE6" s="22"/>
      <c r="AF6" s="22"/>
      <c r="AG6" s="56"/>
    </row>
    <row r="7" spans="1:33" x14ac:dyDescent="0.25">
      <c r="A7" s="55"/>
      <c r="B7" s="22"/>
      <c r="C7" s="22"/>
      <c r="D7" s="22"/>
      <c r="E7" s="56"/>
      <c r="G7" s="55" t="s">
        <v>101</v>
      </c>
      <c r="H7" s="22"/>
      <c r="I7" s="22"/>
      <c r="J7" s="22"/>
      <c r="K7" s="22"/>
      <c r="L7" s="56"/>
      <c r="N7" s="58" t="s">
        <v>149</v>
      </c>
      <c r="O7" s="22"/>
      <c r="P7" s="22"/>
      <c r="Q7" s="22"/>
      <c r="R7" s="22"/>
      <c r="S7" s="56"/>
      <c r="U7" s="58" t="s">
        <v>182</v>
      </c>
      <c r="V7" s="22"/>
      <c r="W7" s="22"/>
      <c r="X7" s="22"/>
      <c r="Y7" s="22"/>
      <c r="Z7" s="56"/>
      <c r="AB7" s="58" t="s">
        <v>214</v>
      </c>
      <c r="AC7" s="22"/>
      <c r="AD7" s="22"/>
      <c r="AE7" s="22"/>
      <c r="AF7" s="22"/>
      <c r="AG7" s="56"/>
    </row>
    <row r="8" spans="1:33" x14ac:dyDescent="0.25">
      <c r="A8" s="55" t="s">
        <v>92</v>
      </c>
      <c r="B8" s="22"/>
      <c r="C8" s="22"/>
      <c r="D8" s="22"/>
      <c r="E8" s="56"/>
      <c r="G8" s="58" t="s">
        <v>102</v>
      </c>
      <c r="H8" s="22"/>
      <c r="I8" s="22"/>
      <c r="J8" s="22"/>
      <c r="K8" s="22"/>
      <c r="L8" s="56"/>
      <c r="N8" s="55" t="s">
        <v>162</v>
      </c>
      <c r="O8" s="22"/>
      <c r="P8" s="22"/>
      <c r="Q8" s="22"/>
      <c r="R8" s="22"/>
      <c r="S8" s="56"/>
      <c r="U8" s="55" t="s">
        <v>183</v>
      </c>
      <c r="V8" s="22"/>
      <c r="W8" s="22"/>
      <c r="X8" s="22"/>
      <c r="Y8" s="22"/>
      <c r="Z8" s="56"/>
      <c r="AB8" s="55" t="s">
        <v>215</v>
      </c>
      <c r="AC8" s="22"/>
      <c r="AD8" s="22"/>
      <c r="AE8" s="22"/>
      <c r="AF8" s="22"/>
      <c r="AG8" s="56"/>
    </row>
    <row r="9" spans="1:33" x14ac:dyDescent="0.25">
      <c r="A9" s="55" t="s">
        <v>93</v>
      </c>
      <c r="B9" s="22"/>
      <c r="C9" s="22"/>
      <c r="D9" s="22"/>
      <c r="E9" s="56"/>
      <c r="G9" s="55" t="s">
        <v>103</v>
      </c>
      <c r="H9" s="22"/>
      <c r="I9" s="22"/>
      <c r="J9" s="22"/>
      <c r="K9" s="22"/>
      <c r="L9" s="56"/>
      <c r="N9" s="58" t="s">
        <v>161</v>
      </c>
      <c r="O9" s="22"/>
      <c r="P9" s="22"/>
      <c r="Q9" s="22"/>
      <c r="R9" s="22"/>
      <c r="S9" s="56"/>
      <c r="U9" s="55"/>
      <c r="V9" s="22"/>
      <c r="W9" s="22"/>
      <c r="X9" s="22"/>
      <c r="Y9" s="22"/>
      <c r="Z9" s="56"/>
      <c r="AB9" s="58" t="s">
        <v>216</v>
      </c>
      <c r="AC9" s="22"/>
      <c r="AD9" s="22"/>
      <c r="AE9" s="22"/>
      <c r="AF9" s="22"/>
      <c r="AG9" s="56"/>
    </row>
    <row r="10" spans="1:33" x14ac:dyDescent="0.25">
      <c r="A10" s="55" t="s">
        <v>94</v>
      </c>
      <c r="B10" s="22"/>
      <c r="C10" s="22"/>
      <c r="D10" s="22"/>
      <c r="E10" s="56"/>
      <c r="G10" s="58" t="s">
        <v>104</v>
      </c>
      <c r="H10" s="22"/>
      <c r="I10" s="22"/>
      <c r="J10" s="22"/>
      <c r="K10" s="22"/>
      <c r="L10" s="56"/>
      <c r="N10" s="58" t="s">
        <v>150</v>
      </c>
      <c r="O10" s="22"/>
      <c r="P10" s="22"/>
      <c r="Q10" s="22"/>
      <c r="R10" s="22"/>
      <c r="S10" s="56"/>
      <c r="U10" s="58" t="s">
        <v>187</v>
      </c>
      <c r="V10" s="22"/>
      <c r="W10" s="22"/>
      <c r="X10" s="22"/>
      <c r="Y10" s="22"/>
      <c r="Z10" s="56"/>
      <c r="AB10" s="58" t="s">
        <v>218</v>
      </c>
      <c r="AC10" s="22"/>
      <c r="AD10" s="22"/>
      <c r="AE10" s="22"/>
      <c r="AF10" s="22"/>
      <c r="AG10" s="56"/>
    </row>
    <row r="11" spans="1:33" ht="15.75" thickBot="1" x14ac:dyDescent="0.3">
      <c r="A11" s="55"/>
      <c r="B11" s="22"/>
      <c r="C11" s="22"/>
      <c r="D11" s="22"/>
      <c r="E11" s="56"/>
      <c r="G11" s="58" t="s">
        <v>105</v>
      </c>
      <c r="H11" s="22"/>
      <c r="I11" s="22"/>
      <c r="J11" s="22"/>
      <c r="K11" s="22"/>
      <c r="L11" s="56"/>
      <c r="N11" s="55" t="s">
        <v>151</v>
      </c>
      <c r="O11" s="22"/>
      <c r="P11" s="22"/>
      <c r="Q11" s="22"/>
      <c r="R11" s="22"/>
      <c r="S11" s="56"/>
      <c r="U11" s="59" t="s">
        <v>184</v>
      </c>
      <c r="V11" s="28"/>
      <c r="W11" s="28"/>
      <c r="X11" s="28"/>
      <c r="Y11" s="28"/>
      <c r="Z11" s="60"/>
      <c r="AB11" s="59" t="s">
        <v>217</v>
      </c>
      <c r="AC11" s="28"/>
      <c r="AD11" s="28"/>
      <c r="AE11" s="28"/>
      <c r="AF11" s="28"/>
      <c r="AG11" s="60"/>
    </row>
    <row r="12" spans="1:33" x14ac:dyDescent="0.25">
      <c r="A12" s="55" t="s">
        <v>95</v>
      </c>
      <c r="B12" s="22"/>
      <c r="C12" s="22"/>
      <c r="D12" s="22"/>
      <c r="E12" s="56"/>
      <c r="G12" s="58" t="s">
        <v>106</v>
      </c>
      <c r="H12" s="22"/>
      <c r="I12" s="22"/>
      <c r="J12" s="22"/>
      <c r="K12" s="22"/>
      <c r="L12" s="56"/>
      <c r="N12" s="58" t="s">
        <v>152</v>
      </c>
      <c r="O12" s="22"/>
      <c r="P12" s="22"/>
      <c r="Q12" s="22"/>
      <c r="R12" s="22"/>
      <c r="S12" s="56"/>
    </row>
    <row r="13" spans="1:33" ht="15.75" thickBot="1" x14ac:dyDescent="0.3">
      <c r="A13" s="59" t="s">
        <v>96</v>
      </c>
      <c r="B13" s="28"/>
      <c r="C13" s="28"/>
      <c r="D13" s="28"/>
      <c r="E13" s="60"/>
      <c r="G13" s="58" t="s">
        <v>107</v>
      </c>
      <c r="H13" s="22"/>
      <c r="I13" s="22"/>
      <c r="J13" s="22"/>
      <c r="K13" s="22"/>
      <c r="L13" s="56"/>
      <c r="N13" s="55"/>
      <c r="O13" s="22"/>
      <c r="P13" s="22"/>
      <c r="Q13" s="22"/>
      <c r="R13" s="22"/>
      <c r="S13" s="56"/>
    </row>
    <row r="14" spans="1:33" x14ac:dyDescent="0.25">
      <c r="G14" s="55"/>
      <c r="H14" s="22"/>
      <c r="I14" s="22"/>
      <c r="J14" s="22"/>
      <c r="K14" s="22"/>
      <c r="L14" s="56"/>
      <c r="N14" s="63" t="s">
        <v>153</v>
      </c>
      <c r="O14" s="22"/>
      <c r="P14" s="22"/>
      <c r="Q14" s="22"/>
      <c r="R14" s="22"/>
      <c r="S14" s="56"/>
      <c r="U14" s="52" t="s">
        <v>188</v>
      </c>
      <c r="V14" s="53"/>
      <c r="W14" s="53"/>
      <c r="X14" s="53"/>
      <c r="Y14" s="53"/>
      <c r="Z14" s="54"/>
      <c r="AB14" s="52" t="s">
        <v>219</v>
      </c>
      <c r="AC14" s="53"/>
      <c r="AD14" s="53"/>
      <c r="AE14" s="53"/>
      <c r="AF14" s="53"/>
      <c r="AG14" s="54"/>
    </row>
    <row r="15" spans="1:33" ht="15.75" thickBot="1" x14ac:dyDescent="0.3">
      <c r="G15" s="58" t="s">
        <v>108</v>
      </c>
      <c r="H15" s="22"/>
      <c r="I15" s="22"/>
      <c r="J15" s="22"/>
      <c r="K15" s="22"/>
      <c r="L15" s="56"/>
      <c r="N15" s="58" t="s">
        <v>154</v>
      </c>
      <c r="O15" s="22"/>
      <c r="P15" s="22"/>
      <c r="Q15" s="22"/>
      <c r="R15" s="22"/>
      <c r="S15" s="56"/>
      <c r="U15" s="55"/>
      <c r="V15" s="22"/>
      <c r="W15" s="22"/>
      <c r="X15" s="22"/>
      <c r="Y15" s="22"/>
      <c r="Z15" s="56"/>
      <c r="AB15" s="58" t="s">
        <v>220</v>
      </c>
      <c r="AC15" s="22"/>
      <c r="AD15" s="22"/>
      <c r="AE15" s="22"/>
      <c r="AF15" s="22"/>
      <c r="AG15" s="56"/>
    </row>
    <row r="16" spans="1:33" x14ac:dyDescent="0.25">
      <c r="A16" s="61" t="s">
        <v>113</v>
      </c>
      <c r="B16" s="53"/>
      <c r="C16" s="53"/>
      <c r="D16" s="53"/>
      <c r="E16" s="54"/>
      <c r="G16" s="55" t="s">
        <v>109</v>
      </c>
      <c r="H16" s="22"/>
      <c r="I16" s="22"/>
      <c r="J16" s="22"/>
      <c r="K16" s="22"/>
      <c r="L16" s="56"/>
      <c r="N16" s="55" t="s">
        <v>155</v>
      </c>
      <c r="O16" s="22"/>
      <c r="P16" s="22"/>
      <c r="Q16" s="22"/>
      <c r="R16" s="22"/>
      <c r="S16" s="56"/>
      <c r="U16" s="58" t="s">
        <v>189</v>
      </c>
      <c r="V16" s="22"/>
      <c r="W16" s="22"/>
      <c r="X16" s="22"/>
      <c r="Y16" s="22"/>
      <c r="Z16" s="56"/>
      <c r="AB16" s="58" t="s">
        <v>221</v>
      </c>
      <c r="AC16" s="22"/>
      <c r="AD16" s="22"/>
      <c r="AE16" s="22"/>
      <c r="AF16" s="22"/>
      <c r="AG16" s="56"/>
    </row>
    <row r="17" spans="1:33" ht="15.75" thickBot="1" x14ac:dyDescent="0.3">
      <c r="A17" s="55"/>
      <c r="B17" s="22"/>
      <c r="C17" s="22"/>
      <c r="D17" s="22"/>
      <c r="E17" s="56"/>
      <c r="G17" s="58" t="s">
        <v>110</v>
      </c>
      <c r="H17" s="22"/>
      <c r="I17" s="22"/>
      <c r="J17" s="22"/>
      <c r="K17" s="22"/>
      <c r="L17" s="56"/>
      <c r="N17" s="58" t="s">
        <v>156</v>
      </c>
      <c r="O17" s="22"/>
      <c r="P17" s="22"/>
      <c r="Q17" s="22"/>
      <c r="R17" s="22"/>
      <c r="S17" s="56"/>
      <c r="U17" s="55" t="s">
        <v>190</v>
      </c>
      <c r="V17" s="22"/>
      <c r="W17" s="22"/>
      <c r="X17" s="22"/>
      <c r="Y17" s="22"/>
      <c r="Z17" s="56"/>
      <c r="AB17" s="59" t="s">
        <v>222</v>
      </c>
      <c r="AC17" s="28"/>
      <c r="AD17" s="28"/>
      <c r="AE17" s="28"/>
      <c r="AF17" s="28"/>
      <c r="AG17" s="60"/>
    </row>
    <row r="18" spans="1:33" x14ac:dyDescent="0.25">
      <c r="A18" s="55" t="s">
        <v>114</v>
      </c>
      <c r="B18" s="22"/>
      <c r="C18" s="22"/>
      <c r="D18" s="22"/>
      <c r="E18" s="56"/>
      <c r="G18" s="55" t="s">
        <v>111</v>
      </c>
      <c r="H18" s="22"/>
      <c r="I18" s="22"/>
      <c r="J18" s="22"/>
      <c r="K18" s="22"/>
      <c r="L18" s="56"/>
      <c r="N18" s="58" t="s">
        <v>157</v>
      </c>
      <c r="O18" s="22"/>
      <c r="P18" s="22"/>
      <c r="Q18" s="22"/>
      <c r="R18" s="22"/>
      <c r="S18" s="56"/>
      <c r="U18" s="58" t="s">
        <v>879</v>
      </c>
      <c r="V18" s="22"/>
      <c r="W18" s="22"/>
      <c r="X18" s="22"/>
      <c r="Y18" s="22"/>
      <c r="Z18" s="56"/>
    </row>
    <row r="19" spans="1:33" ht="15.75" thickBot="1" x14ac:dyDescent="0.3">
      <c r="A19" s="55"/>
      <c r="B19" s="22"/>
      <c r="C19" s="22"/>
      <c r="D19" s="22"/>
      <c r="E19" s="56"/>
      <c r="G19" s="62" t="s">
        <v>112</v>
      </c>
      <c r="H19" s="28"/>
      <c r="I19" s="28"/>
      <c r="J19" s="28"/>
      <c r="K19" s="28"/>
      <c r="L19" s="60"/>
      <c r="N19" s="55" t="s">
        <v>158</v>
      </c>
      <c r="O19" s="22"/>
      <c r="P19" s="22"/>
      <c r="Q19" s="22"/>
      <c r="R19" s="22"/>
      <c r="S19" s="56"/>
      <c r="U19" s="58" t="s">
        <v>191</v>
      </c>
      <c r="V19" s="22"/>
      <c r="W19" s="22"/>
      <c r="X19" s="22"/>
      <c r="Y19" s="22"/>
      <c r="Z19" s="56"/>
    </row>
    <row r="20" spans="1:33" x14ac:dyDescent="0.25">
      <c r="A20" s="55" t="s">
        <v>115</v>
      </c>
      <c r="B20" s="22"/>
      <c r="C20" s="22"/>
      <c r="D20" s="22"/>
      <c r="E20" s="56"/>
      <c r="N20" s="58" t="s">
        <v>159</v>
      </c>
      <c r="O20" s="22"/>
      <c r="P20" s="22"/>
      <c r="Q20" s="22"/>
      <c r="R20" s="22"/>
      <c r="S20" s="56"/>
      <c r="U20" s="58" t="s">
        <v>192</v>
      </c>
      <c r="V20" s="22"/>
      <c r="W20" s="22"/>
      <c r="X20" s="22"/>
      <c r="Y20" s="22"/>
      <c r="Z20" s="56"/>
      <c r="AB20" s="52" t="s">
        <v>223</v>
      </c>
      <c r="AC20" s="53"/>
      <c r="AD20" s="53"/>
      <c r="AE20" s="53"/>
      <c r="AF20" s="54"/>
    </row>
    <row r="21" spans="1:33" ht="15.75" thickBot="1" x14ac:dyDescent="0.3">
      <c r="A21" s="58" t="s">
        <v>117</v>
      </c>
      <c r="B21" s="22"/>
      <c r="C21" s="22"/>
      <c r="D21" s="22"/>
      <c r="E21" s="56"/>
      <c r="N21" s="55" t="s">
        <v>160</v>
      </c>
      <c r="O21" s="22"/>
      <c r="P21" s="22"/>
      <c r="Q21" s="22"/>
      <c r="R21" s="22"/>
      <c r="S21" s="56"/>
      <c r="U21" s="58" t="s">
        <v>193</v>
      </c>
      <c r="V21" s="22"/>
      <c r="W21" s="22"/>
      <c r="X21" s="22"/>
      <c r="Y21" s="22"/>
      <c r="Z21" s="56"/>
      <c r="AB21" s="55"/>
      <c r="AC21" s="22"/>
      <c r="AD21" s="22"/>
      <c r="AE21" s="22"/>
      <c r="AF21" s="56"/>
    </row>
    <row r="22" spans="1:33" x14ac:dyDescent="0.25">
      <c r="A22" s="58" t="s">
        <v>116</v>
      </c>
      <c r="B22" s="22"/>
      <c r="C22" s="22"/>
      <c r="D22" s="22"/>
      <c r="E22" s="56"/>
      <c r="G22" s="52" t="s">
        <v>120</v>
      </c>
      <c r="H22" s="53"/>
      <c r="I22" s="53"/>
      <c r="J22" s="53"/>
      <c r="K22" s="53"/>
      <c r="L22" s="54"/>
      <c r="N22" s="55"/>
      <c r="O22" s="22"/>
      <c r="P22" s="22"/>
      <c r="Q22" s="22"/>
      <c r="R22" s="22"/>
      <c r="S22" s="56"/>
      <c r="U22" s="58" t="s">
        <v>194</v>
      </c>
      <c r="V22" s="22"/>
      <c r="W22" s="22"/>
      <c r="X22" s="22"/>
      <c r="Y22" s="22"/>
      <c r="Z22" s="56"/>
      <c r="AB22" s="58" t="s">
        <v>224</v>
      </c>
      <c r="AC22" s="22"/>
      <c r="AD22" s="22"/>
      <c r="AE22" s="22"/>
      <c r="AF22" s="56"/>
    </row>
    <row r="23" spans="1:33" x14ac:dyDescent="0.25">
      <c r="A23" s="55" t="s">
        <v>109</v>
      </c>
      <c r="B23" s="22"/>
      <c r="C23" s="22"/>
      <c r="D23" s="22"/>
      <c r="E23" s="56"/>
      <c r="G23" s="55"/>
      <c r="H23" s="22"/>
      <c r="I23" s="22"/>
      <c r="J23" s="22"/>
      <c r="K23" s="22"/>
      <c r="L23" s="56"/>
      <c r="N23" s="58" t="s">
        <v>163</v>
      </c>
      <c r="O23" s="22"/>
      <c r="P23" s="22"/>
      <c r="Q23" s="22"/>
      <c r="R23" s="22"/>
      <c r="S23" s="56"/>
      <c r="U23" s="58" t="s">
        <v>195</v>
      </c>
      <c r="V23" s="22"/>
      <c r="W23" s="22"/>
      <c r="X23" s="22"/>
      <c r="Y23" s="22"/>
      <c r="Z23" s="56"/>
      <c r="AB23" s="58" t="s">
        <v>225</v>
      </c>
      <c r="AC23" s="22"/>
      <c r="AD23" s="22"/>
      <c r="AE23" s="22"/>
      <c r="AF23" s="56"/>
    </row>
    <row r="24" spans="1:33" ht="15.75" thickBot="1" x14ac:dyDescent="0.3">
      <c r="A24" s="58" t="s">
        <v>118</v>
      </c>
      <c r="B24" s="22"/>
      <c r="C24" s="22"/>
      <c r="D24" s="22"/>
      <c r="E24" s="56"/>
      <c r="G24" s="58" t="s">
        <v>139</v>
      </c>
      <c r="H24" s="22"/>
      <c r="I24" s="22"/>
      <c r="J24" s="22"/>
      <c r="K24" s="22"/>
      <c r="L24" s="56"/>
      <c r="N24" s="59"/>
      <c r="O24" s="28"/>
      <c r="P24" s="28"/>
      <c r="Q24" s="28"/>
      <c r="R24" s="28"/>
      <c r="S24" s="60"/>
      <c r="U24" s="55"/>
      <c r="V24" s="22"/>
      <c r="W24" s="22"/>
      <c r="X24" s="22"/>
      <c r="Y24" s="22"/>
      <c r="Z24" s="56"/>
      <c r="AB24" s="58" t="s">
        <v>226</v>
      </c>
      <c r="AC24" s="22"/>
      <c r="AD24" s="22"/>
      <c r="AE24" s="22"/>
      <c r="AF24" s="56"/>
    </row>
    <row r="25" spans="1:33" ht="15.75" thickBot="1" x14ac:dyDescent="0.3">
      <c r="A25" s="62" t="s">
        <v>119</v>
      </c>
      <c r="B25" s="28"/>
      <c r="C25" s="28"/>
      <c r="D25" s="28"/>
      <c r="E25" s="60"/>
      <c r="G25" s="58" t="s">
        <v>140</v>
      </c>
      <c r="H25" s="22"/>
      <c r="I25" s="22"/>
      <c r="J25" s="22"/>
      <c r="K25" s="22"/>
      <c r="L25" s="56"/>
      <c r="U25" s="55" t="s">
        <v>196</v>
      </c>
      <c r="V25" s="22"/>
      <c r="W25" s="22"/>
      <c r="X25" s="22"/>
      <c r="Y25" s="22"/>
      <c r="Z25" s="56"/>
      <c r="AB25" s="58" t="s">
        <v>227</v>
      </c>
      <c r="AC25" s="22"/>
      <c r="AD25" s="22"/>
      <c r="AE25" s="22"/>
      <c r="AF25" s="56"/>
    </row>
    <row r="26" spans="1:33" x14ac:dyDescent="0.25">
      <c r="G26" s="58" t="s">
        <v>141</v>
      </c>
      <c r="H26" s="22"/>
      <c r="I26" s="22"/>
      <c r="J26" s="22"/>
      <c r="K26" s="22"/>
      <c r="L26" s="56"/>
      <c r="N26" s="52" t="s">
        <v>164</v>
      </c>
      <c r="O26" s="53"/>
      <c r="P26" s="53"/>
      <c r="Q26" s="53"/>
      <c r="R26" s="53"/>
      <c r="S26" s="54"/>
      <c r="U26" s="55" t="s">
        <v>197</v>
      </c>
      <c r="V26" s="22"/>
      <c r="W26" s="22"/>
      <c r="X26" s="22"/>
      <c r="Y26" s="22"/>
      <c r="Z26" s="56"/>
      <c r="AB26" s="58" t="s">
        <v>228</v>
      </c>
      <c r="AC26" s="22"/>
      <c r="AD26" s="22"/>
      <c r="AE26" s="22"/>
      <c r="AF26" s="56"/>
    </row>
    <row r="27" spans="1:33" ht="15.75" thickBot="1" x14ac:dyDescent="0.3">
      <c r="G27" s="58" t="s">
        <v>121</v>
      </c>
      <c r="H27" s="22"/>
      <c r="I27" s="22"/>
      <c r="J27" s="22"/>
      <c r="K27" s="22"/>
      <c r="L27" s="56"/>
      <c r="N27" s="58" t="s">
        <v>165</v>
      </c>
      <c r="O27" s="22"/>
      <c r="P27" s="22"/>
      <c r="Q27" s="22"/>
      <c r="R27" s="22"/>
      <c r="S27" s="56"/>
      <c r="U27" s="55"/>
      <c r="V27" s="22"/>
      <c r="W27" s="22"/>
      <c r="X27" s="22"/>
      <c r="Y27" s="22"/>
      <c r="Z27" s="56"/>
      <c r="AB27" s="62" t="s">
        <v>229</v>
      </c>
      <c r="AC27" s="28"/>
      <c r="AD27" s="28"/>
      <c r="AE27" s="28"/>
      <c r="AF27" s="60"/>
    </row>
    <row r="28" spans="1:33" x14ac:dyDescent="0.25">
      <c r="A28" s="52" t="s">
        <v>130</v>
      </c>
      <c r="B28" s="53"/>
      <c r="C28" s="53"/>
      <c r="D28" s="53"/>
      <c r="E28" s="54"/>
      <c r="G28" s="55"/>
      <c r="H28" s="22"/>
      <c r="I28" s="22"/>
      <c r="J28" s="22"/>
      <c r="K28" s="22"/>
      <c r="L28" s="56"/>
      <c r="N28" s="58" t="s">
        <v>170</v>
      </c>
      <c r="O28" s="22"/>
      <c r="P28" s="22"/>
      <c r="Q28" s="22"/>
      <c r="R28" s="22"/>
      <c r="S28" s="56"/>
      <c r="U28" s="58" t="s">
        <v>198</v>
      </c>
      <c r="V28" s="22"/>
      <c r="W28" s="22"/>
      <c r="X28" s="22"/>
      <c r="Y28" s="22"/>
      <c r="Z28" s="56"/>
    </row>
    <row r="29" spans="1:33" x14ac:dyDescent="0.25">
      <c r="A29" s="55"/>
      <c r="B29" s="22"/>
      <c r="C29" s="22"/>
      <c r="D29" s="22"/>
      <c r="E29" s="56"/>
      <c r="G29" s="58" t="s">
        <v>142</v>
      </c>
      <c r="H29" s="22"/>
      <c r="I29" s="22"/>
      <c r="J29" s="22"/>
      <c r="K29" s="22"/>
      <c r="L29" s="56"/>
      <c r="N29" s="58" t="s">
        <v>169</v>
      </c>
      <c r="O29" s="22"/>
      <c r="P29" s="22"/>
      <c r="Q29" s="22"/>
      <c r="R29" s="22"/>
      <c r="S29" s="56"/>
      <c r="U29" s="55" t="s">
        <v>136</v>
      </c>
      <c r="V29" s="22"/>
      <c r="W29" s="22"/>
      <c r="X29" s="22"/>
      <c r="Y29" s="22"/>
      <c r="Z29" s="56"/>
    </row>
    <row r="30" spans="1:33" x14ac:dyDescent="0.25">
      <c r="A30" s="58" t="s">
        <v>131</v>
      </c>
      <c r="B30" s="22"/>
      <c r="C30" s="22"/>
      <c r="D30" s="22"/>
      <c r="E30" s="56"/>
      <c r="G30" s="58" t="s">
        <v>122</v>
      </c>
      <c r="H30" s="22"/>
      <c r="I30" s="22"/>
      <c r="J30" s="22"/>
      <c r="K30" s="22"/>
      <c r="L30" s="56"/>
      <c r="N30" s="55" t="s">
        <v>166</v>
      </c>
      <c r="O30" s="22"/>
      <c r="P30" s="22"/>
      <c r="Q30" s="22"/>
      <c r="R30" s="22"/>
      <c r="S30" s="56"/>
      <c r="U30" s="58" t="s">
        <v>199</v>
      </c>
      <c r="V30" s="22"/>
      <c r="W30" s="22"/>
      <c r="X30" s="22"/>
      <c r="Y30" s="22"/>
      <c r="Z30" s="56"/>
    </row>
    <row r="31" spans="1:33" ht="15.75" thickBot="1" x14ac:dyDescent="0.3">
      <c r="A31" s="55" t="s">
        <v>132</v>
      </c>
      <c r="B31" s="22"/>
      <c r="C31" s="22"/>
      <c r="D31" s="22"/>
      <c r="E31" s="56"/>
      <c r="G31" s="55"/>
      <c r="H31" s="22"/>
      <c r="I31" s="22"/>
      <c r="J31" s="22"/>
      <c r="K31" s="22"/>
      <c r="L31" s="56"/>
      <c r="N31" s="58" t="s">
        <v>168</v>
      </c>
      <c r="O31" s="22"/>
      <c r="P31" s="22"/>
      <c r="Q31" s="22"/>
      <c r="R31" s="22"/>
      <c r="S31" s="56"/>
      <c r="U31" s="59" t="s">
        <v>200</v>
      </c>
      <c r="V31" s="28"/>
      <c r="W31" s="28"/>
      <c r="X31" s="28"/>
      <c r="Y31" s="28"/>
      <c r="Z31" s="60"/>
    </row>
    <row r="32" spans="1:33" ht="15.75" thickBot="1" x14ac:dyDescent="0.3">
      <c r="A32" s="58" t="s">
        <v>133</v>
      </c>
      <c r="B32" s="22"/>
      <c r="C32" s="22"/>
      <c r="D32" s="22"/>
      <c r="E32" s="56"/>
      <c r="G32" s="58" t="s">
        <v>143</v>
      </c>
      <c r="H32" s="22"/>
      <c r="I32" s="22"/>
      <c r="J32" s="22"/>
      <c r="K32" s="22"/>
      <c r="L32" s="56"/>
      <c r="N32" s="59" t="s">
        <v>167</v>
      </c>
      <c r="O32" s="28"/>
      <c r="P32" s="28"/>
      <c r="Q32" s="28"/>
      <c r="R32" s="28"/>
      <c r="S32" s="60"/>
    </row>
    <row r="33" spans="1:26" ht="15.75" thickBot="1" x14ac:dyDescent="0.3">
      <c r="A33" s="55" t="s">
        <v>134</v>
      </c>
      <c r="B33" s="22"/>
      <c r="C33" s="22"/>
      <c r="D33" s="22"/>
      <c r="E33" s="56"/>
      <c r="G33" s="55" t="s">
        <v>123</v>
      </c>
      <c r="H33" s="22"/>
      <c r="I33" s="22"/>
      <c r="J33" s="22"/>
      <c r="K33" s="22"/>
      <c r="L33" s="56"/>
    </row>
    <row r="34" spans="1:26" ht="15.75" thickBot="1" x14ac:dyDescent="0.3">
      <c r="A34" s="58" t="s">
        <v>135</v>
      </c>
      <c r="B34" s="22"/>
      <c r="C34" s="22"/>
      <c r="D34" s="22"/>
      <c r="E34" s="56"/>
      <c r="G34" s="55"/>
      <c r="H34" s="22"/>
      <c r="I34" s="22"/>
      <c r="J34" s="22"/>
      <c r="K34" s="22"/>
      <c r="L34" s="56"/>
      <c r="U34" s="52" t="s">
        <v>201</v>
      </c>
      <c r="V34" s="53"/>
      <c r="W34" s="53"/>
      <c r="X34" s="53"/>
      <c r="Y34" s="53"/>
      <c r="Z34" s="54"/>
    </row>
    <row r="35" spans="1:26" x14ac:dyDescent="0.25">
      <c r="A35" s="55" t="s">
        <v>136</v>
      </c>
      <c r="B35" s="22"/>
      <c r="C35" s="22"/>
      <c r="D35" s="22"/>
      <c r="E35" s="56"/>
      <c r="G35" s="58" t="s">
        <v>144</v>
      </c>
      <c r="H35" s="22"/>
      <c r="I35" s="22"/>
      <c r="J35" s="22"/>
      <c r="K35" s="22"/>
      <c r="L35" s="56"/>
      <c r="N35" s="52" t="s">
        <v>130</v>
      </c>
      <c r="O35" s="53"/>
      <c r="P35" s="53"/>
      <c r="Q35" s="53"/>
      <c r="R35" s="53"/>
      <c r="S35" s="54"/>
      <c r="U35" s="58" t="s">
        <v>202</v>
      </c>
      <c r="V35" s="22"/>
      <c r="W35" s="22"/>
      <c r="X35" s="22"/>
      <c r="Y35" s="22"/>
      <c r="Z35" s="56"/>
    </row>
    <row r="36" spans="1:26" x14ac:dyDescent="0.25">
      <c r="A36" s="58" t="s">
        <v>137</v>
      </c>
      <c r="B36" s="22"/>
      <c r="C36" s="22"/>
      <c r="D36" s="22"/>
      <c r="E36" s="56"/>
      <c r="G36" s="55" t="s">
        <v>124</v>
      </c>
      <c r="H36" s="22"/>
      <c r="I36" s="22"/>
      <c r="J36" s="22"/>
      <c r="K36" s="22"/>
      <c r="L36" s="56"/>
      <c r="N36" s="58" t="s">
        <v>171</v>
      </c>
      <c r="O36" s="22"/>
      <c r="P36" s="22"/>
      <c r="Q36" s="22"/>
      <c r="R36" s="22"/>
      <c r="S36" s="56"/>
      <c r="U36" s="55" t="s">
        <v>203</v>
      </c>
      <c r="V36" s="22"/>
      <c r="W36" s="22"/>
      <c r="X36" s="22"/>
      <c r="Y36" s="22"/>
      <c r="Z36" s="56"/>
    </row>
    <row r="37" spans="1:26" ht="15.75" thickBot="1" x14ac:dyDescent="0.3">
      <c r="A37" s="59" t="s">
        <v>138</v>
      </c>
      <c r="B37" s="28"/>
      <c r="C37" s="28"/>
      <c r="D37" s="28"/>
      <c r="E37" s="60"/>
      <c r="G37" s="58" t="s">
        <v>125</v>
      </c>
      <c r="H37" s="22"/>
      <c r="I37" s="22"/>
      <c r="J37" s="22"/>
      <c r="K37" s="22"/>
      <c r="L37" s="56"/>
      <c r="N37" s="58" t="s">
        <v>172</v>
      </c>
      <c r="O37" s="22"/>
      <c r="P37" s="22"/>
      <c r="Q37" s="22"/>
      <c r="R37" s="22"/>
      <c r="S37" s="56"/>
      <c r="U37" s="55" t="s">
        <v>204</v>
      </c>
      <c r="V37" s="22"/>
      <c r="W37" s="22"/>
      <c r="X37" s="22"/>
      <c r="Y37" s="22"/>
      <c r="Z37" s="56"/>
    </row>
    <row r="38" spans="1:26" x14ac:dyDescent="0.25">
      <c r="G38" s="58" t="s">
        <v>126</v>
      </c>
      <c r="H38" s="22"/>
      <c r="I38" s="22"/>
      <c r="J38" s="22"/>
      <c r="K38" s="22"/>
      <c r="L38" s="56"/>
      <c r="N38" s="58" t="s">
        <v>177</v>
      </c>
      <c r="O38" s="22"/>
      <c r="P38" s="22"/>
      <c r="Q38" s="22"/>
      <c r="R38" s="22"/>
      <c r="S38" s="56"/>
      <c r="U38" s="58" t="s">
        <v>205</v>
      </c>
      <c r="V38" s="22"/>
      <c r="W38" s="22"/>
      <c r="X38" s="22"/>
      <c r="Y38" s="22"/>
      <c r="Z38" s="56"/>
    </row>
    <row r="39" spans="1:26" x14ac:dyDescent="0.25">
      <c r="G39" s="58" t="s">
        <v>127</v>
      </c>
      <c r="H39" s="22"/>
      <c r="I39" s="22"/>
      <c r="J39" s="22"/>
      <c r="K39" s="22"/>
      <c r="L39" s="56"/>
      <c r="N39" s="58" t="s">
        <v>173</v>
      </c>
      <c r="O39" s="22"/>
      <c r="P39" s="22"/>
      <c r="Q39" s="22"/>
      <c r="R39" s="22"/>
      <c r="S39" s="56"/>
      <c r="U39" s="58" t="s">
        <v>206</v>
      </c>
      <c r="V39" s="22"/>
      <c r="W39" s="22"/>
      <c r="X39" s="22"/>
      <c r="Y39" s="22"/>
      <c r="Z39" s="56"/>
    </row>
    <row r="40" spans="1:26" x14ac:dyDescent="0.25">
      <c r="G40" s="58" t="s">
        <v>128</v>
      </c>
      <c r="H40" s="22"/>
      <c r="I40" s="22"/>
      <c r="J40" s="22"/>
      <c r="K40" s="22"/>
      <c r="L40" s="56"/>
      <c r="N40" s="58" t="s">
        <v>178</v>
      </c>
      <c r="O40" s="22"/>
      <c r="P40" s="22"/>
      <c r="Q40" s="22"/>
      <c r="R40" s="22"/>
      <c r="S40" s="56"/>
      <c r="U40" s="58" t="s">
        <v>207</v>
      </c>
      <c r="V40" s="22"/>
      <c r="W40" s="22"/>
      <c r="X40" s="22"/>
      <c r="Y40" s="22"/>
      <c r="Z40" s="56"/>
    </row>
    <row r="41" spans="1:26" ht="15.75" thickBot="1" x14ac:dyDescent="0.3">
      <c r="G41" s="55"/>
      <c r="H41" s="22"/>
      <c r="I41" s="22"/>
      <c r="J41" s="22"/>
      <c r="K41" s="22"/>
      <c r="L41" s="56"/>
      <c r="N41" s="58" t="s">
        <v>174</v>
      </c>
      <c r="O41" s="22"/>
      <c r="P41" s="22"/>
      <c r="Q41" s="22"/>
      <c r="R41" s="22"/>
      <c r="S41" s="56"/>
      <c r="U41" s="62" t="s">
        <v>208</v>
      </c>
      <c r="V41" s="28"/>
      <c r="W41" s="28"/>
      <c r="X41" s="28"/>
      <c r="Y41" s="28"/>
      <c r="Z41" s="60"/>
    </row>
    <row r="42" spans="1:26" ht="15.75" thickBot="1" x14ac:dyDescent="0.3">
      <c r="G42" s="62" t="s">
        <v>129</v>
      </c>
      <c r="H42" s="28"/>
      <c r="I42" s="28"/>
      <c r="J42" s="28"/>
      <c r="K42" s="28"/>
      <c r="L42" s="60"/>
      <c r="N42" s="55" t="s">
        <v>175</v>
      </c>
      <c r="O42" s="22"/>
      <c r="P42" s="22"/>
      <c r="Q42" s="22"/>
      <c r="R42" s="22"/>
      <c r="S42" s="56"/>
    </row>
    <row r="43" spans="1:26" ht="15.75" thickBot="1" x14ac:dyDescent="0.3">
      <c r="N43" s="59" t="s">
        <v>176</v>
      </c>
      <c r="O43" s="28"/>
      <c r="P43" s="28"/>
      <c r="Q43" s="28"/>
      <c r="R43" s="28"/>
      <c r="S43" s="6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E64FB5-8C00-4E17-81EE-A46DC710A0A0}">
  <dimension ref="A1:O73"/>
  <sheetViews>
    <sheetView topLeftCell="A30" workbookViewId="0">
      <selection activeCell="F38" sqref="F38"/>
    </sheetView>
  </sheetViews>
  <sheetFormatPr defaultRowHeight="15" x14ac:dyDescent="0.25"/>
  <cols>
    <col min="12" max="12" width="9.140625" customWidth="1"/>
  </cols>
  <sheetData>
    <row r="1" spans="8:14" ht="15.75" thickBot="1" x14ac:dyDescent="0.3"/>
    <row r="2" spans="8:14" x14ac:dyDescent="0.25">
      <c r="H2" s="52" t="s">
        <v>463</v>
      </c>
      <c r="I2" s="53"/>
      <c r="J2" s="53"/>
      <c r="K2" s="53"/>
      <c r="L2" s="53"/>
      <c r="M2" s="54"/>
    </row>
    <row r="3" spans="8:14" x14ac:dyDescent="0.25">
      <c r="H3" s="55"/>
      <c r="I3" s="22"/>
      <c r="J3" s="22"/>
      <c r="K3" s="22"/>
      <c r="L3" s="22"/>
      <c r="M3" s="56"/>
    </row>
    <row r="4" spans="8:14" x14ac:dyDescent="0.25">
      <c r="H4" s="57" t="s">
        <v>464</v>
      </c>
      <c r="I4" s="22"/>
      <c r="J4" s="22"/>
      <c r="K4" s="22"/>
      <c r="L4" s="22"/>
      <c r="M4" s="56"/>
    </row>
    <row r="5" spans="8:14" x14ac:dyDescent="0.25">
      <c r="H5" s="55"/>
      <c r="I5" s="22"/>
      <c r="J5" s="22"/>
      <c r="K5" s="22"/>
      <c r="L5" s="22"/>
      <c r="M5" s="56"/>
    </row>
    <row r="6" spans="8:14" x14ac:dyDescent="0.25">
      <c r="H6" s="57" t="s">
        <v>274</v>
      </c>
      <c r="I6" s="22"/>
      <c r="J6" s="22"/>
      <c r="K6" s="22"/>
      <c r="L6" s="22"/>
      <c r="M6" s="56"/>
    </row>
    <row r="7" spans="8:14" x14ac:dyDescent="0.25">
      <c r="H7" s="57" t="s">
        <v>17</v>
      </c>
      <c r="I7" s="22"/>
      <c r="J7" s="22"/>
      <c r="K7" s="22"/>
      <c r="L7" s="22"/>
      <c r="M7" s="56"/>
      <c r="N7">
        <f>(2/100)*10000</f>
        <v>200</v>
      </c>
    </row>
    <row r="8" spans="8:14" ht="15.75" thickBot="1" x14ac:dyDescent="0.3">
      <c r="H8" s="58" t="s">
        <v>465</v>
      </c>
      <c r="I8" s="22"/>
      <c r="J8" s="22"/>
      <c r="K8" s="22"/>
      <c r="L8" s="28">
        <f>(10000+6500+2000)-(720+550+400)-(N7+N8+N9)</f>
        <v>16072</v>
      </c>
      <c r="M8" s="56"/>
      <c r="N8">
        <f>(4/100)*(6500-550)</f>
        <v>238</v>
      </c>
    </row>
    <row r="9" spans="8:14" x14ac:dyDescent="0.25">
      <c r="H9" s="55"/>
      <c r="I9" s="22"/>
      <c r="J9" s="22"/>
      <c r="K9" s="22"/>
      <c r="L9" s="22"/>
      <c r="M9" s="56">
        <f>L8</f>
        <v>16072</v>
      </c>
      <c r="N9">
        <f>(20/100)*(2000-400)</f>
        <v>320</v>
      </c>
    </row>
    <row r="10" spans="8:14" x14ac:dyDescent="0.25">
      <c r="H10" s="55"/>
      <c r="I10" s="22"/>
      <c r="J10" s="22"/>
      <c r="K10" s="22"/>
      <c r="L10" s="22"/>
      <c r="M10" s="56"/>
    </row>
    <row r="11" spans="8:14" x14ac:dyDescent="0.25">
      <c r="H11" s="57" t="s">
        <v>18</v>
      </c>
      <c r="I11" s="22"/>
      <c r="J11" s="22"/>
      <c r="K11" s="22"/>
      <c r="L11" s="22"/>
      <c r="M11" s="56"/>
    </row>
    <row r="12" spans="8:14" x14ac:dyDescent="0.25">
      <c r="H12" s="58" t="s">
        <v>466</v>
      </c>
      <c r="I12" s="22"/>
      <c r="J12" s="22"/>
      <c r="K12" s="22"/>
      <c r="L12" s="22">
        <v>1200</v>
      </c>
      <c r="M12" s="56"/>
    </row>
    <row r="13" spans="8:14" x14ac:dyDescent="0.25">
      <c r="H13" s="58" t="s">
        <v>467</v>
      </c>
      <c r="I13" s="22"/>
      <c r="J13" s="22"/>
      <c r="K13" s="22"/>
      <c r="L13" s="22">
        <f>1280-200</f>
        <v>1080</v>
      </c>
      <c r="M13" s="56"/>
    </row>
    <row r="14" spans="8:14" x14ac:dyDescent="0.25">
      <c r="H14" s="58" t="s">
        <v>468</v>
      </c>
      <c r="I14" s="22"/>
      <c r="J14" s="22"/>
      <c r="K14" s="22"/>
      <c r="L14" s="22">
        <f>-(1280-200)*(5/100)</f>
        <v>-54</v>
      </c>
      <c r="M14" s="56"/>
    </row>
    <row r="15" spans="8:14" x14ac:dyDescent="0.25">
      <c r="H15" s="55"/>
      <c r="I15" s="22"/>
      <c r="J15" s="22"/>
      <c r="K15" s="22"/>
      <c r="L15" s="22" t="s">
        <v>488</v>
      </c>
      <c r="M15" s="56"/>
    </row>
    <row r="16" spans="8:14" x14ac:dyDescent="0.25">
      <c r="H16" s="58" t="s">
        <v>469</v>
      </c>
      <c r="I16" s="22"/>
      <c r="J16" s="22"/>
      <c r="K16" s="22"/>
      <c r="L16" s="22">
        <f>(80+70)</f>
        <v>150</v>
      </c>
      <c r="M16" s="56"/>
    </row>
    <row r="17" spans="8:14" ht="15.75" thickBot="1" x14ac:dyDescent="0.3">
      <c r="H17" s="58" t="s">
        <v>470</v>
      </c>
      <c r="I17" s="22"/>
      <c r="J17" s="22"/>
      <c r="K17" s="22"/>
      <c r="L17" s="28">
        <f>-600+5000+500</f>
        <v>4900</v>
      </c>
      <c r="M17" s="56"/>
    </row>
    <row r="18" spans="8:14" ht="15.75" thickBot="1" x14ac:dyDescent="0.3">
      <c r="H18" s="55"/>
      <c r="I18" s="22"/>
      <c r="J18" s="22"/>
      <c r="K18" s="22"/>
      <c r="L18" s="22"/>
      <c r="M18" s="60">
        <f>L17+L16+L14+L13+L12</f>
        <v>7276</v>
      </c>
    </row>
    <row r="19" spans="8:14" x14ac:dyDescent="0.25">
      <c r="H19" s="55"/>
      <c r="I19" s="22"/>
      <c r="J19" s="22"/>
      <c r="K19" s="22"/>
      <c r="L19" s="22"/>
      <c r="M19" s="56">
        <f>M9+M18</f>
        <v>23348</v>
      </c>
    </row>
    <row r="20" spans="8:14" x14ac:dyDescent="0.25">
      <c r="H20" s="57" t="s">
        <v>471</v>
      </c>
      <c r="I20" s="22"/>
      <c r="J20" s="22"/>
      <c r="K20" s="22"/>
      <c r="L20" s="22"/>
      <c r="M20" s="56"/>
    </row>
    <row r="21" spans="8:14" x14ac:dyDescent="0.25">
      <c r="H21" s="55"/>
      <c r="I21" s="22"/>
      <c r="J21" s="22"/>
      <c r="K21" s="22"/>
      <c r="L21" s="22"/>
      <c r="M21" s="56"/>
    </row>
    <row r="22" spans="8:14" x14ac:dyDescent="0.25">
      <c r="H22" s="57" t="s">
        <v>489</v>
      </c>
      <c r="I22" s="22"/>
      <c r="J22" s="22"/>
      <c r="K22" s="22"/>
      <c r="L22" s="22"/>
      <c r="M22" s="56"/>
    </row>
    <row r="23" spans="8:14" x14ac:dyDescent="0.25">
      <c r="H23" s="57" t="s">
        <v>472</v>
      </c>
      <c r="I23" s="22"/>
      <c r="J23" s="22"/>
      <c r="K23" s="22"/>
      <c r="L23" s="22"/>
      <c r="M23" s="56"/>
    </row>
    <row r="24" spans="8:14" x14ac:dyDescent="0.25">
      <c r="H24" s="58" t="s">
        <v>473</v>
      </c>
      <c r="I24" s="22"/>
      <c r="J24" s="22"/>
      <c r="K24" s="22"/>
      <c r="L24" s="22">
        <v>12000</v>
      </c>
      <c r="M24" s="56"/>
    </row>
    <row r="25" spans="8:14" x14ac:dyDescent="0.25">
      <c r="H25" s="58" t="s">
        <v>474</v>
      </c>
      <c r="I25" s="22"/>
      <c r="J25" s="22"/>
      <c r="K25" s="22"/>
      <c r="L25" s="22">
        <v>6000</v>
      </c>
      <c r="M25" s="56"/>
    </row>
    <row r="26" spans="8:14" x14ac:dyDescent="0.25">
      <c r="H26" s="58" t="s">
        <v>491</v>
      </c>
      <c r="I26" s="22"/>
      <c r="J26" s="22"/>
      <c r="K26" s="22"/>
      <c r="L26" s="22">
        <v>600</v>
      </c>
      <c r="M26" s="56"/>
    </row>
    <row r="27" spans="8:14" ht="15.75" thickBot="1" x14ac:dyDescent="0.3">
      <c r="H27" s="58" t="s">
        <v>475</v>
      </c>
      <c r="I27" s="22"/>
      <c r="J27" s="22"/>
      <c r="K27" s="22"/>
      <c r="L27" s="28">
        <f>4000-2052-570</f>
        <v>1378</v>
      </c>
      <c r="M27" s="56"/>
      <c r="N27" s="10" t="s">
        <v>490</v>
      </c>
    </row>
    <row r="28" spans="8:14" x14ac:dyDescent="0.25">
      <c r="H28" s="55"/>
      <c r="I28" s="22"/>
      <c r="J28" s="22"/>
      <c r="K28" s="22"/>
      <c r="L28" s="22"/>
      <c r="M28" s="56"/>
    </row>
    <row r="29" spans="8:14" x14ac:dyDescent="0.25">
      <c r="H29" s="57" t="s">
        <v>476</v>
      </c>
      <c r="I29" s="22"/>
      <c r="J29" s="22"/>
      <c r="K29" s="22"/>
      <c r="L29" s="22"/>
      <c r="M29" s="56">
        <f>L26+L25+L24+L27</f>
        <v>19978</v>
      </c>
    </row>
    <row r="30" spans="8:14" x14ac:dyDescent="0.25">
      <c r="H30" s="55"/>
      <c r="I30" s="22"/>
      <c r="J30" s="22"/>
      <c r="K30" s="22"/>
      <c r="L30" s="22"/>
      <c r="M30" s="56"/>
    </row>
    <row r="31" spans="8:14" x14ac:dyDescent="0.25">
      <c r="H31" s="57" t="s">
        <v>477</v>
      </c>
      <c r="I31" s="22"/>
      <c r="J31" s="22"/>
      <c r="K31" s="22"/>
      <c r="L31" s="22"/>
      <c r="M31" s="56"/>
    </row>
    <row r="32" spans="8:14" x14ac:dyDescent="0.25">
      <c r="H32" s="58" t="s">
        <v>478</v>
      </c>
      <c r="I32" s="22"/>
      <c r="J32" s="22"/>
      <c r="K32" s="22"/>
      <c r="L32" s="22">
        <v>800</v>
      </c>
      <c r="M32" s="56"/>
      <c r="N32" t="s">
        <v>492</v>
      </c>
    </row>
    <row r="33" spans="1:14" x14ac:dyDescent="0.25">
      <c r="H33" s="58" t="s">
        <v>479</v>
      </c>
      <c r="I33" s="22"/>
      <c r="J33" s="22"/>
      <c r="K33" s="22"/>
      <c r="L33" s="22">
        <v>1000</v>
      </c>
      <c r="M33" s="56"/>
      <c r="N33" t="s">
        <v>492</v>
      </c>
    </row>
    <row r="34" spans="1:14" x14ac:dyDescent="0.25">
      <c r="H34" s="55"/>
      <c r="I34" s="22"/>
      <c r="J34" s="22"/>
      <c r="K34" s="22"/>
      <c r="L34" s="22"/>
      <c r="M34" s="56">
        <f>L33+L32</f>
        <v>1800</v>
      </c>
    </row>
    <row r="35" spans="1:14" x14ac:dyDescent="0.25">
      <c r="H35" s="57" t="s">
        <v>26</v>
      </c>
      <c r="I35" s="22"/>
      <c r="J35" s="22"/>
      <c r="K35" s="22"/>
      <c r="L35" s="22"/>
      <c r="M35" s="56"/>
    </row>
    <row r="36" spans="1:14" x14ac:dyDescent="0.25">
      <c r="H36" s="58" t="s">
        <v>480</v>
      </c>
      <c r="I36" s="22"/>
      <c r="J36" s="22"/>
      <c r="K36" s="22"/>
      <c r="L36" s="22">
        <f>320</f>
        <v>320</v>
      </c>
      <c r="M36" s="56"/>
      <c r="N36" t="s">
        <v>492</v>
      </c>
    </row>
    <row r="37" spans="1:14" ht="15.75" thickBot="1" x14ac:dyDescent="0.3">
      <c r="H37" s="58" t="s">
        <v>481</v>
      </c>
      <c r="I37" s="22"/>
      <c r="J37" s="22"/>
      <c r="K37" s="22"/>
      <c r="L37" s="22">
        <f>100+60+900</f>
        <v>1060</v>
      </c>
      <c r="M37" s="56"/>
      <c r="N37" t="s">
        <v>493</v>
      </c>
    </row>
    <row r="38" spans="1:14" x14ac:dyDescent="0.25">
      <c r="A38" s="61" t="s">
        <v>230</v>
      </c>
      <c r="B38" s="53"/>
      <c r="C38" s="53"/>
      <c r="D38" s="54"/>
      <c r="H38" s="58" t="s">
        <v>482</v>
      </c>
      <c r="I38" s="22"/>
      <c r="J38" s="22"/>
      <c r="K38" s="22"/>
      <c r="L38" s="22">
        <f>100-30</f>
        <v>70</v>
      </c>
      <c r="M38" s="56"/>
      <c r="N38" t="s">
        <v>494</v>
      </c>
    </row>
    <row r="39" spans="1:14" x14ac:dyDescent="0.25">
      <c r="A39" s="57"/>
      <c r="B39" s="22"/>
      <c r="C39" s="22"/>
      <c r="D39" s="56"/>
      <c r="H39" s="58" t="s">
        <v>483</v>
      </c>
      <c r="I39" s="22"/>
      <c r="J39" s="22"/>
      <c r="K39" s="22"/>
      <c r="L39" s="22">
        <f>120</f>
        <v>120</v>
      </c>
      <c r="M39" s="56"/>
      <c r="N39" t="s">
        <v>495</v>
      </c>
    </row>
    <row r="40" spans="1:14" x14ac:dyDescent="0.25">
      <c r="A40" s="57" t="s">
        <v>880</v>
      </c>
      <c r="B40" s="22"/>
      <c r="C40" s="22"/>
      <c r="D40" s="56"/>
      <c r="H40" s="58" t="s">
        <v>484</v>
      </c>
      <c r="I40" s="22"/>
      <c r="J40" s="22"/>
      <c r="K40" s="22"/>
      <c r="L40" s="22">
        <v>0</v>
      </c>
      <c r="M40" s="56"/>
    </row>
    <row r="41" spans="1:14" x14ac:dyDescent="0.25">
      <c r="A41" s="57" t="s">
        <v>881</v>
      </c>
      <c r="B41" s="22"/>
      <c r="C41" s="22"/>
      <c r="D41" s="56"/>
      <c r="H41" s="55"/>
      <c r="I41" s="22"/>
      <c r="J41" s="22"/>
      <c r="K41" s="22"/>
      <c r="L41" s="22"/>
      <c r="M41" s="56"/>
    </row>
    <row r="42" spans="1:14" x14ac:dyDescent="0.25">
      <c r="A42" s="57" t="s">
        <v>231</v>
      </c>
      <c r="B42" s="22"/>
      <c r="C42" s="22"/>
      <c r="D42" s="56"/>
      <c r="H42" s="57" t="s">
        <v>485</v>
      </c>
      <c r="I42" s="22"/>
      <c r="J42" s="22"/>
      <c r="K42" s="22"/>
      <c r="L42" s="22"/>
      <c r="M42" s="56">
        <f>L40+L39+L38+L37+L36</f>
        <v>1570</v>
      </c>
    </row>
    <row r="43" spans="1:14" ht="15.75" thickBot="1" x14ac:dyDescent="0.3">
      <c r="A43" s="55"/>
      <c r="B43" s="22"/>
      <c r="C43" s="22"/>
      <c r="D43" s="56"/>
      <c r="H43" s="64" t="s">
        <v>486</v>
      </c>
      <c r="I43" s="28"/>
      <c r="J43" s="28"/>
      <c r="K43" s="28"/>
      <c r="L43" s="28"/>
      <c r="M43" s="60">
        <f>M29+M34+M42</f>
        <v>23348</v>
      </c>
    </row>
    <row r="44" spans="1:14" x14ac:dyDescent="0.25">
      <c r="A44" s="55"/>
      <c r="B44" s="22"/>
      <c r="C44" s="22"/>
      <c r="D44" s="56" t="s">
        <v>232</v>
      </c>
    </row>
    <row r="45" spans="1:14" x14ac:dyDescent="0.25">
      <c r="A45" s="55" t="s">
        <v>3</v>
      </c>
      <c r="B45" s="22"/>
      <c r="C45" s="22"/>
      <c r="D45" s="56">
        <f>9000-150</f>
        <v>8850</v>
      </c>
      <c r="H45" s="1" t="s">
        <v>239</v>
      </c>
    </row>
    <row r="46" spans="1:14" ht="15.75" thickBot="1" x14ac:dyDescent="0.3">
      <c r="A46" s="55" t="s">
        <v>13</v>
      </c>
      <c r="B46" s="22"/>
      <c r="C46" s="22"/>
      <c r="D46" s="60">
        <f>K53</f>
        <v>8079</v>
      </c>
    </row>
    <row r="47" spans="1:14" x14ac:dyDescent="0.25">
      <c r="A47" s="55"/>
      <c r="B47" s="22"/>
      <c r="C47" s="22"/>
      <c r="D47" s="56"/>
      <c r="H47" t="s">
        <v>31</v>
      </c>
      <c r="K47">
        <v>1000</v>
      </c>
      <c r="L47" t="s">
        <v>242</v>
      </c>
    </row>
    <row r="48" spans="1:14" x14ac:dyDescent="0.25">
      <c r="A48" s="55" t="s">
        <v>4</v>
      </c>
      <c r="B48" s="22"/>
      <c r="C48" s="22"/>
      <c r="D48" s="56">
        <f>D45-D46</f>
        <v>771</v>
      </c>
      <c r="H48" t="s">
        <v>236</v>
      </c>
      <c r="K48">
        <v>7000</v>
      </c>
      <c r="L48" t="s">
        <v>242</v>
      </c>
    </row>
    <row r="49" spans="1:15" x14ac:dyDescent="0.25">
      <c r="A49" s="55"/>
      <c r="B49" s="22"/>
      <c r="C49" s="22"/>
      <c r="D49" s="56"/>
      <c r="H49" t="s">
        <v>237</v>
      </c>
      <c r="K49">
        <v>1200</v>
      </c>
      <c r="L49" t="s">
        <v>243</v>
      </c>
    </row>
    <row r="50" spans="1:15" x14ac:dyDescent="0.25">
      <c r="A50" s="55" t="s">
        <v>257</v>
      </c>
      <c r="B50" s="22"/>
      <c r="C50" s="22"/>
      <c r="D50" s="56">
        <f>J62</f>
        <v>999</v>
      </c>
      <c r="H50" t="s">
        <v>240</v>
      </c>
      <c r="K50">
        <v>900</v>
      </c>
      <c r="L50" t="s">
        <v>242</v>
      </c>
      <c r="N50" s="1" t="s">
        <v>244</v>
      </c>
    </row>
    <row r="51" spans="1:15" ht="15.75" thickBot="1" x14ac:dyDescent="0.3">
      <c r="A51" s="55" t="s">
        <v>258</v>
      </c>
      <c r="B51" s="22"/>
      <c r="C51" s="22"/>
      <c r="D51" s="56">
        <f>J73</f>
        <v>2224</v>
      </c>
      <c r="H51" t="s">
        <v>241</v>
      </c>
      <c r="K51" s="3">
        <f>(50/100)*(((2/100)*10000)+(4/100)*(6500-550)+((20/100)*(2000-400)))</f>
        <v>379</v>
      </c>
    </row>
    <row r="52" spans="1:15" x14ac:dyDescent="0.25">
      <c r="A52" s="55" t="s">
        <v>259</v>
      </c>
      <c r="B52" s="22"/>
      <c r="C52" s="22"/>
      <c r="D52" s="56">
        <f>O60</f>
        <v>100</v>
      </c>
    </row>
    <row r="53" spans="1:15" ht="15.75" thickBot="1" x14ac:dyDescent="0.3">
      <c r="A53" s="55" t="s">
        <v>233</v>
      </c>
      <c r="B53" s="22"/>
      <c r="C53" s="22"/>
      <c r="D53" s="60">
        <f>D48-(D50+D51+D52)</f>
        <v>-2552</v>
      </c>
      <c r="H53" t="s">
        <v>238</v>
      </c>
      <c r="K53">
        <f>K47+K48-K49+K50+K51</f>
        <v>8079</v>
      </c>
    </row>
    <row r="54" spans="1:15" x14ac:dyDescent="0.25">
      <c r="A54" s="55"/>
      <c r="B54" s="22"/>
      <c r="C54" s="22"/>
      <c r="D54" s="56"/>
    </row>
    <row r="55" spans="1:15" x14ac:dyDescent="0.25">
      <c r="A55" s="55" t="s">
        <v>234</v>
      </c>
      <c r="B55" s="22"/>
      <c r="C55" s="22"/>
      <c r="D55" s="56">
        <v>500</v>
      </c>
      <c r="E55" t="s">
        <v>243</v>
      </c>
    </row>
    <row r="56" spans="1:15" x14ac:dyDescent="0.25">
      <c r="A56" s="55"/>
      <c r="B56" s="22"/>
      <c r="C56" s="22"/>
      <c r="D56" s="56"/>
      <c r="H56" s="1" t="s">
        <v>245</v>
      </c>
      <c r="M56" s="1" t="s">
        <v>260</v>
      </c>
    </row>
    <row r="57" spans="1:15" ht="15.75" thickBot="1" x14ac:dyDescent="0.3">
      <c r="A57" s="59" t="s">
        <v>235</v>
      </c>
      <c r="B57" s="28"/>
      <c r="C57" s="28"/>
      <c r="D57" s="60">
        <f>D53+D55</f>
        <v>-2052</v>
      </c>
    </row>
    <row r="58" spans="1:15" x14ac:dyDescent="0.25">
      <c r="H58" t="s">
        <v>246</v>
      </c>
      <c r="J58">
        <v>600</v>
      </c>
      <c r="M58" t="s">
        <v>255</v>
      </c>
      <c r="O58">
        <v>60</v>
      </c>
    </row>
    <row r="59" spans="1:15" ht="15.75" thickBot="1" x14ac:dyDescent="0.3">
      <c r="H59" t="s">
        <v>247</v>
      </c>
      <c r="J59">
        <v>100</v>
      </c>
      <c r="M59" t="s">
        <v>487</v>
      </c>
      <c r="O59" s="3">
        <v>40</v>
      </c>
    </row>
    <row r="60" spans="1:15" x14ac:dyDescent="0.25">
      <c r="H60" t="s">
        <v>21</v>
      </c>
      <c r="J60">
        <v>-80</v>
      </c>
      <c r="M60" t="s">
        <v>256</v>
      </c>
      <c r="O60">
        <f>O58+O59</f>
        <v>100</v>
      </c>
    </row>
    <row r="61" spans="1:15" ht="15.75" thickBot="1" x14ac:dyDescent="0.3">
      <c r="H61" t="s">
        <v>248</v>
      </c>
      <c r="J61" s="3">
        <f>K51</f>
        <v>379</v>
      </c>
    </row>
    <row r="62" spans="1:15" x14ac:dyDescent="0.25">
      <c r="J62">
        <f>J58+J59+J60+J61</f>
        <v>999</v>
      </c>
    </row>
    <row r="64" spans="1:15" x14ac:dyDescent="0.25">
      <c r="H64" s="1" t="s">
        <v>249</v>
      </c>
    </row>
    <row r="66" spans="8:10" x14ac:dyDescent="0.25">
      <c r="H66" t="s">
        <v>6</v>
      </c>
      <c r="J66">
        <v>750</v>
      </c>
    </row>
    <row r="67" spans="8:10" x14ac:dyDescent="0.25">
      <c r="H67" t="s">
        <v>247</v>
      </c>
      <c r="J67">
        <v>60</v>
      </c>
    </row>
    <row r="68" spans="8:10" x14ac:dyDescent="0.25">
      <c r="H68" t="s">
        <v>250</v>
      </c>
      <c r="J68">
        <v>-70</v>
      </c>
    </row>
    <row r="69" spans="8:10" x14ac:dyDescent="0.25">
      <c r="H69" t="s">
        <v>251</v>
      </c>
      <c r="J69">
        <v>430</v>
      </c>
    </row>
    <row r="70" spans="8:10" x14ac:dyDescent="0.25">
      <c r="H70" t="s">
        <v>252</v>
      </c>
      <c r="J70">
        <v>900</v>
      </c>
    </row>
    <row r="71" spans="8:10" x14ac:dyDescent="0.25">
      <c r="H71" t="s">
        <v>254</v>
      </c>
      <c r="J71">
        <v>200</v>
      </c>
    </row>
    <row r="72" spans="8:10" ht="15.75" thickBot="1" x14ac:dyDescent="0.3">
      <c r="H72" t="s">
        <v>253</v>
      </c>
      <c r="J72" s="3">
        <v>-46</v>
      </c>
    </row>
    <row r="73" spans="8:10" x14ac:dyDescent="0.25">
      <c r="J73">
        <f>J72+J71+J70+J69+J68+J67+J66</f>
        <v>2224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6A2B6-3C27-453D-939D-7CA27712009F}">
  <dimension ref="A1:R76"/>
  <sheetViews>
    <sheetView topLeftCell="F27" workbookViewId="0">
      <selection activeCell="P41" sqref="P41"/>
    </sheetView>
  </sheetViews>
  <sheetFormatPr defaultRowHeight="15" x14ac:dyDescent="0.25"/>
  <cols>
    <col min="10" max="10" width="10.5703125" customWidth="1"/>
    <col min="18" max="18" width="9.85546875" customWidth="1"/>
  </cols>
  <sheetData>
    <row r="1" spans="1:18" x14ac:dyDescent="0.25">
      <c r="A1" s="52" t="s">
        <v>496</v>
      </c>
      <c r="B1" s="53"/>
      <c r="C1" s="53"/>
      <c r="D1" s="53"/>
      <c r="E1" s="53"/>
      <c r="F1" s="53"/>
      <c r="G1" s="53"/>
      <c r="H1" s="53"/>
      <c r="I1" s="53"/>
      <c r="J1" s="54"/>
    </row>
    <row r="2" spans="1:18" x14ac:dyDescent="0.25">
      <c r="A2" s="57"/>
      <c r="B2" s="22"/>
      <c r="C2" s="22"/>
      <c r="D2" s="22"/>
      <c r="E2" s="22"/>
      <c r="F2" s="22"/>
      <c r="G2" s="22"/>
      <c r="H2" s="22"/>
      <c r="I2" s="22"/>
      <c r="J2" s="56"/>
    </row>
    <row r="3" spans="1:18" x14ac:dyDescent="0.25">
      <c r="A3" s="57" t="s">
        <v>497</v>
      </c>
      <c r="B3" s="22"/>
      <c r="C3" s="22"/>
      <c r="D3" s="22"/>
      <c r="E3" s="22"/>
      <c r="F3" s="22"/>
      <c r="G3" s="22"/>
      <c r="H3" s="22"/>
      <c r="I3" s="22"/>
      <c r="J3" s="56"/>
    </row>
    <row r="4" spans="1:18" x14ac:dyDescent="0.25">
      <c r="A4" s="57" t="s">
        <v>498</v>
      </c>
      <c r="B4" s="22"/>
      <c r="C4" s="22"/>
      <c r="D4" s="22"/>
      <c r="E4" s="22"/>
      <c r="F4" s="22"/>
      <c r="G4" s="22"/>
      <c r="H4" s="22"/>
      <c r="I4" s="22"/>
      <c r="J4" s="56"/>
    </row>
    <row r="5" spans="1:18" x14ac:dyDescent="0.25">
      <c r="A5" s="57" t="s">
        <v>499</v>
      </c>
      <c r="B5" s="22"/>
      <c r="C5" s="22"/>
      <c r="D5" s="22"/>
      <c r="E5" s="22"/>
      <c r="F5" s="22"/>
      <c r="G5" s="22"/>
      <c r="H5" s="22"/>
      <c r="I5" s="22"/>
      <c r="J5" s="56"/>
    </row>
    <row r="6" spans="1:18" x14ac:dyDescent="0.25">
      <c r="A6" s="57" t="s">
        <v>500</v>
      </c>
      <c r="B6" s="22"/>
      <c r="C6" s="22"/>
      <c r="D6" s="22"/>
      <c r="E6" s="22"/>
      <c r="F6" s="22"/>
      <c r="G6" s="22"/>
      <c r="H6" s="22"/>
      <c r="I6" s="22"/>
      <c r="J6" s="56"/>
    </row>
    <row r="7" spans="1:18" ht="15.75" thickBot="1" x14ac:dyDescent="0.3">
      <c r="A7" s="57"/>
      <c r="B7" s="22"/>
      <c r="C7" s="22"/>
      <c r="D7" s="22"/>
      <c r="E7" s="22"/>
      <c r="F7" s="22"/>
      <c r="G7" s="22"/>
      <c r="H7" s="22"/>
      <c r="I7" s="22"/>
      <c r="J7" s="56"/>
    </row>
    <row r="8" spans="1:18" x14ac:dyDescent="0.25">
      <c r="A8" s="57" t="s">
        <v>261</v>
      </c>
      <c r="B8" s="22"/>
      <c r="C8" s="22"/>
      <c r="D8" s="22"/>
      <c r="E8" s="22"/>
      <c r="F8" s="22"/>
      <c r="G8" s="22"/>
      <c r="H8" s="22"/>
      <c r="I8" s="22"/>
      <c r="J8" s="56"/>
      <c r="L8" s="61" t="s">
        <v>261</v>
      </c>
      <c r="M8" s="53"/>
      <c r="N8" s="53"/>
      <c r="O8" s="53"/>
      <c r="P8" s="53"/>
      <c r="Q8" s="53"/>
      <c r="R8" s="54"/>
    </row>
    <row r="9" spans="1:18" x14ac:dyDescent="0.25">
      <c r="A9" s="55"/>
      <c r="B9" s="22"/>
      <c r="C9" s="22"/>
      <c r="D9" s="22"/>
      <c r="E9" s="22"/>
      <c r="F9" s="22"/>
      <c r="G9" s="22"/>
      <c r="H9" s="22"/>
      <c r="I9" s="22"/>
      <c r="J9" s="56"/>
      <c r="L9" s="57"/>
      <c r="M9" s="22"/>
      <c r="N9" s="22"/>
      <c r="O9" s="22"/>
      <c r="P9" s="22"/>
      <c r="Q9" s="22"/>
      <c r="R9" s="56"/>
    </row>
    <row r="10" spans="1:18" x14ac:dyDescent="0.25">
      <c r="A10" s="57" t="s">
        <v>501</v>
      </c>
      <c r="B10" s="22"/>
      <c r="C10" s="22"/>
      <c r="D10" s="22"/>
      <c r="E10" s="22"/>
      <c r="F10" s="22"/>
      <c r="G10" s="22"/>
      <c r="H10" s="22"/>
      <c r="I10" s="22"/>
      <c r="J10" s="56"/>
      <c r="L10" s="57" t="s">
        <v>522</v>
      </c>
      <c r="M10" s="22"/>
      <c r="N10" s="22"/>
      <c r="O10" s="22"/>
      <c r="P10" s="22"/>
      <c r="Q10" s="22"/>
      <c r="R10" s="56"/>
    </row>
    <row r="11" spans="1:18" x14ac:dyDescent="0.25">
      <c r="A11" s="57" t="s">
        <v>502</v>
      </c>
      <c r="B11" s="22"/>
      <c r="C11" s="22"/>
      <c r="D11" s="22"/>
      <c r="E11" s="22"/>
      <c r="F11" s="22"/>
      <c r="G11" s="22"/>
      <c r="H11" s="22"/>
      <c r="I11" s="22"/>
      <c r="J11" s="56"/>
      <c r="L11" s="57" t="s">
        <v>523</v>
      </c>
      <c r="M11" s="22"/>
      <c r="N11" s="22"/>
      <c r="O11" s="22"/>
      <c r="P11" s="22"/>
      <c r="Q11" s="22"/>
      <c r="R11" s="56"/>
    </row>
    <row r="12" spans="1:18" x14ac:dyDescent="0.25">
      <c r="A12" s="55"/>
      <c r="B12" s="22"/>
      <c r="C12" s="22"/>
      <c r="D12" s="22"/>
      <c r="E12" s="22"/>
      <c r="F12" s="22"/>
      <c r="G12" s="22"/>
      <c r="H12" s="22"/>
      <c r="I12" s="22"/>
      <c r="J12" s="56"/>
      <c r="L12" s="57" t="s">
        <v>524</v>
      </c>
      <c r="M12" s="22"/>
      <c r="N12" s="22"/>
      <c r="O12" s="22"/>
      <c r="P12" s="22"/>
      <c r="Q12" s="22"/>
      <c r="R12" s="56"/>
    </row>
    <row r="13" spans="1:18" x14ac:dyDescent="0.25">
      <c r="A13" s="55" t="s">
        <v>503</v>
      </c>
      <c r="B13" s="22"/>
      <c r="C13" s="22"/>
      <c r="D13" s="22"/>
      <c r="E13" s="22"/>
      <c r="F13" s="22"/>
      <c r="G13" s="22"/>
      <c r="H13" s="22"/>
      <c r="I13" s="22"/>
      <c r="J13" s="56"/>
      <c r="L13" s="57" t="s">
        <v>525</v>
      </c>
      <c r="M13" s="22"/>
      <c r="N13" s="22"/>
      <c r="O13" s="22"/>
      <c r="P13" s="22"/>
      <c r="Q13" s="22"/>
      <c r="R13" s="56"/>
    </row>
    <row r="14" spans="1:18" x14ac:dyDescent="0.25">
      <c r="A14" s="58" t="s">
        <v>504</v>
      </c>
      <c r="B14" s="22"/>
      <c r="C14" s="22"/>
      <c r="D14" s="22"/>
      <c r="E14" s="22"/>
      <c r="F14" s="22"/>
      <c r="G14" s="22"/>
      <c r="H14" s="22"/>
      <c r="I14" s="22"/>
      <c r="J14" s="56"/>
      <c r="L14" s="57"/>
      <c r="M14" s="22"/>
      <c r="N14" s="22"/>
      <c r="O14" s="22"/>
      <c r="P14" s="22"/>
      <c r="Q14" s="22"/>
      <c r="R14" s="56"/>
    </row>
    <row r="15" spans="1:18" x14ac:dyDescent="0.25">
      <c r="A15" s="55"/>
      <c r="B15" s="22"/>
      <c r="C15" s="22"/>
      <c r="D15" s="22"/>
      <c r="E15" s="22"/>
      <c r="F15" s="22"/>
      <c r="G15" s="22"/>
      <c r="H15" s="22"/>
      <c r="I15" s="22"/>
      <c r="J15" s="56"/>
      <c r="L15" s="57" t="s">
        <v>526</v>
      </c>
      <c r="M15" s="22"/>
      <c r="N15" s="22"/>
      <c r="O15" s="22"/>
      <c r="P15" s="22"/>
      <c r="Q15" s="22"/>
      <c r="R15" s="56"/>
    </row>
    <row r="16" spans="1:18" x14ac:dyDescent="0.25">
      <c r="A16" s="55" t="s">
        <v>505</v>
      </c>
      <c r="B16" s="22"/>
      <c r="C16" s="22"/>
      <c r="D16" s="22"/>
      <c r="E16" s="22"/>
      <c r="F16" s="22"/>
      <c r="G16" s="22"/>
      <c r="H16" s="22"/>
      <c r="I16" s="22"/>
      <c r="J16" s="56"/>
      <c r="L16" s="57" t="s">
        <v>527</v>
      </c>
      <c r="M16" s="22"/>
      <c r="N16" s="22"/>
      <c r="O16" s="22"/>
      <c r="P16" s="22"/>
      <c r="Q16" s="22"/>
      <c r="R16" s="56"/>
    </row>
    <row r="17" spans="1:18" x14ac:dyDescent="0.25">
      <c r="A17" s="55"/>
      <c r="B17" s="22"/>
      <c r="C17" s="22"/>
      <c r="D17" s="22"/>
      <c r="E17" s="22"/>
      <c r="F17" s="22"/>
      <c r="G17" s="22"/>
      <c r="H17" s="22"/>
      <c r="I17" s="22"/>
      <c r="J17" s="56"/>
      <c r="L17" s="55"/>
      <c r="M17" s="22"/>
      <c r="N17" s="22"/>
      <c r="O17" s="22"/>
      <c r="P17" s="22"/>
      <c r="Q17" s="22"/>
      <c r="R17" s="56"/>
    </row>
    <row r="18" spans="1:18" x14ac:dyDescent="0.25">
      <c r="A18" s="55" t="s">
        <v>506</v>
      </c>
      <c r="B18" s="22"/>
      <c r="C18" s="22"/>
      <c r="D18" s="22"/>
      <c r="E18" s="22"/>
      <c r="F18" s="22"/>
      <c r="G18" s="22"/>
      <c r="H18" s="22"/>
      <c r="I18" s="22"/>
      <c r="J18" s="56"/>
      <c r="L18" s="55"/>
      <c r="M18" s="22"/>
      <c r="N18" s="22"/>
      <c r="O18" s="22"/>
      <c r="P18" s="22"/>
      <c r="Q18" s="22"/>
      <c r="R18" s="56"/>
    </row>
    <row r="19" spans="1:18" x14ac:dyDescent="0.25">
      <c r="A19" s="58" t="s">
        <v>507</v>
      </c>
      <c r="B19" s="22"/>
      <c r="C19" s="22"/>
      <c r="D19" s="22"/>
      <c r="E19" s="22"/>
      <c r="F19" s="22"/>
      <c r="G19" s="22"/>
      <c r="H19" s="22"/>
      <c r="I19" s="22"/>
      <c r="J19" s="56"/>
      <c r="L19" s="57" t="s">
        <v>528</v>
      </c>
      <c r="M19" s="22"/>
      <c r="N19" s="22"/>
      <c r="O19" s="22"/>
      <c r="P19" s="22"/>
      <c r="Q19" s="22"/>
      <c r="R19" s="56"/>
    </row>
    <row r="20" spans="1:18" x14ac:dyDescent="0.25">
      <c r="A20" s="55"/>
      <c r="B20" s="22"/>
      <c r="C20" s="22"/>
      <c r="D20" s="22"/>
      <c r="E20" s="22"/>
      <c r="F20" s="22"/>
      <c r="G20" s="22"/>
      <c r="H20" s="22"/>
      <c r="I20" s="22"/>
      <c r="J20" s="56"/>
      <c r="L20" s="55"/>
      <c r="M20" s="22"/>
      <c r="N20" s="22"/>
      <c r="O20" s="22"/>
      <c r="P20" s="22"/>
      <c r="Q20" s="22"/>
      <c r="R20" s="56"/>
    </row>
    <row r="21" spans="1:18" x14ac:dyDescent="0.25">
      <c r="A21" s="55" t="s">
        <v>508</v>
      </c>
      <c r="B21" s="22"/>
      <c r="C21" s="22"/>
      <c r="D21" s="22"/>
      <c r="E21" s="22"/>
      <c r="F21" s="22"/>
      <c r="G21" s="22"/>
      <c r="H21" s="22"/>
      <c r="I21" s="22"/>
      <c r="J21" s="56"/>
      <c r="L21" s="55"/>
      <c r="M21" s="22"/>
      <c r="N21" s="22"/>
      <c r="O21" s="22"/>
      <c r="P21" s="22">
        <v>2023</v>
      </c>
      <c r="Q21" s="22">
        <v>2022</v>
      </c>
      <c r="R21" s="56"/>
    </row>
    <row r="22" spans="1:18" x14ac:dyDescent="0.25">
      <c r="A22" s="55"/>
      <c r="B22" s="22"/>
      <c r="C22" s="22"/>
      <c r="D22" s="22"/>
      <c r="E22" s="22"/>
      <c r="F22" s="22"/>
      <c r="G22" s="22"/>
      <c r="H22" s="22"/>
      <c r="I22" s="22"/>
      <c r="J22" s="56"/>
      <c r="L22" s="55"/>
      <c r="M22" s="22"/>
      <c r="N22" s="22"/>
      <c r="O22" s="22"/>
      <c r="P22" s="22" t="s">
        <v>232</v>
      </c>
      <c r="Q22" s="22" t="s">
        <v>232</v>
      </c>
      <c r="R22" s="56"/>
    </row>
    <row r="23" spans="1:18" x14ac:dyDescent="0.25">
      <c r="A23" s="55" t="s">
        <v>509</v>
      </c>
      <c r="B23" s="22"/>
      <c r="C23" s="22"/>
      <c r="D23" s="22"/>
      <c r="E23" s="22"/>
      <c r="F23" s="22"/>
      <c r="G23" s="22"/>
      <c r="H23" s="22"/>
      <c r="I23" s="22"/>
      <c r="J23" s="56"/>
      <c r="L23" s="57" t="s">
        <v>529</v>
      </c>
      <c r="M23" s="22"/>
      <c r="N23" s="22"/>
      <c r="O23" s="22"/>
      <c r="P23" s="22"/>
      <c r="Q23" s="22"/>
      <c r="R23" s="56"/>
    </row>
    <row r="24" spans="1:18" ht="15.75" thickBot="1" x14ac:dyDescent="0.3">
      <c r="A24" s="59" t="s">
        <v>510</v>
      </c>
      <c r="B24" s="28"/>
      <c r="C24" s="28"/>
      <c r="D24" s="28"/>
      <c r="E24" s="28"/>
      <c r="F24" s="28"/>
      <c r="G24" s="28"/>
      <c r="H24" s="28"/>
      <c r="I24" s="28"/>
      <c r="J24" s="60"/>
      <c r="L24" s="55" t="s">
        <v>530</v>
      </c>
      <c r="M24" s="22"/>
      <c r="N24" s="22"/>
      <c r="O24" s="22"/>
      <c r="P24" s="22">
        <f>1200-300</f>
        <v>900</v>
      </c>
      <c r="Q24" s="22">
        <f>900-500</f>
        <v>400</v>
      </c>
      <c r="R24" s="56"/>
    </row>
    <row r="25" spans="1:18" ht="15.75" thickBot="1" x14ac:dyDescent="0.3">
      <c r="L25" s="55" t="s">
        <v>531</v>
      </c>
      <c r="M25" s="22"/>
      <c r="N25" s="22"/>
      <c r="O25" s="22"/>
      <c r="P25" s="22">
        <f>650-240</f>
        <v>410</v>
      </c>
      <c r="Q25" s="22">
        <f>600-400</f>
        <v>200</v>
      </c>
      <c r="R25" s="56"/>
    </row>
    <row r="26" spans="1:18" x14ac:dyDescent="0.25">
      <c r="A26" s="52" t="s">
        <v>511</v>
      </c>
      <c r="B26" s="53"/>
      <c r="C26" s="53"/>
      <c r="D26" s="53"/>
      <c r="E26" s="53"/>
      <c r="F26" s="53"/>
      <c r="G26" s="53"/>
      <c r="H26" s="53"/>
      <c r="I26" s="53"/>
      <c r="J26" s="54"/>
      <c r="L26" s="55" t="s">
        <v>4</v>
      </c>
      <c r="M26" s="22"/>
      <c r="N26" s="22"/>
      <c r="O26" s="22"/>
      <c r="P26" s="22">
        <f>P24-P25</f>
        <v>490</v>
      </c>
      <c r="Q26" s="22">
        <f>Q24-Q25</f>
        <v>200</v>
      </c>
      <c r="R26" s="56"/>
    </row>
    <row r="27" spans="1:18" x14ac:dyDescent="0.25">
      <c r="A27" s="57" t="s">
        <v>512</v>
      </c>
      <c r="B27" s="22"/>
      <c r="C27" s="22"/>
      <c r="D27" s="22"/>
      <c r="E27" s="22"/>
      <c r="F27" s="22"/>
      <c r="G27" s="22"/>
      <c r="H27" s="22"/>
      <c r="I27" s="22"/>
      <c r="J27" s="56"/>
      <c r="L27" s="55"/>
      <c r="M27" s="22"/>
      <c r="N27" s="22"/>
      <c r="O27" s="22"/>
      <c r="P27" s="22"/>
      <c r="Q27" s="22"/>
      <c r="R27" s="56"/>
    </row>
    <row r="28" spans="1:18" x14ac:dyDescent="0.25">
      <c r="A28" s="55"/>
      <c r="B28" s="22"/>
      <c r="C28" s="22"/>
      <c r="D28" s="22"/>
      <c r="E28" s="22"/>
      <c r="F28" s="22"/>
      <c r="G28" s="22"/>
      <c r="H28" s="22"/>
      <c r="I28" s="22"/>
      <c r="J28" s="56"/>
      <c r="L28" s="55" t="s">
        <v>532</v>
      </c>
      <c r="M28" s="22"/>
      <c r="N28" s="22"/>
      <c r="O28" s="22"/>
      <c r="P28" s="22">
        <f>200-50-40</f>
        <v>110</v>
      </c>
      <c r="Q28" s="22">
        <f>140-70</f>
        <v>70</v>
      </c>
      <c r="R28" s="56"/>
    </row>
    <row r="29" spans="1:18" x14ac:dyDescent="0.25">
      <c r="A29" s="55" t="s">
        <v>513</v>
      </c>
      <c r="B29" s="22"/>
      <c r="C29" s="22"/>
      <c r="D29" s="22"/>
      <c r="E29" s="22"/>
      <c r="F29" s="22"/>
      <c r="G29" s="22"/>
      <c r="H29" s="22"/>
      <c r="I29" s="22"/>
      <c r="J29" s="56"/>
      <c r="L29" s="55" t="s">
        <v>7</v>
      </c>
      <c r="M29" s="22"/>
      <c r="N29" s="22"/>
      <c r="O29" s="22"/>
      <c r="P29" s="22">
        <f>P26-P28</f>
        <v>380</v>
      </c>
      <c r="Q29" s="22">
        <f>Q26-Q28</f>
        <v>130</v>
      </c>
      <c r="R29" s="56"/>
    </row>
    <row r="30" spans="1:18" x14ac:dyDescent="0.25">
      <c r="A30" s="55" t="s">
        <v>514</v>
      </c>
      <c r="B30" s="22"/>
      <c r="C30" s="22"/>
      <c r="D30" s="22"/>
      <c r="E30" s="22"/>
      <c r="F30" s="22"/>
      <c r="G30" s="22"/>
      <c r="H30" s="22"/>
      <c r="I30" s="22"/>
      <c r="J30" s="56"/>
      <c r="L30" s="55"/>
      <c r="M30" s="22"/>
      <c r="N30" s="22"/>
      <c r="O30" s="22"/>
      <c r="P30" s="22"/>
      <c r="Q30" s="22"/>
      <c r="R30" s="56"/>
    </row>
    <row r="31" spans="1:18" x14ac:dyDescent="0.25">
      <c r="A31" s="55" t="s">
        <v>515</v>
      </c>
      <c r="B31" s="22"/>
      <c r="C31" s="22"/>
      <c r="D31" s="22"/>
      <c r="E31" s="22"/>
      <c r="F31" s="22"/>
      <c r="G31" s="22"/>
      <c r="H31" s="22"/>
      <c r="I31" s="22"/>
      <c r="J31" s="56"/>
      <c r="L31" s="55" t="s">
        <v>533</v>
      </c>
      <c r="M31" s="22"/>
      <c r="N31" s="22"/>
      <c r="O31" s="22"/>
      <c r="P31" s="22">
        <f>80-3</f>
        <v>77</v>
      </c>
      <c r="Q31" s="22">
        <f>30-10</f>
        <v>20</v>
      </c>
      <c r="R31" s="56"/>
    </row>
    <row r="32" spans="1:18" x14ac:dyDescent="0.25">
      <c r="A32" s="55" t="s">
        <v>516</v>
      </c>
      <c r="B32" s="22"/>
      <c r="C32" s="22"/>
      <c r="D32" s="22"/>
      <c r="E32" s="22"/>
      <c r="F32" s="22"/>
      <c r="G32" s="22"/>
      <c r="H32" s="22"/>
      <c r="I32" s="22"/>
      <c r="J32" s="56"/>
      <c r="L32" s="55" t="s">
        <v>534</v>
      </c>
      <c r="M32" s="22"/>
      <c r="N32" s="22"/>
      <c r="O32" s="22"/>
      <c r="P32" s="22">
        <f>P29-P31</f>
        <v>303</v>
      </c>
      <c r="Q32" s="22">
        <f>Q29-Q31</f>
        <v>110</v>
      </c>
      <c r="R32" s="56"/>
    </row>
    <row r="33" spans="1:18" x14ac:dyDescent="0.25">
      <c r="A33" s="55"/>
      <c r="B33" s="22"/>
      <c r="C33" s="22"/>
      <c r="D33" s="22"/>
      <c r="E33" s="22"/>
      <c r="F33" s="22"/>
      <c r="G33" s="22"/>
      <c r="H33" s="22"/>
      <c r="I33" s="22"/>
      <c r="J33" s="56"/>
      <c r="L33" s="55"/>
      <c r="M33" s="22"/>
      <c r="N33" s="22"/>
      <c r="O33" s="22"/>
      <c r="P33" s="22"/>
      <c r="Q33" s="22"/>
      <c r="R33" s="56"/>
    </row>
    <row r="34" spans="1:18" x14ac:dyDescent="0.25">
      <c r="A34" s="57" t="s">
        <v>517</v>
      </c>
      <c r="B34" s="22"/>
      <c r="C34" s="22"/>
      <c r="D34" s="22"/>
      <c r="E34" s="22"/>
      <c r="F34" s="22"/>
      <c r="G34" s="22"/>
      <c r="H34" s="22"/>
      <c r="I34" s="22"/>
      <c r="J34" s="56"/>
      <c r="L34" s="57" t="s">
        <v>535</v>
      </c>
      <c r="M34" s="22"/>
      <c r="N34" s="22"/>
      <c r="O34" s="22"/>
      <c r="P34" s="22"/>
      <c r="Q34" s="22"/>
      <c r="R34" s="56"/>
    </row>
    <row r="35" spans="1:18" x14ac:dyDescent="0.25">
      <c r="A35" s="58" t="s">
        <v>518</v>
      </c>
      <c r="B35" s="22"/>
      <c r="C35" s="22"/>
      <c r="D35" s="22"/>
      <c r="E35" s="22"/>
      <c r="F35" s="22"/>
      <c r="G35" s="22"/>
      <c r="H35" s="22"/>
      <c r="I35" s="22"/>
      <c r="J35" s="56"/>
      <c r="L35" s="55" t="s">
        <v>536</v>
      </c>
      <c r="M35" s="22"/>
      <c r="N35" s="22"/>
      <c r="O35" s="22"/>
      <c r="P35" s="22">
        <f>7-40</f>
        <v>-33</v>
      </c>
      <c r="Q35" s="22">
        <v>20</v>
      </c>
      <c r="R35" s="56"/>
    </row>
    <row r="36" spans="1:18" x14ac:dyDescent="0.25">
      <c r="A36" s="58" t="s">
        <v>519</v>
      </c>
      <c r="B36" s="22"/>
      <c r="C36" s="22"/>
      <c r="D36" s="22"/>
      <c r="E36" s="22"/>
      <c r="F36" s="22"/>
      <c r="G36" s="22"/>
      <c r="H36" s="22"/>
      <c r="I36" s="22"/>
      <c r="J36" s="56"/>
      <c r="L36" s="55" t="s">
        <v>537</v>
      </c>
      <c r="M36" s="22"/>
      <c r="N36" s="22"/>
      <c r="O36" s="22"/>
      <c r="P36" s="22">
        <f>P32+P35</f>
        <v>270</v>
      </c>
      <c r="Q36" s="22">
        <f>Q32+Q35</f>
        <v>130</v>
      </c>
      <c r="R36" s="56"/>
    </row>
    <row r="37" spans="1:18" x14ac:dyDescent="0.25">
      <c r="A37" s="58" t="s">
        <v>882</v>
      </c>
      <c r="B37" s="22"/>
      <c r="C37" s="22"/>
      <c r="D37" s="22"/>
      <c r="E37" s="22"/>
      <c r="F37" s="22"/>
      <c r="G37" s="22"/>
      <c r="H37" s="22"/>
      <c r="I37" s="22"/>
      <c r="J37" s="56"/>
      <c r="L37" s="55"/>
      <c r="M37" s="22"/>
      <c r="N37" s="22"/>
      <c r="O37" s="22"/>
      <c r="P37" s="22"/>
      <c r="Q37" s="22"/>
      <c r="R37" s="56"/>
    </row>
    <row r="38" spans="1:18" x14ac:dyDescent="0.25">
      <c r="A38" s="58" t="s">
        <v>520</v>
      </c>
      <c r="B38" s="22"/>
      <c r="C38" s="22"/>
      <c r="D38" s="22"/>
      <c r="E38" s="22"/>
      <c r="F38" s="22"/>
      <c r="G38" s="22"/>
      <c r="H38" s="22"/>
      <c r="I38" s="22"/>
      <c r="J38" s="56"/>
      <c r="L38" s="55"/>
      <c r="M38" s="22"/>
      <c r="N38" s="22"/>
      <c r="O38" s="22"/>
      <c r="P38" s="22"/>
      <c r="Q38" s="22"/>
      <c r="R38" s="56"/>
    </row>
    <row r="39" spans="1:18" ht="15.75" thickBot="1" x14ac:dyDescent="0.3">
      <c r="A39" s="62" t="s">
        <v>521</v>
      </c>
      <c r="B39" s="28"/>
      <c r="C39" s="28"/>
      <c r="D39" s="28"/>
      <c r="E39" s="28"/>
      <c r="F39" s="28"/>
      <c r="G39" s="28"/>
      <c r="H39" s="28"/>
      <c r="I39" s="28"/>
      <c r="J39" s="60"/>
      <c r="L39" s="57" t="s">
        <v>541</v>
      </c>
      <c r="M39" s="22"/>
      <c r="N39" s="22"/>
      <c r="O39" s="22"/>
      <c r="P39" s="22"/>
      <c r="Q39" s="22"/>
      <c r="R39" s="56"/>
    </row>
    <row r="40" spans="1:18" x14ac:dyDescent="0.25">
      <c r="L40" s="55"/>
      <c r="M40" s="22"/>
      <c r="N40" s="22"/>
      <c r="O40" s="22"/>
      <c r="P40" s="22"/>
      <c r="Q40" s="22"/>
      <c r="R40" s="56"/>
    </row>
    <row r="41" spans="1:18" x14ac:dyDescent="0.25">
      <c r="L41" s="55" t="s">
        <v>538</v>
      </c>
      <c r="M41" s="22"/>
      <c r="N41" s="22"/>
      <c r="O41" s="22"/>
      <c r="P41" s="22">
        <v>7</v>
      </c>
      <c r="Q41" s="22">
        <v>20</v>
      </c>
      <c r="R41" s="56"/>
    </row>
    <row r="42" spans="1:18" ht="15.75" thickBot="1" x14ac:dyDescent="0.3">
      <c r="L42" s="55" t="s">
        <v>539</v>
      </c>
      <c r="M42" s="22"/>
      <c r="N42" s="22"/>
      <c r="O42" s="22"/>
      <c r="P42" s="28">
        <v>40</v>
      </c>
      <c r="Q42" s="28"/>
      <c r="R42" s="56"/>
    </row>
    <row r="43" spans="1:18" x14ac:dyDescent="0.25">
      <c r="A43" s="52" t="s">
        <v>549</v>
      </c>
      <c r="B43" s="53"/>
      <c r="C43" s="53"/>
      <c r="D43" s="53"/>
      <c r="E43" s="53"/>
      <c r="F43" s="53"/>
      <c r="G43" s="53"/>
      <c r="H43" s="53"/>
      <c r="I43" s="53"/>
      <c r="J43" s="54"/>
      <c r="L43" s="55" t="s">
        <v>540</v>
      </c>
      <c r="M43" s="22"/>
      <c r="N43" s="22"/>
      <c r="O43" s="22"/>
      <c r="P43" s="22">
        <f>P41-P42</f>
        <v>-33</v>
      </c>
      <c r="Q43" s="22">
        <f>Q41-Q42</f>
        <v>20</v>
      </c>
      <c r="R43" s="56"/>
    </row>
    <row r="44" spans="1:18" x14ac:dyDescent="0.25">
      <c r="A44" s="57" t="s">
        <v>550</v>
      </c>
      <c r="B44" s="22"/>
      <c r="C44" s="22"/>
      <c r="D44" s="22"/>
      <c r="E44" s="22"/>
      <c r="F44" s="22"/>
      <c r="G44" s="22"/>
      <c r="H44" s="22"/>
      <c r="I44" s="22"/>
      <c r="J44" s="56"/>
      <c r="L44" s="55"/>
      <c r="M44" s="22"/>
      <c r="N44" s="22"/>
      <c r="O44" s="22"/>
      <c r="P44" s="22"/>
      <c r="Q44" s="22"/>
      <c r="R44" s="56"/>
    </row>
    <row r="45" spans="1:18" x14ac:dyDescent="0.25">
      <c r="A45" s="55"/>
      <c r="B45" s="22"/>
      <c r="C45" s="22"/>
      <c r="D45" s="22"/>
      <c r="E45" s="22"/>
      <c r="F45" s="22"/>
      <c r="G45" s="22"/>
      <c r="H45" s="22"/>
      <c r="I45" s="22"/>
      <c r="J45" s="56"/>
      <c r="L45" s="65" t="s">
        <v>526</v>
      </c>
      <c r="M45" s="22"/>
      <c r="N45" s="22"/>
      <c r="O45" s="22"/>
      <c r="P45" s="22"/>
      <c r="Q45" s="22"/>
      <c r="R45" s="56"/>
    </row>
    <row r="46" spans="1:18" x14ac:dyDescent="0.25">
      <c r="A46" s="55" t="s">
        <v>551</v>
      </c>
      <c r="B46" s="22"/>
      <c r="C46" s="22"/>
      <c r="D46" s="22"/>
      <c r="E46" s="22"/>
      <c r="F46" s="22"/>
      <c r="G46" s="22"/>
      <c r="H46" s="22"/>
      <c r="I46" s="22"/>
      <c r="J46" s="56"/>
      <c r="L46" s="65" t="s">
        <v>527</v>
      </c>
      <c r="M46" s="22"/>
      <c r="N46" s="22"/>
      <c r="O46" s="22"/>
      <c r="P46" s="22"/>
      <c r="Q46" s="22"/>
      <c r="R46" s="56"/>
    </row>
    <row r="47" spans="1:18" x14ac:dyDescent="0.25">
      <c r="A47" s="55"/>
      <c r="B47" s="22"/>
      <c r="C47" s="22"/>
      <c r="D47" s="22"/>
      <c r="E47" s="22"/>
      <c r="F47" s="22"/>
      <c r="G47" s="22"/>
      <c r="H47" s="22"/>
      <c r="I47" s="22"/>
      <c r="J47" s="56"/>
      <c r="L47" s="55"/>
      <c r="M47" s="22"/>
      <c r="N47" s="22"/>
      <c r="O47" s="22"/>
      <c r="P47" s="22"/>
      <c r="Q47" s="22"/>
      <c r="R47" s="56"/>
    </row>
    <row r="48" spans="1:18" x14ac:dyDescent="0.25">
      <c r="A48" s="55" t="s">
        <v>3</v>
      </c>
      <c r="B48" s="22"/>
      <c r="C48" s="67">
        <v>900000</v>
      </c>
      <c r="D48" s="22"/>
      <c r="E48" s="22"/>
      <c r="F48" s="22"/>
      <c r="G48" s="22"/>
      <c r="H48" s="22"/>
      <c r="I48" s="22"/>
      <c r="J48" s="56"/>
      <c r="L48" s="55" t="s">
        <v>542</v>
      </c>
      <c r="M48" s="22"/>
      <c r="N48" s="22"/>
      <c r="O48" s="22"/>
      <c r="P48" s="22"/>
      <c r="Q48" s="22"/>
      <c r="R48" s="56"/>
    </row>
    <row r="49" spans="1:18" x14ac:dyDescent="0.25">
      <c r="A49" s="55" t="s">
        <v>31</v>
      </c>
      <c r="B49" s="22"/>
      <c r="C49" s="67">
        <v>200000</v>
      </c>
      <c r="D49" s="22"/>
      <c r="E49" s="22"/>
      <c r="F49" s="22"/>
      <c r="G49" s="22"/>
      <c r="H49" s="22"/>
      <c r="I49" s="22"/>
      <c r="J49" s="56"/>
      <c r="L49" s="55" t="s">
        <v>543</v>
      </c>
      <c r="M49" s="22"/>
      <c r="N49" s="22"/>
      <c r="O49" s="22"/>
      <c r="P49" s="22"/>
      <c r="Q49" s="22"/>
      <c r="R49" s="56"/>
    </row>
    <row r="50" spans="1:18" x14ac:dyDescent="0.25">
      <c r="A50" s="55" t="s">
        <v>32</v>
      </c>
      <c r="B50" s="22"/>
      <c r="C50" s="67">
        <v>350000</v>
      </c>
      <c r="D50" s="22"/>
      <c r="E50" s="22"/>
      <c r="F50" s="22"/>
      <c r="G50" s="22"/>
      <c r="H50" s="22"/>
      <c r="I50" s="22"/>
      <c r="J50" s="56"/>
      <c r="L50" s="55" t="s">
        <v>544</v>
      </c>
      <c r="M50" s="22"/>
      <c r="N50" s="22"/>
      <c r="O50" s="22"/>
      <c r="P50" s="22"/>
      <c r="Q50" s="22"/>
      <c r="R50" s="56"/>
    </row>
    <row r="51" spans="1:18" x14ac:dyDescent="0.25">
      <c r="A51" s="55" t="s">
        <v>34</v>
      </c>
      <c r="B51" s="22"/>
      <c r="C51" s="67">
        <v>250000</v>
      </c>
      <c r="D51" s="22"/>
      <c r="E51" s="22"/>
      <c r="F51" s="22"/>
      <c r="G51" s="22"/>
      <c r="H51" s="22"/>
      <c r="I51" s="22"/>
      <c r="J51" s="56"/>
      <c r="L51" s="55" t="s">
        <v>545</v>
      </c>
      <c r="M51" s="22"/>
      <c r="N51" s="22"/>
      <c r="O51" s="22"/>
      <c r="P51" s="22"/>
      <c r="Q51" s="22"/>
      <c r="R51" s="56"/>
    </row>
    <row r="52" spans="1:18" x14ac:dyDescent="0.25">
      <c r="A52" s="55"/>
      <c r="B52" s="22"/>
      <c r="C52" s="22"/>
      <c r="D52" s="22"/>
      <c r="E52" s="22"/>
      <c r="F52" s="22"/>
      <c r="G52" s="22"/>
      <c r="H52" s="22"/>
      <c r="I52" s="22"/>
      <c r="J52" s="56"/>
      <c r="L52" s="55"/>
      <c r="M52" s="22"/>
      <c r="N52" s="22"/>
      <c r="O52" s="22"/>
      <c r="P52" s="22"/>
      <c r="Q52" s="22"/>
      <c r="R52" s="56"/>
    </row>
    <row r="53" spans="1:18" x14ac:dyDescent="0.25">
      <c r="A53" s="55" t="s">
        <v>552</v>
      </c>
      <c r="B53" s="22"/>
      <c r="C53" s="22"/>
      <c r="D53" s="22"/>
      <c r="E53" s="22"/>
      <c r="F53" s="22"/>
      <c r="G53" s="22"/>
      <c r="H53" s="22"/>
      <c r="I53" s="22"/>
      <c r="J53" s="56"/>
      <c r="L53" s="55" t="s">
        <v>546</v>
      </c>
      <c r="M53" s="22"/>
      <c r="N53" s="22"/>
      <c r="O53" s="22"/>
      <c r="P53" s="22"/>
      <c r="Q53" s="22"/>
      <c r="R53" s="56"/>
    </row>
    <row r="54" spans="1:18" x14ac:dyDescent="0.25">
      <c r="A54" s="55" t="s">
        <v>553</v>
      </c>
      <c r="B54" s="22"/>
      <c r="C54" s="22"/>
      <c r="D54" s="22"/>
      <c r="E54" s="22"/>
      <c r="F54" s="22"/>
      <c r="G54" s="22"/>
      <c r="H54" s="22"/>
      <c r="I54" s="22"/>
      <c r="J54" s="56"/>
      <c r="L54" s="55" t="s">
        <v>547</v>
      </c>
      <c r="M54" s="22"/>
      <c r="N54" s="22"/>
      <c r="O54" s="22"/>
      <c r="P54" s="22"/>
      <c r="Q54" s="22"/>
      <c r="R54" s="56"/>
    </row>
    <row r="55" spans="1:18" ht="15.75" thickBot="1" x14ac:dyDescent="0.3">
      <c r="A55" s="55"/>
      <c r="B55" s="22"/>
      <c r="C55" s="22"/>
      <c r="D55" s="22"/>
      <c r="E55" s="22"/>
      <c r="F55" s="22"/>
      <c r="G55" s="22"/>
      <c r="H55" s="22"/>
      <c r="I55" s="22"/>
      <c r="J55" s="56"/>
      <c r="L55" s="59" t="s">
        <v>548</v>
      </c>
      <c r="M55" s="28"/>
      <c r="N55" s="28"/>
      <c r="O55" s="28"/>
      <c r="P55" s="28"/>
      <c r="Q55" s="28"/>
      <c r="R55" s="60"/>
    </row>
    <row r="56" spans="1:18" x14ac:dyDescent="0.25">
      <c r="A56" s="57" t="s">
        <v>261</v>
      </c>
      <c r="B56" s="22"/>
      <c r="C56" s="22"/>
      <c r="D56" s="22"/>
      <c r="E56" s="22"/>
      <c r="F56" s="22"/>
      <c r="G56" s="22"/>
      <c r="H56" s="22"/>
      <c r="I56" s="22"/>
      <c r="J56" s="56"/>
    </row>
    <row r="57" spans="1:18" x14ac:dyDescent="0.25">
      <c r="A57" s="55" t="s">
        <v>554</v>
      </c>
      <c r="B57" s="22"/>
      <c r="C57" s="22"/>
      <c r="D57" s="22"/>
      <c r="E57" s="22"/>
      <c r="F57" s="22"/>
      <c r="G57" s="22"/>
      <c r="H57" s="22"/>
      <c r="I57" s="22"/>
      <c r="J57" s="56"/>
    </row>
    <row r="58" spans="1:18" x14ac:dyDescent="0.25">
      <c r="A58" s="55" t="s">
        <v>555</v>
      </c>
      <c r="B58" s="22"/>
      <c r="C58" s="22"/>
      <c r="D58" s="22"/>
      <c r="E58" s="22"/>
      <c r="F58" s="22"/>
      <c r="G58" s="22"/>
      <c r="H58" s="22"/>
      <c r="I58" s="22"/>
      <c r="J58" s="56"/>
    </row>
    <row r="59" spans="1:18" x14ac:dyDescent="0.25">
      <c r="A59" s="55"/>
      <c r="B59" s="22"/>
      <c r="C59" s="22"/>
      <c r="D59" s="22"/>
      <c r="E59" s="22"/>
      <c r="F59" s="22"/>
      <c r="G59" s="22"/>
      <c r="H59" s="22"/>
      <c r="I59" s="22"/>
      <c r="J59" s="56"/>
    </row>
    <row r="60" spans="1:18" x14ac:dyDescent="0.25">
      <c r="A60" s="55"/>
      <c r="B60" s="22"/>
      <c r="C60" s="22"/>
      <c r="D60" s="22"/>
      <c r="E60" s="22"/>
      <c r="F60" s="22"/>
      <c r="G60" s="22"/>
      <c r="H60" s="22"/>
      <c r="I60" s="22"/>
      <c r="J60" s="56"/>
    </row>
    <row r="61" spans="1:18" x14ac:dyDescent="0.25">
      <c r="A61" s="55" t="s">
        <v>883</v>
      </c>
      <c r="B61" s="22"/>
      <c r="C61" s="22"/>
      <c r="D61" s="22">
        <f>900-(200+350-250)</f>
        <v>600</v>
      </c>
      <c r="E61" s="22"/>
      <c r="F61" s="22" t="s">
        <v>884</v>
      </c>
      <c r="G61" s="22"/>
      <c r="H61" s="22"/>
      <c r="I61" s="22">
        <f>900-600</f>
        <v>300</v>
      </c>
      <c r="J61" s="56"/>
    </row>
    <row r="62" spans="1:18" x14ac:dyDescent="0.25">
      <c r="A62" s="55"/>
      <c r="B62" s="22"/>
      <c r="C62" s="22"/>
      <c r="D62" s="22"/>
      <c r="E62" s="22"/>
      <c r="F62" s="22"/>
      <c r="G62" s="22"/>
      <c r="H62" s="22"/>
      <c r="I62" s="22"/>
      <c r="J62" s="56"/>
    </row>
    <row r="63" spans="1:18" x14ac:dyDescent="0.25">
      <c r="A63" s="55" t="s">
        <v>557</v>
      </c>
      <c r="B63" s="22"/>
      <c r="C63" s="22"/>
      <c r="D63" s="22">
        <f>900-(175+350-200)</f>
        <v>575</v>
      </c>
      <c r="E63" s="22"/>
      <c r="F63" s="22" t="s">
        <v>556</v>
      </c>
      <c r="G63" s="22"/>
      <c r="H63" s="22"/>
      <c r="I63" s="22">
        <f>900-575</f>
        <v>325</v>
      </c>
      <c r="J63" s="56"/>
    </row>
    <row r="64" spans="1:18" x14ac:dyDescent="0.25">
      <c r="A64" s="55"/>
      <c r="B64" s="22"/>
      <c r="C64" s="22"/>
      <c r="D64" s="22"/>
      <c r="E64" s="22"/>
      <c r="F64" s="22"/>
      <c r="G64" s="22"/>
      <c r="H64" s="22"/>
      <c r="I64" s="22"/>
      <c r="J64" s="56"/>
    </row>
    <row r="65" spans="1:10" x14ac:dyDescent="0.25">
      <c r="A65" s="55" t="s">
        <v>558</v>
      </c>
      <c r="B65" s="22"/>
      <c r="C65" s="22"/>
      <c r="D65" s="22"/>
      <c r="E65" s="22"/>
      <c r="F65" s="22" t="s">
        <v>561</v>
      </c>
      <c r="G65" s="22"/>
      <c r="H65" s="22"/>
      <c r="I65" s="22"/>
      <c r="J65" s="56"/>
    </row>
    <row r="66" spans="1:10" x14ac:dyDescent="0.25">
      <c r="A66" s="55" t="s">
        <v>559</v>
      </c>
      <c r="B66" s="22"/>
      <c r="C66" s="22"/>
      <c r="D66" s="22"/>
      <c r="E66" s="22"/>
      <c r="F66" s="22" t="s">
        <v>559</v>
      </c>
      <c r="G66" s="22"/>
      <c r="H66" s="22"/>
      <c r="I66" s="22"/>
      <c r="J66" s="56"/>
    </row>
    <row r="67" spans="1:10" x14ac:dyDescent="0.25">
      <c r="A67" s="55" t="s">
        <v>560</v>
      </c>
      <c r="B67" s="22"/>
      <c r="C67" s="22"/>
      <c r="D67" s="22"/>
      <c r="E67" s="22"/>
      <c r="F67" s="22" t="s">
        <v>560</v>
      </c>
      <c r="G67" s="22"/>
      <c r="H67" s="22"/>
      <c r="I67" s="22"/>
      <c r="J67" s="56"/>
    </row>
    <row r="68" spans="1:10" x14ac:dyDescent="0.25">
      <c r="A68" s="55"/>
      <c r="B68" s="22"/>
      <c r="C68" s="22"/>
      <c r="D68" s="22"/>
      <c r="E68" s="22"/>
      <c r="F68" s="22"/>
      <c r="G68" s="22"/>
      <c r="H68" s="22"/>
      <c r="I68" s="22"/>
      <c r="J68" s="56"/>
    </row>
    <row r="69" spans="1:10" x14ac:dyDescent="0.25">
      <c r="A69" s="57" t="s">
        <v>562</v>
      </c>
      <c r="B69" s="22"/>
      <c r="C69" s="22"/>
      <c r="D69" s="22"/>
      <c r="E69" s="22"/>
      <c r="F69" s="22"/>
      <c r="G69" s="22"/>
      <c r="H69" s="22"/>
      <c r="I69" s="22"/>
      <c r="J69" s="56"/>
    </row>
    <row r="70" spans="1:10" x14ac:dyDescent="0.25">
      <c r="A70" s="55"/>
      <c r="B70" s="22"/>
      <c r="C70" s="22"/>
      <c r="D70" s="22"/>
      <c r="E70" s="22"/>
      <c r="F70" s="22"/>
      <c r="G70" s="22"/>
      <c r="H70" s="22"/>
      <c r="I70" s="22"/>
      <c r="J70" s="56"/>
    </row>
    <row r="71" spans="1:10" x14ac:dyDescent="0.25">
      <c r="A71" s="58" t="s">
        <v>564</v>
      </c>
      <c r="B71" s="22"/>
      <c r="C71" s="22"/>
      <c r="D71" s="22"/>
      <c r="E71" s="22"/>
      <c r="F71" s="22"/>
      <c r="G71" s="22"/>
      <c r="H71" s="22"/>
      <c r="I71" s="22"/>
      <c r="J71" s="56"/>
    </row>
    <row r="72" spans="1:10" x14ac:dyDescent="0.25">
      <c r="A72" s="55"/>
      <c r="B72" s="22"/>
      <c r="C72" s="22"/>
      <c r="D72" s="22"/>
      <c r="E72" s="22"/>
      <c r="F72" s="22"/>
      <c r="G72" s="22"/>
      <c r="H72" s="22"/>
      <c r="I72" s="22"/>
      <c r="J72" s="56"/>
    </row>
    <row r="73" spans="1:10" x14ac:dyDescent="0.25">
      <c r="A73" s="58" t="s">
        <v>565</v>
      </c>
      <c r="B73" s="22"/>
      <c r="C73" s="22"/>
      <c r="D73" s="22"/>
      <c r="E73" s="22"/>
      <c r="F73" s="22"/>
      <c r="G73" s="22"/>
      <c r="H73" s="22"/>
      <c r="I73" s="22"/>
      <c r="J73" s="56"/>
    </row>
    <row r="74" spans="1:10" x14ac:dyDescent="0.25">
      <c r="A74" s="55"/>
      <c r="B74" s="22"/>
      <c r="C74" s="22"/>
      <c r="D74" s="22"/>
      <c r="E74" s="22"/>
      <c r="F74" s="22"/>
      <c r="G74" s="22"/>
      <c r="H74" s="22"/>
      <c r="I74" s="22"/>
      <c r="J74" s="56"/>
    </row>
    <row r="75" spans="1:10" x14ac:dyDescent="0.25">
      <c r="A75" s="58" t="s">
        <v>566</v>
      </c>
      <c r="B75" s="22"/>
      <c r="C75" s="22"/>
      <c r="D75" s="22"/>
      <c r="E75" s="22"/>
      <c r="F75" s="22"/>
      <c r="G75" s="22"/>
      <c r="H75" s="22"/>
      <c r="I75" s="22"/>
      <c r="J75" s="56"/>
    </row>
    <row r="76" spans="1:10" ht="15.75" thickBot="1" x14ac:dyDescent="0.3">
      <c r="A76" s="59" t="s">
        <v>563</v>
      </c>
      <c r="B76" s="28"/>
      <c r="C76" s="28"/>
      <c r="D76" s="28"/>
      <c r="E76" s="28"/>
      <c r="F76" s="28"/>
      <c r="G76" s="28"/>
      <c r="H76" s="28"/>
      <c r="I76" s="28"/>
      <c r="J76" s="60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E225C-B414-4440-9165-A968CA38E176}">
  <dimension ref="A1:Q49"/>
  <sheetViews>
    <sheetView workbookViewId="0">
      <selection activeCell="N49" sqref="N49"/>
    </sheetView>
  </sheetViews>
  <sheetFormatPr defaultRowHeight="15" x14ac:dyDescent="0.25"/>
  <cols>
    <col min="7" max="7" width="12" customWidth="1"/>
  </cols>
  <sheetData>
    <row r="1" spans="1:16" x14ac:dyDescent="0.25">
      <c r="A1" s="61" t="s">
        <v>567</v>
      </c>
      <c r="B1" s="53"/>
      <c r="C1" s="53"/>
      <c r="D1" s="53"/>
      <c r="E1" s="53"/>
      <c r="F1" s="53"/>
      <c r="G1" s="54"/>
      <c r="J1" s="61" t="s">
        <v>592</v>
      </c>
      <c r="K1" s="53"/>
      <c r="L1" s="53"/>
      <c r="M1" s="53"/>
      <c r="N1" s="53"/>
      <c r="O1" s="53"/>
      <c r="P1" s="54"/>
    </row>
    <row r="2" spans="1:16" x14ac:dyDescent="0.25">
      <c r="A2" s="55"/>
      <c r="B2" s="22"/>
      <c r="C2" s="22"/>
      <c r="D2" s="22"/>
      <c r="E2" s="22"/>
      <c r="F2" s="22"/>
      <c r="G2" s="56"/>
      <c r="J2" s="57"/>
      <c r="K2" s="22"/>
      <c r="L2" s="22"/>
      <c r="M2" s="22"/>
      <c r="N2" s="22"/>
      <c r="O2" s="22"/>
      <c r="P2" s="56"/>
    </row>
    <row r="3" spans="1:16" x14ac:dyDescent="0.25">
      <c r="A3" s="57" t="s">
        <v>568</v>
      </c>
      <c r="B3" s="22"/>
      <c r="C3" s="22"/>
      <c r="D3" s="22"/>
      <c r="E3" s="22"/>
      <c r="F3" s="22"/>
      <c r="G3" s="56"/>
      <c r="J3" s="57" t="s">
        <v>593</v>
      </c>
      <c r="K3" s="22"/>
      <c r="L3" s="22"/>
      <c r="M3" s="22"/>
      <c r="N3" s="22"/>
      <c r="O3" s="22"/>
      <c r="P3" s="56"/>
    </row>
    <row r="4" spans="1:16" x14ac:dyDescent="0.25">
      <c r="A4" s="57" t="s">
        <v>569</v>
      </c>
      <c r="B4" s="22"/>
      <c r="C4" s="22"/>
      <c r="D4" s="22"/>
      <c r="E4" s="22"/>
      <c r="F4" s="22"/>
      <c r="G4" s="56"/>
      <c r="J4" s="57" t="s">
        <v>594</v>
      </c>
      <c r="K4" s="22"/>
      <c r="L4" s="22"/>
      <c r="M4" s="22"/>
      <c r="N4" s="22"/>
      <c r="O4" s="22"/>
      <c r="P4" s="56"/>
    </row>
    <row r="5" spans="1:16" x14ac:dyDescent="0.25">
      <c r="A5" s="55"/>
      <c r="B5" s="22"/>
      <c r="C5" s="22"/>
      <c r="D5" s="22"/>
      <c r="E5" s="22"/>
      <c r="F5" s="22"/>
      <c r="G5" s="56"/>
      <c r="J5" s="57" t="s">
        <v>595</v>
      </c>
      <c r="K5" s="22"/>
      <c r="L5" s="22"/>
      <c r="M5" s="22"/>
      <c r="N5" s="22"/>
      <c r="O5" s="22"/>
      <c r="P5" s="56"/>
    </row>
    <row r="6" spans="1:16" x14ac:dyDescent="0.25">
      <c r="A6" s="55" t="s">
        <v>577</v>
      </c>
      <c r="B6" s="22"/>
      <c r="C6" s="22"/>
      <c r="D6" s="22"/>
      <c r="E6" s="22"/>
      <c r="F6" s="22"/>
      <c r="G6" s="56"/>
      <c r="J6" s="55"/>
      <c r="K6" s="22"/>
      <c r="L6" s="22"/>
      <c r="M6" s="22"/>
      <c r="N6" s="22"/>
      <c r="O6" s="22"/>
      <c r="P6" s="56"/>
    </row>
    <row r="7" spans="1:16" x14ac:dyDescent="0.25">
      <c r="A7" s="58" t="s">
        <v>578</v>
      </c>
      <c r="B7" s="22"/>
      <c r="C7" s="22"/>
      <c r="D7" s="22"/>
      <c r="E7" s="22"/>
      <c r="F7" s="22"/>
      <c r="G7" s="56"/>
      <c r="J7" s="55" t="s">
        <v>597</v>
      </c>
      <c r="K7" s="22"/>
      <c r="L7" s="22"/>
      <c r="M7" s="22"/>
      <c r="N7" s="22"/>
      <c r="O7" s="22"/>
      <c r="P7" s="56"/>
    </row>
    <row r="8" spans="1:16" x14ac:dyDescent="0.25">
      <c r="A8" s="55"/>
      <c r="B8" s="22"/>
      <c r="C8" s="22"/>
      <c r="D8" s="22"/>
      <c r="E8" s="22"/>
      <c r="F8" s="22"/>
      <c r="G8" s="56"/>
      <c r="J8" s="55" t="s">
        <v>596</v>
      </c>
      <c r="K8" s="22"/>
      <c r="L8" s="22"/>
      <c r="M8" s="22"/>
      <c r="N8" s="22"/>
      <c r="O8" s="22"/>
      <c r="P8" s="56"/>
    </row>
    <row r="9" spans="1:16" x14ac:dyDescent="0.25">
      <c r="A9" s="55" t="s">
        <v>579</v>
      </c>
      <c r="B9" s="22"/>
      <c r="C9" s="22"/>
      <c r="D9" s="22"/>
      <c r="E9" s="22"/>
      <c r="F9" s="22"/>
      <c r="G9" s="56"/>
      <c r="J9" s="55"/>
      <c r="K9" s="22"/>
      <c r="L9" s="22"/>
      <c r="M9" s="22"/>
      <c r="N9" s="22"/>
      <c r="O9" s="22"/>
      <c r="P9" s="56"/>
    </row>
    <row r="10" spans="1:16" x14ac:dyDescent="0.25">
      <c r="A10" s="55"/>
      <c r="B10" s="22"/>
      <c r="C10" s="22"/>
      <c r="D10" s="22"/>
      <c r="E10" s="22"/>
      <c r="F10" s="22"/>
      <c r="G10" s="56"/>
      <c r="J10" s="55" t="s">
        <v>602</v>
      </c>
      <c r="K10" s="22"/>
      <c r="L10" s="22"/>
      <c r="M10" s="22"/>
      <c r="N10" s="22"/>
      <c r="O10" s="22"/>
      <c r="P10" s="56"/>
    </row>
    <row r="11" spans="1:16" x14ac:dyDescent="0.25">
      <c r="A11" s="55" t="s">
        <v>580</v>
      </c>
      <c r="B11" s="22"/>
      <c r="C11" s="22"/>
      <c r="D11" s="22"/>
      <c r="E11" s="22"/>
      <c r="F11" s="22"/>
      <c r="G11" s="56"/>
      <c r="J11" s="55" t="s">
        <v>598</v>
      </c>
      <c r="K11" s="22"/>
      <c r="L11" s="22"/>
      <c r="M11" s="22"/>
      <c r="N11" s="22"/>
      <c r="O11" s="22"/>
      <c r="P11" s="56"/>
    </row>
    <row r="12" spans="1:16" x14ac:dyDescent="0.25">
      <c r="A12" s="58" t="s">
        <v>581</v>
      </c>
      <c r="B12" s="22"/>
      <c r="C12" s="22"/>
      <c r="D12" s="22"/>
      <c r="E12" s="22"/>
      <c r="F12" s="22"/>
      <c r="G12" s="56"/>
      <c r="J12" s="55"/>
      <c r="K12" s="22"/>
      <c r="L12" s="22"/>
      <c r="M12" s="22"/>
      <c r="N12" s="22"/>
      <c r="O12" s="22"/>
      <c r="P12" s="56"/>
    </row>
    <row r="13" spans="1:16" x14ac:dyDescent="0.25">
      <c r="A13" s="55"/>
      <c r="B13" s="22"/>
      <c r="C13" s="22"/>
      <c r="D13" s="22"/>
      <c r="E13" s="22"/>
      <c r="F13" s="22"/>
      <c r="G13" s="56"/>
      <c r="J13" s="55" t="s">
        <v>601</v>
      </c>
      <c r="K13" s="22"/>
      <c r="L13" s="22"/>
      <c r="M13" s="22"/>
      <c r="N13" s="22"/>
      <c r="O13" s="22"/>
      <c r="P13" s="56"/>
    </row>
    <row r="14" spans="1:16" x14ac:dyDescent="0.25">
      <c r="A14" s="55" t="s">
        <v>582</v>
      </c>
      <c r="B14" s="22"/>
      <c r="C14" s="22"/>
      <c r="D14" s="22"/>
      <c r="E14" s="22"/>
      <c r="F14" s="22"/>
      <c r="G14" s="56"/>
      <c r="J14" s="55" t="s">
        <v>599</v>
      </c>
      <c r="K14" s="22"/>
      <c r="L14" s="22"/>
      <c r="M14" s="22"/>
      <c r="N14" s="22"/>
      <c r="O14" s="22"/>
      <c r="P14" s="56"/>
    </row>
    <row r="15" spans="1:16" x14ac:dyDescent="0.25">
      <c r="A15" s="58" t="s">
        <v>583</v>
      </c>
      <c r="B15" s="22"/>
      <c r="C15" s="22"/>
      <c r="D15" s="22"/>
      <c r="E15" s="22"/>
      <c r="F15" s="22"/>
      <c r="G15" s="56"/>
      <c r="J15" s="55" t="s">
        <v>600</v>
      </c>
      <c r="K15" s="22"/>
      <c r="L15" s="22"/>
      <c r="M15" s="22"/>
      <c r="N15" s="22"/>
      <c r="O15" s="22"/>
      <c r="P15" s="56"/>
    </row>
    <row r="16" spans="1:16" x14ac:dyDescent="0.25">
      <c r="A16" s="55"/>
      <c r="B16" s="22"/>
      <c r="C16" s="22"/>
      <c r="D16" s="22"/>
      <c r="E16" s="22"/>
      <c r="F16" s="22"/>
      <c r="G16" s="56"/>
      <c r="J16" s="55"/>
      <c r="K16" s="22"/>
      <c r="L16" s="22"/>
      <c r="M16" s="22"/>
      <c r="N16" s="22"/>
      <c r="O16" s="22"/>
      <c r="P16" s="56"/>
    </row>
    <row r="17" spans="1:16" ht="15.75" thickBot="1" x14ac:dyDescent="0.3">
      <c r="A17" s="59" t="s">
        <v>584</v>
      </c>
      <c r="B17" s="28"/>
      <c r="C17" s="28"/>
      <c r="D17" s="28"/>
      <c r="E17" s="28"/>
      <c r="F17" s="28"/>
      <c r="G17" s="60"/>
      <c r="J17" s="55" t="s">
        <v>603</v>
      </c>
      <c r="K17" s="22"/>
      <c r="L17" s="22"/>
      <c r="M17" s="22"/>
      <c r="N17" s="22"/>
      <c r="O17" s="22"/>
      <c r="P17" s="56"/>
    </row>
    <row r="18" spans="1:16" x14ac:dyDescent="0.25">
      <c r="J18" s="55" t="s">
        <v>604</v>
      </c>
      <c r="K18" s="22"/>
      <c r="L18" s="22"/>
      <c r="M18" s="22"/>
      <c r="N18" s="22"/>
      <c r="O18" s="22"/>
      <c r="P18" s="56"/>
    </row>
    <row r="19" spans="1:16" ht="15.75" thickBot="1" x14ac:dyDescent="0.3">
      <c r="J19" s="55" t="s">
        <v>605</v>
      </c>
      <c r="K19" s="22"/>
      <c r="L19" s="22"/>
      <c r="M19" s="22"/>
      <c r="N19" s="22"/>
      <c r="O19" s="22"/>
      <c r="P19" s="56"/>
    </row>
    <row r="20" spans="1:16" x14ac:dyDescent="0.25">
      <c r="A20" s="61" t="s">
        <v>570</v>
      </c>
      <c r="B20" s="53"/>
      <c r="C20" s="53"/>
      <c r="D20" s="53"/>
      <c r="E20" s="53"/>
      <c r="F20" s="53"/>
      <c r="G20" s="53"/>
      <c r="H20" s="54"/>
      <c r="J20" s="55" t="s">
        <v>606</v>
      </c>
      <c r="K20" s="22"/>
      <c r="L20" s="22"/>
      <c r="M20" s="22"/>
      <c r="N20" s="22"/>
      <c r="O20" s="22"/>
      <c r="P20" s="56"/>
    </row>
    <row r="21" spans="1:16" x14ac:dyDescent="0.25">
      <c r="A21" s="55"/>
      <c r="B21" s="22"/>
      <c r="C21" s="22"/>
      <c r="D21" s="22"/>
      <c r="E21" s="22"/>
      <c r="F21" s="22"/>
      <c r="G21" s="22"/>
      <c r="H21" s="56"/>
      <c r="J21" s="55"/>
      <c r="K21" s="22"/>
      <c r="L21" s="22"/>
      <c r="M21" s="22"/>
      <c r="N21" s="22"/>
      <c r="O21" s="22"/>
      <c r="P21" s="56"/>
    </row>
    <row r="22" spans="1:16" x14ac:dyDescent="0.25">
      <c r="A22" s="57" t="s">
        <v>571</v>
      </c>
      <c r="B22" s="22"/>
      <c r="C22" s="22"/>
      <c r="D22" s="22"/>
      <c r="E22" s="22"/>
      <c r="F22" s="22"/>
      <c r="G22" s="22"/>
      <c r="H22" s="56"/>
      <c r="J22" s="55" t="s">
        <v>609</v>
      </c>
      <c r="K22" s="22"/>
      <c r="L22" s="22"/>
      <c r="M22" s="22"/>
      <c r="N22" s="22"/>
      <c r="O22" s="22"/>
      <c r="P22" s="56"/>
    </row>
    <row r="23" spans="1:16" x14ac:dyDescent="0.25">
      <c r="A23" s="57" t="s">
        <v>576</v>
      </c>
      <c r="B23" s="22"/>
      <c r="C23" s="22"/>
      <c r="D23" s="22"/>
      <c r="E23" s="22"/>
      <c r="F23" s="22"/>
      <c r="G23" s="22"/>
      <c r="H23" s="56"/>
      <c r="J23" s="55" t="s">
        <v>607</v>
      </c>
      <c r="K23" s="22"/>
      <c r="L23" s="22"/>
      <c r="M23" s="22"/>
      <c r="N23" s="22"/>
      <c r="O23" s="22"/>
      <c r="P23" s="56"/>
    </row>
    <row r="24" spans="1:16" ht="15.75" thickBot="1" x14ac:dyDescent="0.3">
      <c r="A24" s="57" t="s">
        <v>572</v>
      </c>
      <c r="B24" s="22"/>
      <c r="C24" s="22"/>
      <c r="D24" s="22"/>
      <c r="E24" s="22"/>
      <c r="F24" s="22"/>
      <c r="G24" s="22"/>
      <c r="H24" s="56"/>
      <c r="J24" s="59" t="s">
        <v>608</v>
      </c>
      <c r="K24" s="28"/>
      <c r="L24" s="28"/>
      <c r="M24" s="28"/>
      <c r="N24" s="28"/>
      <c r="O24" s="28"/>
      <c r="P24" s="60"/>
    </row>
    <row r="25" spans="1:16" x14ac:dyDescent="0.25">
      <c r="A25" s="57"/>
      <c r="B25" s="22"/>
      <c r="C25" s="22"/>
      <c r="D25" s="22"/>
      <c r="E25" s="22"/>
      <c r="F25" s="22"/>
      <c r="G25" s="22"/>
      <c r="H25" s="56"/>
    </row>
    <row r="26" spans="1:16" x14ac:dyDescent="0.25">
      <c r="A26" s="57" t="s">
        <v>573</v>
      </c>
      <c r="B26" s="22"/>
      <c r="C26" s="22"/>
      <c r="D26" s="22"/>
      <c r="E26" s="22"/>
      <c r="F26" s="22"/>
      <c r="G26" s="22"/>
      <c r="H26" s="56"/>
    </row>
    <row r="27" spans="1:16" x14ac:dyDescent="0.25">
      <c r="A27" s="57" t="s">
        <v>574</v>
      </c>
      <c r="B27" s="22"/>
      <c r="C27" s="22"/>
      <c r="D27" s="22"/>
      <c r="E27" s="22"/>
      <c r="F27" s="22"/>
      <c r="G27" s="22"/>
      <c r="H27" s="56"/>
      <c r="J27" s="1" t="s">
        <v>610</v>
      </c>
    </row>
    <row r="28" spans="1:16" x14ac:dyDescent="0.25">
      <c r="A28" s="57" t="s">
        <v>575</v>
      </c>
      <c r="B28" s="22"/>
      <c r="C28" s="22"/>
      <c r="D28" s="22"/>
      <c r="E28" s="22"/>
      <c r="F28" s="22"/>
      <c r="G28" s="22"/>
      <c r="H28" s="56"/>
    </row>
    <row r="29" spans="1:16" x14ac:dyDescent="0.25">
      <c r="A29" s="55"/>
      <c r="B29" s="22"/>
      <c r="C29" s="22"/>
      <c r="D29" s="22"/>
      <c r="E29" s="22"/>
      <c r="F29" s="22"/>
      <c r="G29" s="22"/>
      <c r="H29" s="56"/>
    </row>
    <row r="30" spans="1:16" x14ac:dyDescent="0.25">
      <c r="A30" s="55" t="s">
        <v>585</v>
      </c>
      <c r="B30" s="22"/>
      <c r="C30" s="22"/>
      <c r="D30" s="22"/>
      <c r="E30" s="22"/>
      <c r="F30" s="22"/>
      <c r="G30" s="22"/>
      <c r="H30" s="56"/>
    </row>
    <row r="31" spans="1:16" x14ac:dyDescent="0.25">
      <c r="A31" s="55" t="s">
        <v>586</v>
      </c>
      <c r="B31" s="22"/>
      <c r="C31" s="22"/>
      <c r="D31" s="22"/>
      <c r="E31" s="22"/>
      <c r="F31" s="22"/>
      <c r="G31" s="22"/>
      <c r="H31" s="56"/>
    </row>
    <row r="32" spans="1:16" x14ac:dyDescent="0.25">
      <c r="A32" s="55"/>
      <c r="B32" s="22"/>
      <c r="C32" s="22"/>
      <c r="D32" s="22"/>
      <c r="E32" s="22"/>
      <c r="F32" s="22"/>
      <c r="G32" s="22"/>
      <c r="H32" s="56"/>
    </row>
    <row r="33" spans="1:17" x14ac:dyDescent="0.25">
      <c r="A33" s="55" t="s">
        <v>587</v>
      </c>
      <c r="B33" s="22"/>
      <c r="C33" s="22"/>
      <c r="D33" s="22"/>
      <c r="E33" s="22"/>
      <c r="F33" s="22"/>
      <c r="G33" s="22"/>
      <c r="H33" s="56"/>
    </row>
    <row r="34" spans="1:17" x14ac:dyDescent="0.25">
      <c r="A34" s="55" t="s">
        <v>588</v>
      </c>
      <c r="B34" s="22"/>
      <c r="C34" s="22"/>
      <c r="D34" s="22"/>
      <c r="E34" s="22"/>
      <c r="F34" s="22"/>
      <c r="G34" s="22"/>
      <c r="H34" s="56"/>
    </row>
    <row r="35" spans="1:17" x14ac:dyDescent="0.25">
      <c r="A35" s="55" t="s">
        <v>589</v>
      </c>
      <c r="B35" s="22"/>
      <c r="C35" s="22"/>
      <c r="D35" s="22"/>
      <c r="E35" s="22"/>
      <c r="F35" s="22"/>
      <c r="G35" s="22"/>
      <c r="H35" s="56"/>
    </row>
    <row r="36" spans="1:17" x14ac:dyDescent="0.25">
      <c r="A36" s="55" t="s">
        <v>590</v>
      </c>
      <c r="B36" s="22"/>
      <c r="C36" s="22"/>
      <c r="D36" s="22"/>
      <c r="E36" s="22"/>
      <c r="F36" s="22"/>
      <c r="G36" s="22"/>
      <c r="H36" s="56"/>
    </row>
    <row r="37" spans="1:17" ht="15.75" thickBot="1" x14ac:dyDescent="0.3">
      <c r="A37" s="59" t="s">
        <v>591</v>
      </c>
      <c r="B37" s="28"/>
      <c r="C37" s="28"/>
      <c r="D37" s="28"/>
      <c r="E37" s="28"/>
      <c r="F37" s="28"/>
      <c r="G37" s="28"/>
      <c r="H37" s="60"/>
    </row>
    <row r="40" spans="1:17" x14ac:dyDescent="0.25">
      <c r="J40" s="1" t="s">
        <v>615</v>
      </c>
      <c r="O40" s="1" t="s">
        <v>621</v>
      </c>
    </row>
    <row r="42" spans="1:17" x14ac:dyDescent="0.25">
      <c r="J42" t="s">
        <v>611</v>
      </c>
      <c r="M42">
        <v>1000000</v>
      </c>
      <c r="O42" s="1" t="s">
        <v>620</v>
      </c>
    </row>
    <row r="43" spans="1:17" x14ac:dyDescent="0.25">
      <c r="J43" t="s">
        <v>612</v>
      </c>
      <c r="M43">
        <v>200000</v>
      </c>
      <c r="O43" t="s">
        <v>616</v>
      </c>
      <c r="Q43">
        <f>1200000-75000</f>
        <v>1125000</v>
      </c>
    </row>
    <row r="44" spans="1:17" ht="15.75" thickBot="1" x14ac:dyDescent="0.3">
      <c r="J44" t="s">
        <v>613</v>
      </c>
      <c r="M44" s="3">
        <v>0</v>
      </c>
    </row>
    <row r="45" spans="1:17" x14ac:dyDescent="0.25">
      <c r="O45" s="1" t="s">
        <v>617</v>
      </c>
      <c r="Q45">
        <f>Q43/10</f>
        <v>112500</v>
      </c>
    </row>
    <row r="46" spans="1:17" x14ac:dyDescent="0.25">
      <c r="J46" s="1" t="s">
        <v>614</v>
      </c>
      <c r="M46">
        <f>M42+M43+M44</f>
        <v>1200000</v>
      </c>
      <c r="O46" t="s">
        <v>618</v>
      </c>
    </row>
    <row r="48" spans="1:17" x14ac:dyDescent="0.25">
      <c r="O48" s="1" t="s">
        <v>619</v>
      </c>
    </row>
    <row r="49" spans="15:15" x14ac:dyDescent="0.25">
      <c r="O49">
        <f>Q45*(9/12)</f>
        <v>84375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D7C26-3FC7-4E7E-A25C-D96A116A1529}">
  <dimension ref="A1:J60"/>
  <sheetViews>
    <sheetView workbookViewId="0">
      <selection activeCell="D19" sqref="D19"/>
    </sheetView>
  </sheetViews>
  <sheetFormatPr defaultRowHeight="15" x14ac:dyDescent="0.25"/>
  <sheetData>
    <row r="1" spans="1:10" x14ac:dyDescent="0.25">
      <c r="A1" s="1" t="s">
        <v>567</v>
      </c>
      <c r="J1" s="1" t="s">
        <v>570</v>
      </c>
    </row>
    <row r="18" spans="1:8" x14ac:dyDescent="0.25">
      <c r="A18" s="1" t="s">
        <v>622</v>
      </c>
    </row>
    <row r="19" spans="1:8" x14ac:dyDescent="0.25">
      <c r="G19" t="s">
        <v>232</v>
      </c>
      <c r="H19" t="s">
        <v>232</v>
      </c>
    </row>
    <row r="20" spans="1:8" x14ac:dyDescent="0.25">
      <c r="A20" s="1" t="s">
        <v>623</v>
      </c>
    </row>
    <row r="21" spans="1:8" x14ac:dyDescent="0.25">
      <c r="A21" t="s">
        <v>624</v>
      </c>
      <c r="G21" s="2">
        <f>100000*(5/40)</f>
        <v>12500</v>
      </c>
    </row>
    <row r="22" spans="1:8" x14ac:dyDescent="0.25">
      <c r="A22" t="s">
        <v>625</v>
      </c>
      <c r="H22" s="2">
        <f>(100000-98000)</f>
        <v>2000</v>
      </c>
    </row>
    <row r="23" spans="1:8" x14ac:dyDescent="0.25">
      <c r="A23" t="s">
        <v>626</v>
      </c>
      <c r="H23" s="2">
        <v>10500</v>
      </c>
    </row>
    <row r="25" spans="1:8" x14ac:dyDescent="0.25">
      <c r="A25" s="1" t="s">
        <v>627</v>
      </c>
    </row>
    <row r="26" spans="1:8" x14ac:dyDescent="0.25">
      <c r="A26" t="s">
        <v>628</v>
      </c>
      <c r="G26">
        <f>100000/40</f>
        <v>2500</v>
      </c>
    </row>
    <row r="27" spans="1:8" x14ac:dyDescent="0.25">
      <c r="A27" t="s">
        <v>629</v>
      </c>
      <c r="H27" s="2">
        <v>2500</v>
      </c>
    </row>
    <row r="29" spans="1:8" x14ac:dyDescent="0.25">
      <c r="A29" s="1" t="s">
        <v>630</v>
      </c>
    </row>
    <row r="30" spans="1:8" x14ac:dyDescent="0.25">
      <c r="A30" t="s">
        <v>631</v>
      </c>
      <c r="G30">
        <f>100000-(100000*(5/40))</f>
        <v>87500</v>
      </c>
    </row>
    <row r="31" spans="1:8" x14ac:dyDescent="0.25">
      <c r="A31" t="s">
        <v>632</v>
      </c>
    </row>
    <row r="32" spans="1:8" ht="15.75" thickBot="1" x14ac:dyDescent="0.3">
      <c r="A32" t="s">
        <v>633</v>
      </c>
      <c r="G32" s="4">
        <v>98000</v>
      </c>
    </row>
    <row r="33" spans="1:7" x14ac:dyDescent="0.25">
      <c r="A33" t="s">
        <v>634</v>
      </c>
      <c r="G33" s="2">
        <f>G32-G30</f>
        <v>10500</v>
      </c>
    </row>
    <row r="36" spans="1:7" x14ac:dyDescent="0.25">
      <c r="A36" s="1" t="s">
        <v>635</v>
      </c>
    </row>
    <row r="38" spans="1:7" x14ac:dyDescent="0.25">
      <c r="A38" s="1" t="s">
        <v>636</v>
      </c>
    </row>
    <row r="39" spans="1:7" x14ac:dyDescent="0.25">
      <c r="A39" s="1" t="s">
        <v>637</v>
      </c>
    </row>
    <row r="41" spans="1:7" x14ac:dyDescent="0.25">
      <c r="A41" s="38"/>
      <c r="B41" s="40"/>
      <c r="C41" s="40"/>
      <c r="D41" s="39"/>
      <c r="E41" s="34" t="s">
        <v>232</v>
      </c>
    </row>
    <row r="42" spans="1:7" x14ac:dyDescent="0.25">
      <c r="A42" s="34" t="s">
        <v>638</v>
      </c>
      <c r="B42" s="34"/>
      <c r="C42" s="38"/>
      <c r="D42" s="39"/>
      <c r="E42" s="37">
        <v>2500</v>
      </c>
    </row>
    <row r="43" spans="1:7" x14ac:dyDescent="0.25">
      <c r="A43" s="38"/>
      <c r="B43" s="40"/>
      <c r="C43" s="40"/>
      <c r="D43" s="39"/>
      <c r="E43" s="34"/>
    </row>
    <row r="44" spans="1:7" x14ac:dyDescent="0.25">
      <c r="A44" s="34" t="s">
        <v>639</v>
      </c>
      <c r="B44" s="34"/>
      <c r="C44" s="38"/>
      <c r="D44" s="39"/>
      <c r="E44" s="34"/>
    </row>
    <row r="45" spans="1:7" x14ac:dyDescent="0.25">
      <c r="A45" s="34" t="s">
        <v>640</v>
      </c>
      <c r="B45" s="34"/>
      <c r="C45" s="38"/>
      <c r="D45" s="39"/>
      <c r="E45" s="37">
        <f>G33</f>
        <v>10500</v>
      </c>
    </row>
    <row r="47" spans="1:7" x14ac:dyDescent="0.25">
      <c r="A47" s="1" t="s">
        <v>641</v>
      </c>
    </row>
    <row r="49" spans="1:6" x14ac:dyDescent="0.25">
      <c r="A49" s="38"/>
      <c r="B49" s="40"/>
      <c r="C49" s="40"/>
      <c r="D49" s="39"/>
      <c r="E49" s="34" t="s">
        <v>232</v>
      </c>
    </row>
    <row r="50" spans="1:6" x14ac:dyDescent="0.25">
      <c r="A50" s="36" t="s">
        <v>17</v>
      </c>
      <c r="B50" s="38"/>
      <c r="C50" s="40"/>
      <c r="D50" s="39"/>
      <c r="E50" s="34"/>
    </row>
    <row r="51" spans="1:6" x14ac:dyDescent="0.25">
      <c r="A51" s="38" t="s">
        <v>642</v>
      </c>
      <c r="B51" s="40"/>
      <c r="C51" s="40"/>
      <c r="D51" s="39"/>
      <c r="E51" s="37">
        <v>98000</v>
      </c>
    </row>
    <row r="52" spans="1:6" x14ac:dyDescent="0.25">
      <c r="A52" s="38"/>
      <c r="B52" s="40"/>
      <c r="C52" s="40"/>
      <c r="D52" s="39"/>
      <c r="E52" s="34"/>
    </row>
    <row r="53" spans="1:6" x14ac:dyDescent="0.25">
      <c r="A53" s="41" t="s">
        <v>23</v>
      </c>
      <c r="B53" s="40"/>
      <c r="C53" s="40"/>
      <c r="D53" s="39"/>
      <c r="E53" s="34"/>
    </row>
    <row r="54" spans="1:6" x14ac:dyDescent="0.25">
      <c r="A54" s="34" t="s">
        <v>10</v>
      </c>
      <c r="B54" s="38"/>
      <c r="C54" s="40"/>
      <c r="D54" s="39"/>
      <c r="E54" s="37">
        <v>10500</v>
      </c>
    </row>
    <row r="56" spans="1:6" x14ac:dyDescent="0.25">
      <c r="A56" s="1" t="s">
        <v>643</v>
      </c>
    </row>
    <row r="58" spans="1:6" x14ac:dyDescent="0.25">
      <c r="A58" s="38"/>
      <c r="B58" s="40"/>
      <c r="C58" s="40"/>
      <c r="D58" s="39"/>
      <c r="E58" s="34" t="s">
        <v>10</v>
      </c>
      <c r="F58" s="35"/>
    </row>
    <row r="59" spans="1:6" x14ac:dyDescent="0.25">
      <c r="A59" s="38"/>
      <c r="B59" s="40"/>
      <c r="C59" s="40"/>
      <c r="D59" s="39"/>
      <c r="E59" s="71" t="s">
        <v>232</v>
      </c>
      <c r="F59" s="71"/>
    </row>
    <row r="60" spans="1:6" x14ac:dyDescent="0.25">
      <c r="A60" s="34" t="s">
        <v>644</v>
      </c>
      <c r="B60" s="34"/>
      <c r="C60" s="38"/>
      <c r="D60" s="39"/>
      <c r="E60" s="72">
        <v>10500</v>
      </c>
      <c r="F60" s="72"/>
    </row>
  </sheetData>
  <mergeCells count="2">
    <mergeCell ref="E59:F59"/>
    <mergeCell ref="E60:F60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5C3D4-2793-4637-8F23-7FFA8C63EE9A}">
  <dimension ref="A1:Q33"/>
  <sheetViews>
    <sheetView topLeftCell="Q13" workbookViewId="0">
      <selection activeCell="H26" sqref="H26"/>
    </sheetView>
  </sheetViews>
  <sheetFormatPr defaultRowHeight="15" x14ac:dyDescent="0.25"/>
  <sheetData>
    <row r="1" spans="1:17" x14ac:dyDescent="0.25">
      <c r="A1" s="1" t="s">
        <v>645</v>
      </c>
      <c r="I1" s="1" t="s">
        <v>570</v>
      </c>
      <c r="Q1" s="1" t="s">
        <v>610</v>
      </c>
    </row>
    <row r="2" spans="1:17" x14ac:dyDescent="0.25">
      <c r="A2" s="1"/>
      <c r="I2" s="1"/>
    </row>
    <row r="3" spans="1:17" x14ac:dyDescent="0.25">
      <c r="A3" s="1" t="s">
        <v>646</v>
      </c>
      <c r="I3" s="1" t="s">
        <v>661</v>
      </c>
    </row>
    <row r="4" spans="1:17" x14ac:dyDescent="0.25">
      <c r="A4" s="1" t="s">
        <v>647</v>
      </c>
      <c r="I4" s="1" t="s">
        <v>662</v>
      </c>
    </row>
    <row r="6" spans="1:17" x14ac:dyDescent="0.25">
      <c r="A6" s="1" t="s">
        <v>648</v>
      </c>
      <c r="I6" t="s">
        <v>663</v>
      </c>
    </row>
    <row r="7" spans="1:17" x14ac:dyDescent="0.25">
      <c r="I7" t="s">
        <v>885</v>
      </c>
    </row>
    <row r="8" spans="1:17" x14ac:dyDescent="0.25">
      <c r="A8" t="s">
        <v>651</v>
      </c>
      <c r="I8" t="s">
        <v>664</v>
      </c>
    </row>
    <row r="9" spans="1:17" x14ac:dyDescent="0.25">
      <c r="A9" t="s">
        <v>652</v>
      </c>
      <c r="I9" t="s">
        <v>665</v>
      </c>
    </row>
    <row r="10" spans="1:17" x14ac:dyDescent="0.25">
      <c r="A10" t="s">
        <v>653</v>
      </c>
    </row>
    <row r="11" spans="1:17" x14ac:dyDescent="0.25">
      <c r="I11" t="s">
        <v>666</v>
      </c>
    </row>
    <row r="12" spans="1:17" x14ac:dyDescent="0.25">
      <c r="I12" t="s">
        <v>667</v>
      </c>
    </row>
    <row r="13" spans="1:17" x14ac:dyDescent="0.25">
      <c r="A13" s="1" t="s">
        <v>649</v>
      </c>
      <c r="I13" t="s">
        <v>668</v>
      </c>
    </row>
    <row r="14" spans="1:17" x14ac:dyDescent="0.25">
      <c r="A14" s="1" t="s">
        <v>650</v>
      </c>
    </row>
    <row r="16" spans="1:17" x14ac:dyDescent="0.25">
      <c r="A16" t="s">
        <v>654</v>
      </c>
      <c r="I16" s="1" t="s">
        <v>592</v>
      </c>
    </row>
    <row r="17" spans="1:9" x14ac:dyDescent="0.25">
      <c r="A17" t="s">
        <v>655</v>
      </c>
    </row>
    <row r="18" spans="1:9" x14ac:dyDescent="0.25">
      <c r="I18" s="1" t="s">
        <v>669</v>
      </c>
    </row>
    <row r="19" spans="1:9" x14ac:dyDescent="0.25">
      <c r="A19" t="s">
        <v>656</v>
      </c>
      <c r="I19" s="1" t="s">
        <v>670</v>
      </c>
    </row>
    <row r="20" spans="1:9" x14ac:dyDescent="0.25">
      <c r="A20" t="s">
        <v>657</v>
      </c>
      <c r="I20" s="1" t="s">
        <v>671</v>
      </c>
    </row>
    <row r="22" spans="1:9" x14ac:dyDescent="0.25">
      <c r="A22" t="s">
        <v>658</v>
      </c>
      <c r="I22" s="1" t="s">
        <v>672</v>
      </c>
    </row>
    <row r="24" spans="1:9" x14ac:dyDescent="0.25">
      <c r="A24" t="s">
        <v>659</v>
      </c>
    </row>
    <row r="25" spans="1:9" x14ac:dyDescent="0.25">
      <c r="A25" t="s">
        <v>660</v>
      </c>
    </row>
    <row r="27" spans="1:9" x14ac:dyDescent="0.25">
      <c r="I27" s="1" t="s">
        <v>673</v>
      </c>
    </row>
    <row r="33" spans="9:9" x14ac:dyDescent="0.25">
      <c r="I33" s="1" t="s">
        <v>674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fc68bb02-cea7-47a7-8486-5fa5775c5400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115D461E3186840B6295614C3F6CBF7" ma:contentTypeVersion="8" ma:contentTypeDescription="Create a new document." ma:contentTypeScope="" ma:versionID="9107541f7dd454956cf5915018af6425">
  <xsd:schema xmlns:xsd="http://www.w3.org/2001/XMLSchema" xmlns:xs="http://www.w3.org/2001/XMLSchema" xmlns:p="http://schemas.microsoft.com/office/2006/metadata/properties" xmlns:ns3="fc68bb02-cea7-47a7-8486-5fa5775c5400" xmlns:ns4="9ad45b7a-dbde-452b-a4a7-7cb6f25a272a" targetNamespace="http://schemas.microsoft.com/office/2006/metadata/properties" ma:root="true" ma:fieldsID="92be98e4ec645e1abee86e06ed72d6cf" ns3:_="" ns4:_="">
    <xsd:import namespace="fc68bb02-cea7-47a7-8486-5fa5775c5400"/>
    <xsd:import namespace="9ad45b7a-dbde-452b-a4a7-7cb6f25a272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68bb02-cea7-47a7-8486-5fa5775c540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d45b7a-dbde-452b-a4a7-7cb6f25a272a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5829707-D6B1-4E54-9FAC-3480B207D04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04E760E-3272-4F24-A5D0-8488920FAF18}">
  <ds:schemaRefs>
    <ds:schemaRef ds:uri="http://schemas.microsoft.com/office/2006/documentManagement/types"/>
    <ds:schemaRef ds:uri="9ad45b7a-dbde-452b-a4a7-7cb6f25a272a"/>
    <ds:schemaRef ds:uri="http://purl.org/dc/terms/"/>
    <ds:schemaRef ds:uri="http://schemas.microsoft.com/office/infopath/2007/PartnerControls"/>
    <ds:schemaRef ds:uri="http://purl.org/dc/elements/1.1/"/>
    <ds:schemaRef ds:uri="http://purl.org/dc/dcmitype/"/>
    <ds:schemaRef ds:uri="http://schemas.openxmlformats.org/package/2006/metadata/core-properties"/>
    <ds:schemaRef ds:uri="fc68bb02-cea7-47a7-8486-5fa5775c5400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C943DCE3-6BD4-44BC-8C32-F00CD814AD8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c68bb02-cea7-47a7-8486-5fa5775c5400"/>
    <ds:schemaRef ds:uri="9ad45b7a-dbde-452b-a4a7-7cb6f25a272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Week 1 Knowledge</vt:lpstr>
      <vt:lpstr>Week 1 Reg. &amp; Concept. Framewor</vt:lpstr>
      <vt:lpstr>Week 2-3 Measurement Bases</vt:lpstr>
      <vt:lpstr>Week 3 Present. of Publ Accts</vt:lpstr>
      <vt:lpstr>Week 4 SoFP </vt:lpstr>
      <vt:lpstr>Week 5 Present. of Publ Accts</vt:lpstr>
      <vt:lpstr>Week 7 Prop. Plant and Equip.</vt:lpstr>
      <vt:lpstr>Week 8 Revaluation</vt:lpstr>
      <vt:lpstr>Week 9 Inventories</vt:lpstr>
      <vt:lpstr>Week 10 Revenue from Contracts</vt:lpstr>
      <vt:lpstr>Week 11 Impairment of Assets</vt:lpstr>
      <vt:lpstr>Week 12 Statement of C.F.</vt:lpstr>
      <vt:lpstr>Week 13 Intangible Assets</vt:lpstr>
      <vt:lpstr>Week 14 Provisions, Contingents</vt:lpstr>
      <vt:lpstr>Week 16-19 Accnting. for Groups</vt:lpstr>
      <vt:lpstr>Week 20-21 Interpretation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Ubayd Knight (U2281887)</dc:creator>
  <cp:lastModifiedBy>Ubayd Knight (U2281887)</cp:lastModifiedBy>
  <dcterms:created xsi:type="dcterms:W3CDTF">2024-05-08T01:10:06Z</dcterms:created>
  <dcterms:modified xsi:type="dcterms:W3CDTF">2024-12-10T14:04:15Z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0x010100B115D461E3186840B6295614C3F6CBF7</vt:lpwstr>
  </property>
</Properties>
</file>