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dac-my.sharepoint.com/personal/u2281887_unimail_hud_ac_uk/Documents/"/>
    </mc:Choice>
  </mc:AlternateContent>
  <xr:revisionPtr revIDLastSave="779" documentId="8_{AD8AC73E-4962-4C7C-90AB-6DB6197437FD}" xr6:coauthVersionLast="47" xr6:coauthVersionMax="47" xr10:uidLastSave="{88389270-F878-498A-836E-E2ED4D9D6117}"/>
  <bookViews>
    <workbookView xWindow="-19995" yWindow="6510" windowWidth="19110" windowHeight="13110" firstSheet="4" activeTab="4" xr2:uid="{5281AE14-FA0B-4E90-9F1C-83D676AB9A71}"/>
  </bookViews>
  <sheets>
    <sheet name="Week 1 - SoFP" sheetId="1" r:id="rId1"/>
    <sheet name="Week 1 - Guide (Profit or Loss)" sheetId="2" r:id="rId2"/>
    <sheet name="Week 2 - Guide (Profit or Loss)" sheetId="4" r:id="rId3"/>
    <sheet name="Week 2 - Guide (Fin. Position)" sheetId="3" r:id="rId4"/>
    <sheet name="Week 3 - PPE (Reval; SoPL)" sheetId="6" r:id="rId5"/>
    <sheet name="Week 3 - PPE (Reval; SoFP)" sheetId="5" r:id="rId6"/>
    <sheet name="Week 4 - Revenue" sheetId="7" r:id="rId7"/>
    <sheet name="Week 5 - Inventories" sheetId="8" r:id="rId8"/>
    <sheet name="Week 7 - Assets HFS + Discon.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6" l="1"/>
  <c r="J13" i="6"/>
  <c r="J12" i="6"/>
  <c r="J11" i="6"/>
  <c r="J10" i="6"/>
  <c r="J9" i="6"/>
  <c r="J8" i="6"/>
  <c r="J4" i="6"/>
  <c r="J5" i="6" s="1"/>
  <c r="N29" i="6"/>
  <c r="N28" i="6"/>
  <c r="N14" i="6"/>
  <c r="N7" i="6"/>
  <c r="N8" i="6" s="1"/>
  <c r="N21" i="6"/>
  <c r="N20" i="6"/>
  <c r="N19" i="6"/>
  <c r="N22" i="6" s="1"/>
  <c r="N12" i="6"/>
  <c r="H70" i="5"/>
  <c r="H69" i="5"/>
  <c r="H56" i="5"/>
  <c r="H62" i="5"/>
  <c r="I43" i="5"/>
  <c r="I44" i="5" s="1"/>
  <c r="H36" i="5"/>
  <c r="J24" i="5"/>
  <c r="I71" i="3"/>
  <c r="I65" i="3"/>
  <c r="J22" i="3"/>
  <c r="I25" i="3"/>
  <c r="H25" i="3"/>
  <c r="I38" i="3"/>
  <c r="J24" i="3"/>
  <c r="J23" i="3"/>
  <c r="G79" i="4"/>
  <c r="I70" i="4"/>
  <c r="I69" i="4"/>
  <c r="I68" i="4"/>
  <c r="I67" i="4"/>
  <c r="I66" i="4"/>
  <c r="I65" i="4"/>
  <c r="I71" i="4" s="1"/>
  <c r="I44" i="4"/>
  <c r="L37" i="4"/>
  <c r="O34" i="4" s="1"/>
  <c r="L36" i="4"/>
  <c r="L35" i="4"/>
  <c r="L34" i="4"/>
  <c r="K27" i="4"/>
  <c r="K30" i="4" s="1"/>
  <c r="J77" i="1"/>
  <c r="J76" i="1"/>
  <c r="I69" i="1"/>
  <c r="J48" i="1"/>
  <c r="K36" i="1"/>
  <c r="K35" i="1"/>
  <c r="K34" i="1"/>
  <c r="K33" i="1"/>
  <c r="K32" i="1"/>
  <c r="J36" i="1"/>
  <c r="I36" i="1"/>
  <c r="J45" i="1"/>
  <c r="J44" i="1"/>
  <c r="J35" i="1"/>
  <c r="J34" i="1"/>
  <c r="J33" i="1"/>
  <c r="E81" i="2"/>
  <c r="E80" i="2"/>
  <c r="E77" i="2"/>
  <c r="E76" i="2"/>
  <c r="E75" i="2"/>
  <c r="E74" i="2"/>
  <c r="E71" i="2"/>
  <c r="N15" i="6" l="1"/>
  <c r="H45" i="5"/>
  <c r="J25" i="3"/>
  <c r="O36" i="4"/>
  <c r="O35" i="4"/>
  <c r="O37" i="4" s="1"/>
</calcChain>
</file>

<file path=xl/sharedStrings.xml><?xml version="1.0" encoding="utf-8"?>
<sst xmlns="http://schemas.openxmlformats.org/spreadsheetml/2006/main" count="573" uniqueCount="309">
  <si>
    <t>Opening Inventory</t>
  </si>
  <si>
    <t>Purchases</t>
  </si>
  <si>
    <t>Closing Inventory</t>
  </si>
  <si>
    <t>Land</t>
  </si>
  <si>
    <t>Building</t>
  </si>
  <si>
    <t>Fixtures and Fittings</t>
  </si>
  <si>
    <t>Van</t>
  </si>
  <si>
    <t>Step 1: Calculate Revenue</t>
  </si>
  <si>
    <t>Revenue is the total income from goods sold or services provided.</t>
  </si>
  <si>
    <t>Formula: Revenue = Gross Sales - Sales Returns and Allowances</t>
  </si>
  <si>
    <t>Gross Sales = 365,200</t>
  </si>
  <si>
    <t>Sales Returns = 1,200</t>
  </si>
  <si>
    <t>Revenue = 365,200 - 1,000 = 364,000</t>
  </si>
  <si>
    <t>Step 2: Calculate Cost of Sales</t>
  </si>
  <si>
    <t>Cost of sales represents the direct costs of producing goods sold</t>
  </si>
  <si>
    <t>during the period.</t>
  </si>
  <si>
    <t>Formula: Cost of Sales = Opening Inventory + Purchases - Purchase Returns - Closing Inventory</t>
  </si>
  <si>
    <t>Opening Inventory = 23,340</t>
  </si>
  <si>
    <t>Purchases = 266,800</t>
  </si>
  <si>
    <t>Purchase Returns = 1,600</t>
  </si>
  <si>
    <t>Closing Inventory = 25,680</t>
  </si>
  <si>
    <t>Cost of Sales = 23,340 + 266,800 + 1,600 - 25,680 = 262,860</t>
  </si>
  <si>
    <t>Step 3: Calculate Gross Profit</t>
  </si>
  <si>
    <t>Gross Profit is the revenue remaining after deducting the cost of sales.</t>
  </si>
  <si>
    <t>Formula: Gross Profit = Revenue - Cost of Sales</t>
  </si>
  <si>
    <t>Gross Profit = 364,000 - 262,860 = 101,140</t>
  </si>
  <si>
    <t>Step 4: Add other income</t>
  </si>
  <si>
    <t>Add any incidental income to main operations, such as sundry</t>
  </si>
  <si>
    <t>income or gains.</t>
  </si>
  <si>
    <t>Sundry Income = 1,622</t>
  </si>
  <si>
    <t>Gross Profit (Including Other Income) = 101,140 + 1,622 = 102,762</t>
  </si>
  <si>
    <t>Step 5: Subtract Operating Expenses</t>
  </si>
  <si>
    <t>Operating Expenses are Indirect Costs associated with running</t>
  </si>
  <si>
    <t>the business.</t>
  </si>
  <si>
    <t xml:space="preserve">Components Include: </t>
  </si>
  <si>
    <t>- Wages</t>
  </si>
  <si>
    <t>- Rent</t>
  </si>
  <si>
    <t>- Motor Expenses</t>
  </si>
  <si>
    <t>- Insurance</t>
  </si>
  <si>
    <t>- Depreciation</t>
  </si>
  <si>
    <t>- Irrecoverable Debts</t>
  </si>
  <si>
    <t>- Allowance Adjustments</t>
  </si>
  <si>
    <t>Wages = 46,160</t>
  </si>
  <si>
    <t>Rent (13,000 - 1,000 for prepayment) = 12,000</t>
  </si>
  <si>
    <t>Motor Expenses = 3,720</t>
  </si>
  <si>
    <t>Insurance = 760</t>
  </si>
  <si>
    <t>Irrecoverable Debts (984 + 130) = 1114</t>
  </si>
  <si>
    <t>Allowance Adjustment (Decrease: 588 - 516) = -72</t>
  </si>
  <si>
    <t>Light &amp; Heat (3,074 + 460) = 3,534</t>
  </si>
  <si>
    <t>Bank Interest = 74</t>
  </si>
  <si>
    <t>Depreciation = 11,128</t>
  </si>
  <si>
    <t>Total Admin Expenses: (Add them all up together minus Allowance Adjustment)</t>
  </si>
  <si>
    <t>= 78,418</t>
  </si>
  <si>
    <t>Step 7: Subtract Income Tax</t>
  </si>
  <si>
    <t>Deduct the Tax Expense for the Year. Include adjustments for under/over provision.</t>
  </si>
  <si>
    <t>Income Tax Provision = 7,300</t>
  </si>
  <si>
    <t>Under-provision from Previous Year = 100</t>
  </si>
  <si>
    <t>Total Tax = 7,300 + 100 = 7,400</t>
  </si>
  <si>
    <t>Net Profit after Tax = 24,344</t>
  </si>
  <si>
    <t>Step 8: Include Other Comprehensive Income (OCI)</t>
  </si>
  <si>
    <t>If applicable, include items like revaluation surplus, actuarial gains/losses, etc.</t>
  </si>
  <si>
    <t>Revaluation Surplus = 150,000</t>
  </si>
  <si>
    <t>Total Comprehensive Income = Profit after Tax + OCI</t>
  </si>
  <si>
    <t>Total Comprehensive Income = 16,944 + 150,000 = 166,944</t>
  </si>
  <si>
    <t>Crown Co.</t>
  </si>
  <si>
    <t>Statement of Profit or Loss and other comprehensive income as at 31 December</t>
  </si>
  <si>
    <t>2020</t>
  </si>
  <si>
    <t>Sales</t>
  </si>
  <si>
    <t>Cost of Sales</t>
  </si>
  <si>
    <t>Gross Profit</t>
  </si>
  <si>
    <t>Sundry Income</t>
  </si>
  <si>
    <t>Admin (W2)</t>
  </si>
  <si>
    <t>Profit before Tax</t>
  </si>
  <si>
    <t>Income Tax</t>
  </si>
  <si>
    <t>Profit for the Year</t>
  </si>
  <si>
    <t>Other comprehensive Income</t>
  </si>
  <si>
    <t>Revaluation Surplus</t>
  </si>
  <si>
    <t>Total Comprehensive Income</t>
  </si>
  <si>
    <t>ASSETS</t>
  </si>
  <si>
    <t>Non-Current Assets</t>
  </si>
  <si>
    <t>Fixtures &amp; Fittings</t>
  </si>
  <si>
    <t>Total Non-Current Assets</t>
  </si>
  <si>
    <t>Current Assets</t>
  </si>
  <si>
    <t>Inventory</t>
  </si>
  <si>
    <t>Receivables</t>
  </si>
  <si>
    <t>Net Receivables</t>
  </si>
  <si>
    <t>Prepayments</t>
  </si>
  <si>
    <t>Bank</t>
  </si>
  <si>
    <t>Total Current Assets</t>
  </si>
  <si>
    <t>Total Assets</t>
  </si>
  <si>
    <t>Equity</t>
  </si>
  <si>
    <t>Ordinary Share Capital</t>
  </si>
  <si>
    <t>Retained Earnings</t>
  </si>
  <si>
    <t>Total Equity</t>
  </si>
  <si>
    <t>Liabilities</t>
  </si>
  <si>
    <t>Current Liabilities</t>
  </si>
  <si>
    <t>Payables</t>
  </si>
  <si>
    <t>Accruals</t>
  </si>
  <si>
    <t>Total Current Liabilities</t>
  </si>
  <si>
    <t>Total Liabilities</t>
  </si>
  <si>
    <t>Total Equity and Liabilities</t>
  </si>
  <si>
    <t>The Statement of Financial Position (SoFP) provides a snapshot of</t>
  </si>
  <si>
    <t>a company's financial position at a given point in time. It shows:</t>
  </si>
  <si>
    <t>- Assets: Resources owned by the company</t>
  </si>
  <si>
    <t>- Liabiltiies: Obligations owed by the company</t>
  </si>
  <si>
    <t>- Equity: The residual interest of ownerrs in the company</t>
  </si>
  <si>
    <t>It adheres to the fundamental accounting equation:</t>
  </si>
  <si>
    <t>Assets = Liabilities + Equity</t>
  </si>
  <si>
    <t>The Statement of Financial Position is divided into:</t>
  </si>
  <si>
    <t>1. Assets:</t>
  </si>
  <si>
    <t>- Non-current Assets (e.g., Land, Buildings, Vehicles)</t>
  </si>
  <si>
    <t>- Current Assets (e.g., Inventory, Receivables, Cash)</t>
  </si>
  <si>
    <t>2. Equity:</t>
  </si>
  <si>
    <t>- Share Capital</t>
  </si>
  <si>
    <t>- Reserves</t>
  </si>
  <si>
    <t>- Retained Earnings</t>
  </si>
  <si>
    <t xml:space="preserve">3. Liabilities: </t>
  </si>
  <si>
    <t>- Current Liabilities (e.g., Payables, Accruals, Income Tax)</t>
  </si>
  <si>
    <t>- Non-Current Liabiltiies (e.g., Long-term Debt)</t>
  </si>
  <si>
    <t>Step 1: Non-Current Assets</t>
  </si>
  <si>
    <t>Formula for Net Book Value (NBV):</t>
  </si>
  <si>
    <t>NBV = Cost - Accumulated Depreciation</t>
  </si>
  <si>
    <t>Asset</t>
  </si>
  <si>
    <t>NBV (£)</t>
  </si>
  <si>
    <t>Cost (£)</t>
  </si>
  <si>
    <t xml:space="preserve">- </t>
  </si>
  <si>
    <t>Depreciation Working Out:</t>
  </si>
  <si>
    <t>Building:</t>
  </si>
  <si>
    <t>Annual Depreciation:</t>
  </si>
  <si>
    <t>=100,000 * 2% = 2,000</t>
  </si>
  <si>
    <t>Accumulated Depreciaition (as at 31 Dec. 2020):</t>
  </si>
  <si>
    <t>Closing + Opening = 6,000 + 2,000 = 8,000</t>
  </si>
  <si>
    <t>Fixtures and Fittings:</t>
  </si>
  <si>
    <t>= 28,000 * 1/5 = 5,600</t>
  </si>
  <si>
    <t>Accumulated Depreciation:</t>
  </si>
  <si>
    <t>Closing + Opening + 16800 + 5600 = 22400</t>
  </si>
  <si>
    <t>Van:</t>
  </si>
  <si>
    <t>= 11,760 * 30% = 3,528</t>
  </si>
  <si>
    <t>Opening + Closing = 12,240 + 3,528 = 15768</t>
  </si>
  <si>
    <t>Step 2: Current Assets</t>
  </si>
  <si>
    <t>Current Assets are short-term resources expected to be used</t>
  </si>
  <si>
    <t>or converted to cash within one year.</t>
  </si>
  <si>
    <t>Current Asset</t>
  </si>
  <si>
    <t>Calculation</t>
  </si>
  <si>
    <t>Amount (£)</t>
  </si>
  <si>
    <t>As Provided</t>
  </si>
  <si>
    <t>G.R. - Allwnce.</t>
  </si>
  <si>
    <t>Acc. Depr. (£)</t>
  </si>
  <si>
    <t>Step 3: Equity</t>
  </si>
  <si>
    <t xml:space="preserve">Equity represents the owner's residual interest the company. </t>
  </si>
  <si>
    <t>Ordinary Share Capital: £100,000</t>
  </si>
  <si>
    <t>Revaluation Surplus: £150,000</t>
  </si>
  <si>
    <t>Retained Earnings: £104,800 + £16,944 (Profit for Year)</t>
  </si>
  <si>
    <t>= £121,744</t>
  </si>
  <si>
    <t>Total Equity: £371,744</t>
  </si>
  <si>
    <t>Step 4: Liabilities</t>
  </si>
  <si>
    <t>current and non-current.</t>
  </si>
  <si>
    <t>Liabilities represent the company's obligations, split into both</t>
  </si>
  <si>
    <t>Verify that the formula stands true within your calculations.</t>
  </si>
  <si>
    <t>Assets = Equity + Liabilities</t>
  </si>
  <si>
    <t>Equity and Liabilities: £371,744 + £30,764</t>
  </si>
  <si>
    <t>Assets: £355,832 + £46,676</t>
  </si>
  <si>
    <t>Step 5: Balancing</t>
  </si>
  <si>
    <t>Equity and Liabilities</t>
  </si>
  <si>
    <t xml:space="preserve">Cost of Sales = </t>
  </si>
  <si>
    <t>Gross Profit =</t>
  </si>
  <si>
    <t>Sundry Income =</t>
  </si>
  <si>
    <t>Gross Profit (Including Other Income) =</t>
  </si>
  <si>
    <t>Statement of Profit or Loss</t>
  </si>
  <si>
    <t>£'000</t>
  </si>
  <si>
    <t>Revenue</t>
  </si>
  <si>
    <t>Operating Expenses</t>
  </si>
  <si>
    <t>Finance Costs</t>
  </si>
  <si>
    <t>Profit Before Tax</t>
  </si>
  <si>
    <t>Gross Sales = 3987</t>
  </si>
  <si>
    <t>Sales Returns = 20</t>
  </si>
  <si>
    <t>Revenue = 3967</t>
  </si>
  <si>
    <t xml:space="preserve">Formula: Cost of Sales = Opening Inventory + Purchases - Purchase Returns - </t>
  </si>
  <si>
    <t>Closing Inventory + Carriage Inwards - Depreciation</t>
  </si>
  <si>
    <t>Step 3: Calculate Depreciation</t>
  </si>
  <si>
    <t>Premises</t>
  </si>
  <si>
    <t>Component</t>
  </si>
  <si>
    <t>Amount (£'000)</t>
  </si>
  <si>
    <t>Carriage Inwards</t>
  </si>
  <si>
    <t xml:space="preserve">Depreciation </t>
  </si>
  <si>
    <t>Total</t>
  </si>
  <si>
    <t>Less: Closing Inv.</t>
  </si>
  <si>
    <t>Given</t>
  </si>
  <si>
    <t>From W2</t>
  </si>
  <si>
    <t>Additional</t>
  </si>
  <si>
    <t>Premises: 2% Straight-Line</t>
  </si>
  <si>
    <t>Fixtures and Fittings: 20% Straight-Line</t>
  </si>
  <si>
    <t>Van: 25% Reducing Balance</t>
  </si>
  <si>
    <t>Step 3a: Allocation of Depreciation</t>
  </si>
  <si>
    <t>Cost of Sales (30%)</t>
  </si>
  <si>
    <t>Selling &amp; Dist (45%)</t>
  </si>
  <si>
    <t>Admin Expenses (25%)</t>
  </si>
  <si>
    <t>There is none so we move on</t>
  </si>
  <si>
    <t>- Admin Expense</t>
  </si>
  <si>
    <t>- Heating and Light</t>
  </si>
  <si>
    <t>- Increase in Allownc.</t>
  </si>
  <si>
    <t>- CEO Pay</t>
  </si>
  <si>
    <t>- Bank Charges</t>
  </si>
  <si>
    <t>- Prepayment Adj.</t>
  </si>
  <si>
    <t>Step 6: Finance Costs:</t>
  </si>
  <si>
    <t>Finance Costs include interest expenses on borrowings, adjust accordingly.</t>
  </si>
  <si>
    <t>Finance Costs = Loan Principal * Interest Rate - Interest Paid</t>
  </si>
  <si>
    <t>Step 7: Profit Before Tax</t>
  </si>
  <si>
    <t>Subtract all expenses from Gross Profit</t>
  </si>
  <si>
    <t>Profit before Tax = 1798-1184-371-12 = 231</t>
  </si>
  <si>
    <t>Administrative</t>
  </si>
  <si>
    <t>Selling &amp; Distribution</t>
  </si>
  <si>
    <t>Step 8: Income Tax</t>
  </si>
  <si>
    <t>Finally deduct income tax to show final profit value</t>
  </si>
  <si>
    <t>Profit for the Year = 231 - 51 = 180</t>
  </si>
  <si>
    <t>Method</t>
  </si>
  <si>
    <t>Depreciation (£'000)</t>
  </si>
  <si>
    <t>Straight-Line</t>
  </si>
  <si>
    <t>Reducing Balance</t>
  </si>
  <si>
    <t>Total Depreciation</t>
  </si>
  <si>
    <t>880×0.02</t>
  </si>
  <si>
    <t>150×0.20</t>
  </si>
  <si>
    <t>(16−12)×0.25</t>
  </si>
  <si>
    <t>Fix. &amp; Fit.</t>
  </si>
  <si>
    <t>Premises:</t>
  </si>
  <si>
    <t>Gross Recvbls.</t>
  </si>
  <si>
    <t>Revaluation Surplus: £0</t>
  </si>
  <si>
    <t>Retained Earnings: £502 + £180 (Profit for Year)</t>
  </si>
  <si>
    <t>Ordinary Share Capital: £800</t>
  </si>
  <si>
    <t>= £1482</t>
  </si>
  <si>
    <t>Total Equity: £1482</t>
  </si>
  <si>
    <t>Non-Current Liabilities</t>
  </si>
  <si>
    <t>Overdraft</t>
  </si>
  <si>
    <t>Loan Interest Due</t>
  </si>
  <si>
    <t>Income Tax Payable</t>
  </si>
  <si>
    <t xml:space="preserve"> £12 (accrued £7, paid £5)</t>
  </si>
  <si>
    <t>Loan Note (10%)</t>
  </si>
  <si>
    <t>Equity and Liabilities: £1482 + £175 + £120</t>
  </si>
  <si>
    <t>Assets: £1777</t>
  </si>
  <si>
    <t>Category</t>
  </si>
  <si>
    <t>Share Capital</t>
  </si>
  <si>
    <t>Assets</t>
  </si>
  <si>
    <t>Cost (£'000)</t>
  </si>
  <si>
    <t>NBV (£'000)</t>
  </si>
  <si>
    <t>Property</t>
  </si>
  <si>
    <t>Plant &amp; Equipment</t>
  </si>
  <si>
    <t>1,570 (1,250 + 320 additions)</t>
  </si>
  <si>
    <t>Accu. Depr. (£'000)</t>
  </si>
  <si>
    <t>Trade Receivables</t>
  </si>
  <si>
    <t xml:space="preserve"> (£375) + (£744) - (£125)</t>
  </si>
  <si>
    <t xml:space="preserve">Total Equity: </t>
  </si>
  <si>
    <t>Loan</t>
  </si>
  <si>
    <t>Trade Payables</t>
  </si>
  <si>
    <t>NCL</t>
  </si>
  <si>
    <t>CL</t>
  </si>
  <si>
    <t>Equity and Liabilities:</t>
  </si>
  <si>
    <t>Assets:</t>
  </si>
  <si>
    <r>
      <rPr>
        <b/>
        <sz val="11"/>
        <color theme="1"/>
        <rFont val="Aptos Narrow"/>
        <family val="2"/>
        <scheme val="minor"/>
      </rPr>
      <t xml:space="preserve">First Step: </t>
    </r>
    <r>
      <rPr>
        <sz val="11"/>
        <color theme="1"/>
        <rFont val="Aptos Narrow"/>
        <family val="2"/>
        <scheme val="minor"/>
      </rPr>
      <t>Work out Cost of Sales</t>
    </r>
  </si>
  <si>
    <t>Formula for which is =</t>
  </si>
  <si>
    <t>Opening Inventory + Purchases - Less Purchase</t>
  </si>
  <si>
    <t>Returns - Less Closing Inventory</t>
  </si>
  <si>
    <r>
      <rPr>
        <b/>
        <sz val="11"/>
        <color theme="1"/>
        <rFont val="Aptos Narrow"/>
        <family val="2"/>
        <scheme val="minor"/>
      </rPr>
      <t>Second Step:</t>
    </r>
    <r>
      <rPr>
        <sz val="11"/>
        <color theme="1"/>
        <rFont val="Aptos Narrow"/>
        <family val="2"/>
        <scheme val="minor"/>
      </rPr>
      <t xml:space="preserve"> Work out Depreciation</t>
    </r>
  </si>
  <si>
    <t>Straight-line = Straight up divide by x%</t>
  </si>
  <si>
    <t>and divide by Y years if given</t>
  </si>
  <si>
    <t>Reducing Balance = (Cost - Depreciation) * (Rate)</t>
  </si>
  <si>
    <t>Add them all up and divide to each category</t>
  </si>
  <si>
    <t>accordingly.</t>
  </si>
  <si>
    <r>
      <rPr>
        <b/>
        <sz val="11"/>
        <color theme="1"/>
        <rFont val="Aptos Narrow"/>
        <family val="2"/>
        <scheme val="minor"/>
      </rPr>
      <t>Third Step</t>
    </r>
    <r>
      <rPr>
        <sz val="11"/>
        <color theme="1"/>
        <rFont val="Aptos Narrow"/>
        <family val="2"/>
        <scheme val="minor"/>
      </rPr>
      <t>: After Whipping that Value in</t>
    </r>
  </si>
  <si>
    <t>Include Sundry Income afterwards if present</t>
  </si>
  <si>
    <t>Then calculate Admin Expenses</t>
  </si>
  <si>
    <t>All the administrative expenses added together</t>
  </si>
  <si>
    <t>(Understand the meaning of each cost)</t>
  </si>
  <si>
    <t>E.g. Wages, Rent, Motor Expenses, Insurance,</t>
  </si>
  <si>
    <t>Irrecoverable Debts, ( - Decrease in Allowance ),</t>
  </si>
  <si>
    <t>Light and Heat, Bank Interest, and Depreciation</t>
  </si>
  <si>
    <t>But only include depreciation in where the question</t>
  </si>
  <si>
    <t>tells you to include it to.</t>
  </si>
  <si>
    <r>
      <rPr>
        <b/>
        <sz val="11"/>
        <color theme="1"/>
        <rFont val="Aptos Narrow"/>
        <family val="2"/>
        <scheme val="minor"/>
      </rPr>
      <t>Fourth Step</t>
    </r>
    <r>
      <rPr>
        <sz val="11"/>
        <color theme="1"/>
        <rFont val="Aptos Narrow"/>
        <family val="2"/>
        <scheme val="minor"/>
      </rPr>
      <t>: Calculate the income tax</t>
    </r>
  </si>
  <si>
    <t>Just read the trial balance and act accordingly.</t>
  </si>
  <si>
    <t>£ '000</t>
  </si>
  <si>
    <t>Less: Expenses</t>
  </si>
  <si>
    <t>Administrative Expenses</t>
  </si>
  <si>
    <t>Distribution Expenses</t>
  </si>
  <si>
    <t>Depreciation</t>
  </si>
  <si>
    <t>Amount (£ '000)</t>
  </si>
  <si>
    <t>Less: Closing Inventory</t>
  </si>
  <si>
    <t>Less: Purchases Capitalised</t>
  </si>
  <si>
    <t>(Refer to W2)</t>
  </si>
  <si>
    <t>Addit. Info</t>
  </si>
  <si>
    <t>Labour</t>
  </si>
  <si>
    <t>Total - Adjustments</t>
  </si>
  <si>
    <t>Raw Materials</t>
  </si>
  <si>
    <t>Discount</t>
  </si>
  <si>
    <t>Percentage Adjustment</t>
  </si>
  <si>
    <t>Total Capitalised Costs</t>
  </si>
  <si>
    <t>Why?</t>
  </si>
  <si>
    <t>Cost × Depreciation Rate</t>
  </si>
  <si>
    <t>New Equipment</t>
  </si>
  <si>
    <t>(Cost × Rate × Months/12)</t>
  </si>
  <si>
    <t>Brought Forward</t>
  </si>
  <si>
    <t>Carried Forward</t>
  </si>
  <si>
    <t>SOPL</t>
  </si>
  <si>
    <t>Trial Balance</t>
  </si>
  <si>
    <t>Combine the both</t>
  </si>
  <si>
    <t>= SOPL, they have to balance</t>
  </si>
  <si>
    <t>Step 1: Cost of Sales</t>
  </si>
  <si>
    <t>Step 2: Purchases Capitalised</t>
  </si>
  <si>
    <t>Step 3: Depreciation</t>
  </si>
  <si>
    <t>Step 4: Income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</si>
</sst>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4" formatCode="&quot;£&quot;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quotePrefix="1"/>
    <xf numFmtId="0" fontId="1" fillId="0" borderId="0" xfId="0" quotePrefix="1" applyFont="1"/>
    <xf numFmtId="3" fontId="0" fillId="0" borderId="0" xfId="0" applyNumberFormat="1"/>
    <xf numFmtId="3" fontId="0" fillId="0" borderId="1" xfId="0" applyNumberFormat="1" applyBorder="1"/>
    <xf numFmtId="3" fontId="1" fillId="0" borderId="0" xfId="0" applyNumberFormat="1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" fontId="0" fillId="0" borderId="0" xfId="0" applyNumberFormat="1"/>
    <xf numFmtId="1" fontId="0" fillId="0" borderId="1" xfId="0" applyNumberFormat="1" applyBorder="1"/>
    <xf numFmtId="6" fontId="0" fillId="0" borderId="0" xfId="0" applyNumberFormat="1"/>
    <xf numFmtId="164" fontId="0" fillId="0" borderId="0" xfId="0" applyNumberFormat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64745</xdr:colOff>
      <xdr:row>37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1ED982-34B2-8912-0095-C77FDAAA4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865345" cy="7143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104776</xdr:rowOff>
    </xdr:from>
    <xdr:to>
      <xdr:col>6</xdr:col>
      <xdr:colOff>62346</xdr:colOff>
      <xdr:row>41</xdr:row>
      <xdr:rowOff>28576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4A830D-5221-D58F-8E56-95EB5B8B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53276"/>
          <a:ext cx="4862946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598145</xdr:colOff>
      <xdr:row>37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149AA2-F43F-4F5F-AC55-02EBE9D39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865345" cy="7143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104776</xdr:rowOff>
    </xdr:from>
    <xdr:to>
      <xdr:col>7</xdr:col>
      <xdr:colOff>595746</xdr:colOff>
      <xdr:row>41</xdr:row>
      <xdr:rowOff>28576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BC402E-FD21-4E50-9E59-9902894C6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62801"/>
          <a:ext cx="4862946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4</xdr:col>
      <xdr:colOff>486756</xdr:colOff>
      <xdr:row>31</xdr:row>
      <xdr:rowOff>28576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DF1819-45F9-9B92-41A5-A303260F9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268180" cy="5943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4</xdr:col>
      <xdr:colOff>471541</xdr:colOff>
      <xdr:row>47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011AFA-3231-FE39-6D6D-5233714B3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05500"/>
          <a:ext cx="4252966" cy="3171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601056</xdr:colOff>
      <xdr:row>31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88C2E3-2374-4BB3-B455-98328ED0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268180" cy="5943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9524</xdr:rowOff>
    </xdr:from>
    <xdr:to>
      <xdr:col>4</xdr:col>
      <xdr:colOff>585841</xdr:colOff>
      <xdr:row>47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9D30AD-2C3C-49E1-B1DF-789C6D770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15024"/>
          <a:ext cx="4252966" cy="3171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596713</xdr:colOff>
      <xdr:row>31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1009E5-CA76-4780-B7D3-84E433247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54313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114300</xdr:rowOff>
    </xdr:from>
    <xdr:to>
      <xdr:col>6</xdr:col>
      <xdr:colOff>594472</xdr:colOff>
      <xdr:row>61</xdr:row>
      <xdr:rowOff>34857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425934-65A0-4A1B-95B8-546B123CC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19800"/>
          <a:ext cx="4252072" cy="56355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354666</xdr:colOff>
      <xdr:row>31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E5618C-1211-3164-A02A-50CB59516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69441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114300</xdr:rowOff>
    </xdr:from>
    <xdr:to>
      <xdr:col>5</xdr:col>
      <xdr:colOff>352425</xdr:colOff>
      <xdr:row>61</xdr:row>
      <xdr:rowOff>34857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11E1E5-8805-E99C-39CB-E73FC38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19800"/>
          <a:ext cx="4267200" cy="5635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31858-278C-4ECC-9322-D0DA075B6D97}">
  <dimension ref="A2:M78"/>
  <sheetViews>
    <sheetView zoomScale="85" zoomScaleNormal="85" workbookViewId="0">
      <selection activeCell="H37" sqref="H37"/>
    </sheetView>
  </sheetViews>
  <sheetFormatPr defaultRowHeight="15" x14ac:dyDescent="0.25"/>
  <cols>
    <col min="1" max="1" width="24.42578125" customWidth="1"/>
    <col min="2" max="2" width="11" customWidth="1"/>
    <col min="8" max="8" width="18.7109375" customWidth="1"/>
    <col min="9" max="10" width="17.85546875" customWidth="1"/>
    <col min="13" max="13" width="18.85546875" bestFit="1" customWidth="1"/>
  </cols>
  <sheetData>
    <row r="2" spans="8:10" x14ac:dyDescent="0.25">
      <c r="H2" s="1" t="s">
        <v>101</v>
      </c>
      <c r="J2" s="1"/>
    </row>
    <row r="3" spans="8:10" x14ac:dyDescent="0.25">
      <c r="H3" s="1" t="s">
        <v>102</v>
      </c>
    </row>
    <row r="4" spans="8:10" x14ac:dyDescent="0.25">
      <c r="H4" s="3" t="s">
        <v>103</v>
      </c>
    </row>
    <row r="5" spans="8:10" x14ac:dyDescent="0.25">
      <c r="H5" s="3" t="s">
        <v>104</v>
      </c>
    </row>
    <row r="6" spans="8:10" x14ac:dyDescent="0.25">
      <c r="H6" s="3" t="s">
        <v>105</v>
      </c>
    </row>
    <row r="8" spans="8:10" x14ac:dyDescent="0.25">
      <c r="H8" s="1" t="s">
        <v>106</v>
      </c>
    </row>
    <row r="9" spans="8:10" x14ac:dyDescent="0.25">
      <c r="H9" t="s">
        <v>107</v>
      </c>
    </row>
    <row r="10" spans="8:10" x14ac:dyDescent="0.25">
      <c r="J10" s="1"/>
    </row>
    <row r="11" spans="8:10" x14ac:dyDescent="0.25">
      <c r="H11" s="1" t="s">
        <v>108</v>
      </c>
      <c r="J11" s="1"/>
    </row>
    <row r="13" spans="8:10" x14ac:dyDescent="0.25">
      <c r="H13" s="1" t="s">
        <v>109</v>
      </c>
    </row>
    <row r="14" spans="8:10" x14ac:dyDescent="0.25">
      <c r="H14" s="3" t="s">
        <v>110</v>
      </c>
    </row>
    <row r="15" spans="8:10" x14ac:dyDescent="0.25">
      <c r="H15" s="3" t="s">
        <v>111</v>
      </c>
    </row>
    <row r="17" spans="8:13" x14ac:dyDescent="0.25">
      <c r="H17" s="1" t="s">
        <v>112</v>
      </c>
    </row>
    <row r="18" spans="8:13" x14ac:dyDescent="0.25">
      <c r="H18" s="3" t="s">
        <v>113</v>
      </c>
    </row>
    <row r="19" spans="8:13" x14ac:dyDescent="0.25">
      <c r="H19" s="3" t="s">
        <v>114</v>
      </c>
    </row>
    <row r="20" spans="8:13" x14ac:dyDescent="0.25">
      <c r="H20" s="3" t="s">
        <v>115</v>
      </c>
    </row>
    <row r="22" spans="8:13" x14ac:dyDescent="0.25">
      <c r="H22" s="1" t="s">
        <v>116</v>
      </c>
    </row>
    <row r="23" spans="8:13" x14ac:dyDescent="0.25">
      <c r="H23" s="3" t="s">
        <v>117</v>
      </c>
    </row>
    <row r="24" spans="8:13" x14ac:dyDescent="0.25">
      <c r="H24" s="3" t="s">
        <v>118</v>
      </c>
      <c r="J24" s="1"/>
    </row>
    <row r="26" spans="8:13" x14ac:dyDescent="0.25">
      <c r="H26" s="1" t="s">
        <v>119</v>
      </c>
      <c r="K26" s="1"/>
    </row>
    <row r="27" spans="8:13" x14ac:dyDescent="0.25">
      <c r="K27" s="1"/>
      <c r="L27" s="1"/>
    </row>
    <row r="28" spans="8:13" x14ac:dyDescent="0.25">
      <c r="H28" t="s">
        <v>120</v>
      </c>
      <c r="M28" s="1" t="s">
        <v>126</v>
      </c>
    </row>
    <row r="29" spans="8:13" x14ac:dyDescent="0.25">
      <c r="H29" s="1" t="s">
        <v>121</v>
      </c>
    </row>
    <row r="30" spans="8:13" x14ac:dyDescent="0.25">
      <c r="M30" s="1" t="s">
        <v>127</v>
      </c>
    </row>
    <row r="31" spans="8:13" x14ac:dyDescent="0.25">
      <c r="H31" s="1" t="s">
        <v>122</v>
      </c>
      <c r="I31" s="1" t="s">
        <v>124</v>
      </c>
      <c r="J31" s="1" t="s">
        <v>147</v>
      </c>
      <c r="K31" s="1" t="s">
        <v>123</v>
      </c>
      <c r="M31" s="1" t="s">
        <v>128</v>
      </c>
    </row>
    <row r="32" spans="8:13" x14ac:dyDescent="0.25">
      <c r="H32" t="s">
        <v>3</v>
      </c>
      <c r="I32">
        <v>250000</v>
      </c>
      <c r="J32" s="12" t="s">
        <v>125</v>
      </c>
      <c r="K32">
        <f>I32</f>
        <v>250000</v>
      </c>
      <c r="M32" s="3" t="s">
        <v>129</v>
      </c>
    </row>
    <row r="33" spans="1:13" x14ac:dyDescent="0.25">
      <c r="H33" t="s">
        <v>4</v>
      </c>
      <c r="I33">
        <v>100000</v>
      </c>
      <c r="J33" s="1">
        <f>((2/100)*100000)+6000</f>
        <v>8000</v>
      </c>
      <c r="K33">
        <f>I33-J33</f>
        <v>92000</v>
      </c>
    </row>
    <row r="34" spans="1:13" x14ac:dyDescent="0.25">
      <c r="H34" t="s">
        <v>5</v>
      </c>
      <c r="I34">
        <v>28000</v>
      </c>
      <c r="J34">
        <f>(28000*(1/5)+16800)</f>
        <v>22400</v>
      </c>
      <c r="K34">
        <f>I34-J34</f>
        <v>5600</v>
      </c>
      <c r="M34" s="1" t="s">
        <v>130</v>
      </c>
    </row>
    <row r="35" spans="1:13" x14ac:dyDescent="0.25">
      <c r="H35" t="s">
        <v>6</v>
      </c>
      <c r="I35">
        <v>24000</v>
      </c>
      <c r="J35">
        <f>(11760*(30/100)+12240)</f>
        <v>15768</v>
      </c>
      <c r="K35">
        <f>I35-J35</f>
        <v>8232</v>
      </c>
      <c r="M35" t="s">
        <v>131</v>
      </c>
    </row>
    <row r="36" spans="1:13" x14ac:dyDescent="0.25">
      <c r="I36">
        <f>I35+I34+I33+I32</f>
        <v>402000</v>
      </c>
      <c r="J36">
        <f>J35+J34+J33</f>
        <v>46168</v>
      </c>
      <c r="K36" s="1">
        <f>I36-J36</f>
        <v>355832</v>
      </c>
    </row>
    <row r="37" spans="1:13" x14ac:dyDescent="0.25">
      <c r="M37" s="1" t="s">
        <v>132</v>
      </c>
    </row>
    <row r="38" spans="1:13" x14ac:dyDescent="0.25">
      <c r="H38" s="1" t="s">
        <v>139</v>
      </c>
      <c r="M38" s="1" t="s">
        <v>128</v>
      </c>
    </row>
    <row r="39" spans="1:13" x14ac:dyDescent="0.25">
      <c r="M39" s="3" t="s">
        <v>133</v>
      </c>
    </row>
    <row r="40" spans="1:13" x14ac:dyDescent="0.25">
      <c r="H40" t="s">
        <v>140</v>
      </c>
      <c r="J40" s="1"/>
    </row>
    <row r="41" spans="1:13" x14ac:dyDescent="0.25">
      <c r="H41" t="s">
        <v>141</v>
      </c>
      <c r="M41" s="1" t="s">
        <v>134</v>
      </c>
    </row>
    <row r="42" spans="1:13" x14ac:dyDescent="0.25">
      <c r="M42" t="s">
        <v>135</v>
      </c>
    </row>
    <row r="43" spans="1:13" x14ac:dyDescent="0.25">
      <c r="A43" s="9" t="s">
        <v>78</v>
      </c>
      <c r="B43" s="8"/>
      <c r="C43" s="8"/>
      <c r="H43" s="1" t="s">
        <v>142</v>
      </c>
      <c r="I43" s="1" t="s">
        <v>143</v>
      </c>
      <c r="J43" s="1" t="s">
        <v>144</v>
      </c>
    </row>
    <row r="44" spans="1:13" x14ac:dyDescent="0.25">
      <c r="C44" s="8"/>
      <c r="H44" t="s">
        <v>83</v>
      </c>
      <c r="I44" t="s">
        <v>2</v>
      </c>
      <c r="J44">
        <f>25680</f>
        <v>25680</v>
      </c>
      <c r="M44" s="1" t="s">
        <v>136</v>
      </c>
    </row>
    <row r="45" spans="1:13" x14ac:dyDescent="0.25">
      <c r="A45" s="9" t="s">
        <v>79</v>
      </c>
      <c r="B45" s="8"/>
      <c r="H45" t="s">
        <v>84</v>
      </c>
      <c r="I45" t="s">
        <v>146</v>
      </c>
      <c r="J45">
        <f>17330-130-516</f>
        <v>16684</v>
      </c>
      <c r="M45" s="1" t="s">
        <v>128</v>
      </c>
    </row>
    <row r="46" spans="1:13" x14ac:dyDescent="0.25">
      <c r="A46" s="8" t="s">
        <v>3</v>
      </c>
      <c r="B46" s="10">
        <v>250000</v>
      </c>
      <c r="H46" t="s">
        <v>86</v>
      </c>
      <c r="I46" t="s">
        <v>145</v>
      </c>
      <c r="J46">
        <v>1000</v>
      </c>
      <c r="M46" s="4" t="s">
        <v>137</v>
      </c>
    </row>
    <row r="47" spans="1:13" x14ac:dyDescent="0.25">
      <c r="A47" s="8" t="s">
        <v>4</v>
      </c>
      <c r="B47" s="10">
        <v>92000</v>
      </c>
      <c r="H47" t="s">
        <v>87</v>
      </c>
      <c r="I47" t="s">
        <v>145</v>
      </c>
      <c r="J47">
        <v>3312</v>
      </c>
    </row>
    <row r="48" spans="1:13" x14ac:dyDescent="0.25">
      <c r="A48" s="8" t="s">
        <v>80</v>
      </c>
      <c r="B48" s="10">
        <v>5600</v>
      </c>
      <c r="J48">
        <f>SUM(J44:J47)</f>
        <v>46676</v>
      </c>
      <c r="M48" s="1" t="s">
        <v>134</v>
      </c>
    </row>
    <row r="49" spans="1:13" x14ac:dyDescent="0.25">
      <c r="A49" s="8" t="s">
        <v>6</v>
      </c>
      <c r="B49" s="10">
        <v>8232</v>
      </c>
      <c r="M49" t="s">
        <v>138</v>
      </c>
    </row>
    <row r="50" spans="1:13" x14ac:dyDescent="0.25">
      <c r="A50" s="9" t="s">
        <v>81</v>
      </c>
      <c r="B50" s="11">
        <v>355832</v>
      </c>
      <c r="H50" s="1" t="s">
        <v>148</v>
      </c>
    </row>
    <row r="51" spans="1:13" x14ac:dyDescent="0.25">
      <c r="H51" t="s">
        <v>149</v>
      </c>
    </row>
    <row r="52" spans="1:13" x14ac:dyDescent="0.25">
      <c r="A52" s="9" t="s">
        <v>82</v>
      </c>
      <c r="B52" s="8"/>
    </row>
    <row r="53" spans="1:13" x14ac:dyDescent="0.25">
      <c r="A53" s="8" t="s">
        <v>83</v>
      </c>
      <c r="B53" s="10">
        <v>25680</v>
      </c>
      <c r="H53" t="s">
        <v>150</v>
      </c>
    </row>
    <row r="54" spans="1:13" x14ac:dyDescent="0.25">
      <c r="A54" s="8" t="s">
        <v>84</v>
      </c>
      <c r="B54" s="10">
        <v>17200</v>
      </c>
      <c r="H54" t="s">
        <v>151</v>
      </c>
    </row>
    <row r="55" spans="1:13" x14ac:dyDescent="0.25">
      <c r="A55" s="8"/>
      <c r="B55" s="8">
        <v>-516</v>
      </c>
      <c r="H55" t="s">
        <v>152</v>
      </c>
    </row>
    <row r="56" spans="1:13" x14ac:dyDescent="0.25">
      <c r="A56" s="9" t="s">
        <v>85</v>
      </c>
      <c r="B56" s="10">
        <v>16684</v>
      </c>
      <c r="H56" s="3" t="s">
        <v>153</v>
      </c>
    </row>
    <row r="57" spans="1:13" x14ac:dyDescent="0.25">
      <c r="A57" s="8" t="s">
        <v>86</v>
      </c>
      <c r="B57" s="10">
        <v>1000</v>
      </c>
    </row>
    <row r="58" spans="1:13" x14ac:dyDescent="0.25">
      <c r="A58" s="8" t="s">
        <v>87</v>
      </c>
      <c r="B58" s="10">
        <v>3312</v>
      </c>
      <c r="H58" t="s">
        <v>154</v>
      </c>
    </row>
    <row r="59" spans="1:13" x14ac:dyDescent="0.25">
      <c r="A59" s="9" t="s">
        <v>88</v>
      </c>
      <c r="B59" s="11">
        <v>46676</v>
      </c>
    </row>
    <row r="60" spans="1:13" x14ac:dyDescent="0.25">
      <c r="A60" s="9" t="s">
        <v>89</v>
      </c>
      <c r="B60" s="11">
        <v>402508</v>
      </c>
    </row>
    <row r="61" spans="1:13" x14ac:dyDescent="0.25">
      <c r="H61" s="1" t="s">
        <v>155</v>
      </c>
    </row>
    <row r="62" spans="1:13" x14ac:dyDescent="0.25">
      <c r="A62" s="9" t="s">
        <v>163</v>
      </c>
      <c r="B62" s="8"/>
      <c r="H62" t="s">
        <v>157</v>
      </c>
    </row>
    <row r="63" spans="1:13" x14ac:dyDescent="0.25">
      <c r="H63" t="s">
        <v>156</v>
      </c>
    </row>
    <row r="64" spans="1:13" x14ac:dyDescent="0.25">
      <c r="A64" s="9" t="s">
        <v>90</v>
      </c>
      <c r="B64" s="8"/>
    </row>
    <row r="65" spans="1:10" x14ac:dyDescent="0.25">
      <c r="A65" s="8" t="s">
        <v>91</v>
      </c>
      <c r="B65" s="10">
        <v>100000</v>
      </c>
      <c r="H65" s="1" t="s">
        <v>95</v>
      </c>
      <c r="I65" s="1" t="s">
        <v>144</v>
      </c>
    </row>
    <row r="66" spans="1:10" x14ac:dyDescent="0.25">
      <c r="A66" s="8" t="s">
        <v>76</v>
      </c>
      <c r="B66" s="10">
        <v>150000</v>
      </c>
      <c r="H66" t="s">
        <v>96</v>
      </c>
      <c r="I66" s="5">
        <v>23004</v>
      </c>
    </row>
    <row r="67" spans="1:10" x14ac:dyDescent="0.25">
      <c r="A67" s="8" t="s">
        <v>92</v>
      </c>
      <c r="B67" s="10">
        <v>121744</v>
      </c>
      <c r="H67" t="s">
        <v>97</v>
      </c>
      <c r="I67">
        <v>460</v>
      </c>
    </row>
    <row r="68" spans="1:10" x14ac:dyDescent="0.25">
      <c r="A68" s="9" t="s">
        <v>93</v>
      </c>
      <c r="B68" s="11">
        <v>371744</v>
      </c>
      <c r="H68" t="s">
        <v>73</v>
      </c>
      <c r="I68" s="5">
        <v>7300</v>
      </c>
    </row>
    <row r="69" spans="1:10" x14ac:dyDescent="0.25">
      <c r="I69" s="5">
        <f>SUM(I66:I68)</f>
        <v>30764</v>
      </c>
    </row>
    <row r="70" spans="1:10" x14ac:dyDescent="0.25">
      <c r="A70" s="9" t="s">
        <v>94</v>
      </c>
      <c r="B70" s="8"/>
    </row>
    <row r="71" spans="1:10" x14ac:dyDescent="0.25">
      <c r="A71" s="9" t="s">
        <v>95</v>
      </c>
      <c r="B71" s="8"/>
    </row>
    <row r="72" spans="1:10" x14ac:dyDescent="0.25">
      <c r="A72" s="8" t="s">
        <v>96</v>
      </c>
      <c r="B72" s="10">
        <v>23004</v>
      </c>
      <c r="H72" s="1" t="s">
        <v>162</v>
      </c>
    </row>
    <row r="73" spans="1:10" x14ac:dyDescent="0.25">
      <c r="A73" s="8" t="s">
        <v>97</v>
      </c>
      <c r="B73" s="8">
        <v>460</v>
      </c>
      <c r="H73" t="s">
        <v>158</v>
      </c>
    </row>
    <row r="74" spans="1:10" x14ac:dyDescent="0.25">
      <c r="A74" s="8" t="s">
        <v>73</v>
      </c>
      <c r="B74" s="10">
        <v>7300</v>
      </c>
      <c r="H74" t="s">
        <v>159</v>
      </c>
    </row>
    <row r="75" spans="1:10" x14ac:dyDescent="0.25">
      <c r="A75" s="9" t="s">
        <v>98</v>
      </c>
      <c r="B75" s="11">
        <v>30764</v>
      </c>
    </row>
    <row r="76" spans="1:10" x14ac:dyDescent="0.25">
      <c r="H76" t="s">
        <v>160</v>
      </c>
      <c r="J76">
        <f>371744+30764</f>
        <v>402508</v>
      </c>
    </row>
    <row r="77" spans="1:10" x14ac:dyDescent="0.25">
      <c r="A77" s="9" t="s">
        <v>99</v>
      </c>
      <c r="B77" s="11">
        <v>30764</v>
      </c>
      <c r="H77" t="s">
        <v>161</v>
      </c>
      <c r="J77">
        <f>355832+46676</f>
        <v>402508</v>
      </c>
    </row>
    <row r="78" spans="1:10" ht="30" x14ac:dyDescent="0.25">
      <c r="A78" s="9" t="s">
        <v>100</v>
      </c>
      <c r="B78" s="11">
        <v>402508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F851-2F2A-4962-9A48-914FE578F3BC}">
  <dimension ref="A2:S81"/>
  <sheetViews>
    <sheetView topLeftCell="A31" zoomScaleNormal="100" workbookViewId="0">
      <selection activeCell="R27" sqref="R27"/>
    </sheetView>
  </sheetViews>
  <sheetFormatPr defaultRowHeight="15" x14ac:dyDescent="0.25"/>
  <cols>
    <col min="10" max="10" width="8.42578125" customWidth="1"/>
    <col min="13" max="13" width="18.85546875" bestFit="1" customWidth="1"/>
  </cols>
  <sheetData>
    <row r="2" spans="10:19" x14ac:dyDescent="0.25">
      <c r="J2" s="1" t="s">
        <v>7</v>
      </c>
      <c r="S2" t="s">
        <v>257</v>
      </c>
    </row>
    <row r="3" spans="10:19" x14ac:dyDescent="0.25">
      <c r="S3" s="1" t="s">
        <v>258</v>
      </c>
    </row>
    <row r="4" spans="10:19" x14ac:dyDescent="0.25">
      <c r="J4" t="s">
        <v>8</v>
      </c>
      <c r="S4" s="3" t="s">
        <v>259</v>
      </c>
    </row>
    <row r="5" spans="10:19" x14ac:dyDescent="0.25">
      <c r="S5" t="s">
        <v>260</v>
      </c>
    </row>
    <row r="6" spans="10:19" x14ac:dyDescent="0.25">
      <c r="J6" t="s">
        <v>9</v>
      </c>
    </row>
    <row r="7" spans="10:19" x14ac:dyDescent="0.25">
      <c r="S7" t="s">
        <v>261</v>
      </c>
    </row>
    <row r="8" spans="10:19" x14ac:dyDescent="0.25">
      <c r="J8" t="s">
        <v>10</v>
      </c>
      <c r="S8" t="s">
        <v>262</v>
      </c>
    </row>
    <row r="9" spans="10:19" x14ac:dyDescent="0.25">
      <c r="J9" t="s">
        <v>11</v>
      </c>
      <c r="S9" t="s">
        <v>263</v>
      </c>
    </row>
    <row r="10" spans="10:19" x14ac:dyDescent="0.25">
      <c r="J10" s="1"/>
      <c r="S10" t="s">
        <v>264</v>
      </c>
    </row>
    <row r="11" spans="10:19" x14ac:dyDescent="0.25">
      <c r="J11" s="1" t="s">
        <v>12</v>
      </c>
      <c r="S11" t="s">
        <v>265</v>
      </c>
    </row>
    <row r="12" spans="10:19" x14ac:dyDescent="0.25">
      <c r="S12" t="s">
        <v>266</v>
      </c>
    </row>
    <row r="14" spans="10:19" x14ac:dyDescent="0.25">
      <c r="J14" s="1" t="s">
        <v>13</v>
      </c>
      <c r="S14" t="s">
        <v>267</v>
      </c>
    </row>
    <row r="15" spans="10:19" x14ac:dyDescent="0.25">
      <c r="S15" t="s">
        <v>268</v>
      </c>
    </row>
    <row r="16" spans="10:19" x14ac:dyDescent="0.25">
      <c r="J16" t="s">
        <v>14</v>
      </c>
      <c r="S16" t="s">
        <v>269</v>
      </c>
    </row>
    <row r="17" spans="10:19" x14ac:dyDescent="0.25">
      <c r="J17" t="s">
        <v>15</v>
      </c>
      <c r="S17" s="1" t="s">
        <v>258</v>
      </c>
    </row>
    <row r="18" spans="10:19" x14ac:dyDescent="0.25">
      <c r="S18" t="s">
        <v>270</v>
      </c>
    </row>
    <row r="19" spans="10:19" x14ac:dyDescent="0.25">
      <c r="J19" t="s">
        <v>16</v>
      </c>
      <c r="S19" s="1" t="s">
        <v>271</v>
      </c>
    </row>
    <row r="20" spans="10:19" x14ac:dyDescent="0.25">
      <c r="S20" t="s">
        <v>272</v>
      </c>
    </row>
    <row r="21" spans="10:19" x14ac:dyDescent="0.25">
      <c r="J21" t="s">
        <v>17</v>
      </c>
      <c r="S21" t="s">
        <v>273</v>
      </c>
    </row>
    <row r="22" spans="10:19" x14ac:dyDescent="0.25">
      <c r="J22" t="s">
        <v>18</v>
      </c>
      <c r="S22" t="s">
        <v>274</v>
      </c>
    </row>
    <row r="23" spans="10:19" x14ac:dyDescent="0.25">
      <c r="J23" t="s">
        <v>19</v>
      </c>
      <c r="S23" s="1" t="s">
        <v>275</v>
      </c>
    </row>
    <row r="24" spans="10:19" x14ac:dyDescent="0.25">
      <c r="J24" t="s">
        <v>20</v>
      </c>
      <c r="S24" s="1" t="s">
        <v>276</v>
      </c>
    </row>
    <row r="26" spans="10:19" x14ac:dyDescent="0.25">
      <c r="J26" s="1" t="s">
        <v>21</v>
      </c>
      <c r="K26" s="1"/>
      <c r="S26" t="s">
        <v>277</v>
      </c>
    </row>
    <row r="27" spans="10:19" x14ac:dyDescent="0.25">
      <c r="K27" s="1"/>
      <c r="L27" s="1"/>
      <c r="S27" t="s">
        <v>278</v>
      </c>
    </row>
    <row r="29" spans="10:19" x14ac:dyDescent="0.25">
      <c r="J29" s="1" t="s">
        <v>22</v>
      </c>
    </row>
    <row r="31" spans="10:19" x14ac:dyDescent="0.25">
      <c r="J31" t="s">
        <v>23</v>
      </c>
    </row>
    <row r="33" spans="1:10" x14ac:dyDescent="0.25">
      <c r="J33" t="s">
        <v>24</v>
      </c>
    </row>
    <row r="35" spans="1:10" x14ac:dyDescent="0.25">
      <c r="J35" s="1" t="s">
        <v>25</v>
      </c>
    </row>
    <row r="38" spans="1:10" x14ac:dyDescent="0.25">
      <c r="J38" s="1" t="s">
        <v>26</v>
      </c>
    </row>
    <row r="40" spans="1:10" x14ac:dyDescent="0.25">
      <c r="J40" t="s">
        <v>27</v>
      </c>
    </row>
    <row r="41" spans="1:10" x14ac:dyDescent="0.25">
      <c r="J41" t="s">
        <v>28</v>
      </c>
    </row>
    <row r="43" spans="1:10" x14ac:dyDescent="0.25">
      <c r="A43" s="1" t="s">
        <v>53</v>
      </c>
      <c r="J43" t="s">
        <v>29</v>
      </c>
    </row>
    <row r="45" spans="1:10" x14ac:dyDescent="0.25">
      <c r="A45" t="s">
        <v>54</v>
      </c>
      <c r="J45" t="s">
        <v>30</v>
      </c>
    </row>
    <row r="46" spans="1:10" x14ac:dyDescent="0.25">
      <c r="J46" s="1"/>
    </row>
    <row r="47" spans="1:10" x14ac:dyDescent="0.25">
      <c r="A47" t="s">
        <v>55</v>
      </c>
    </row>
    <row r="48" spans="1:10" x14ac:dyDescent="0.25">
      <c r="A48" t="s">
        <v>56</v>
      </c>
      <c r="J48" s="1" t="s">
        <v>31</v>
      </c>
    </row>
    <row r="50" spans="1:13" x14ac:dyDescent="0.25">
      <c r="A50" s="1" t="s">
        <v>57</v>
      </c>
      <c r="J50" t="s">
        <v>32</v>
      </c>
    </row>
    <row r="51" spans="1:13" x14ac:dyDescent="0.25">
      <c r="J51" t="s">
        <v>33</v>
      </c>
    </row>
    <row r="52" spans="1:13" x14ac:dyDescent="0.25">
      <c r="A52" s="1" t="s">
        <v>58</v>
      </c>
    </row>
    <row r="53" spans="1:13" x14ac:dyDescent="0.25">
      <c r="J53" s="1" t="s">
        <v>34</v>
      </c>
    </row>
    <row r="54" spans="1:13" x14ac:dyDescent="0.25">
      <c r="J54" s="3" t="s">
        <v>35</v>
      </c>
      <c r="M54" t="s">
        <v>42</v>
      </c>
    </row>
    <row r="55" spans="1:13" x14ac:dyDescent="0.25">
      <c r="A55" s="1" t="s">
        <v>59</v>
      </c>
      <c r="J55" s="3" t="s">
        <v>36</v>
      </c>
      <c r="M55" t="s">
        <v>43</v>
      </c>
    </row>
    <row r="56" spans="1:13" x14ac:dyDescent="0.25">
      <c r="J56" s="3" t="s">
        <v>37</v>
      </c>
      <c r="M56" t="s">
        <v>44</v>
      </c>
    </row>
    <row r="57" spans="1:13" x14ac:dyDescent="0.25">
      <c r="A57" t="s">
        <v>60</v>
      </c>
      <c r="J57" s="3" t="s">
        <v>38</v>
      </c>
      <c r="M57" t="s">
        <v>45</v>
      </c>
    </row>
    <row r="58" spans="1:13" x14ac:dyDescent="0.25">
      <c r="J58" s="3" t="s">
        <v>39</v>
      </c>
      <c r="M58" t="s">
        <v>46</v>
      </c>
    </row>
    <row r="59" spans="1:13" x14ac:dyDescent="0.25">
      <c r="A59" t="s">
        <v>61</v>
      </c>
      <c r="J59" s="3" t="s">
        <v>40</v>
      </c>
      <c r="M59" t="s">
        <v>47</v>
      </c>
    </row>
    <row r="60" spans="1:13" x14ac:dyDescent="0.25">
      <c r="A60" t="s">
        <v>62</v>
      </c>
      <c r="J60" s="3" t="s">
        <v>41</v>
      </c>
      <c r="M60" t="s">
        <v>48</v>
      </c>
    </row>
    <row r="61" spans="1:13" x14ac:dyDescent="0.25">
      <c r="A61" t="s">
        <v>63</v>
      </c>
      <c r="M61" t="s">
        <v>49</v>
      </c>
    </row>
    <row r="62" spans="1:13" x14ac:dyDescent="0.25">
      <c r="M62" t="s">
        <v>50</v>
      </c>
    </row>
    <row r="64" spans="1:13" x14ac:dyDescent="0.25">
      <c r="A64" s="1" t="s">
        <v>64</v>
      </c>
      <c r="J64" s="1" t="s">
        <v>51</v>
      </c>
    </row>
    <row r="65" spans="1:10" x14ac:dyDescent="0.25">
      <c r="J65" s="4" t="s">
        <v>52</v>
      </c>
    </row>
    <row r="66" spans="1:10" x14ac:dyDescent="0.25">
      <c r="A66" s="1" t="s">
        <v>65</v>
      </c>
    </row>
    <row r="67" spans="1:10" x14ac:dyDescent="0.25">
      <c r="A67" s="4" t="s">
        <v>66</v>
      </c>
    </row>
    <row r="69" spans="1:10" x14ac:dyDescent="0.25">
      <c r="A69" t="s">
        <v>67</v>
      </c>
      <c r="E69" s="5">
        <v>364000</v>
      </c>
    </row>
    <row r="70" spans="1:10" ht="15.75" thickBot="1" x14ac:dyDescent="0.3">
      <c r="A70" s="2" t="s">
        <v>68</v>
      </c>
      <c r="B70" s="2"/>
      <c r="E70" s="6">
        <v>262860</v>
      </c>
    </row>
    <row r="71" spans="1:10" x14ac:dyDescent="0.25">
      <c r="A71" s="1" t="s">
        <v>69</v>
      </c>
      <c r="B71" s="1"/>
      <c r="C71" s="1"/>
      <c r="D71" s="1"/>
      <c r="E71" s="7">
        <f>E69-E70</f>
        <v>101140</v>
      </c>
    </row>
    <row r="72" spans="1:10" x14ac:dyDescent="0.25">
      <c r="A72" t="s">
        <v>70</v>
      </c>
      <c r="E72">
        <v>1622</v>
      </c>
    </row>
    <row r="74" spans="1:10" ht="15.75" thickBot="1" x14ac:dyDescent="0.3">
      <c r="A74" s="2" t="s">
        <v>71</v>
      </c>
      <c r="B74" s="2"/>
      <c r="E74" s="2">
        <f>-78418</f>
        <v>-78418</v>
      </c>
    </row>
    <row r="75" spans="1:10" x14ac:dyDescent="0.25">
      <c r="A75" t="s">
        <v>72</v>
      </c>
      <c r="E75" s="5">
        <f>E71+E72+E74</f>
        <v>24344</v>
      </c>
    </row>
    <row r="76" spans="1:10" ht="15.75" thickBot="1" x14ac:dyDescent="0.3">
      <c r="A76" s="2" t="s">
        <v>73</v>
      </c>
      <c r="B76" s="2"/>
      <c r="E76" s="2">
        <f>7400</f>
        <v>7400</v>
      </c>
    </row>
    <row r="77" spans="1:10" x14ac:dyDescent="0.25">
      <c r="A77" s="1" t="s">
        <v>74</v>
      </c>
      <c r="B77" s="1"/>
      <c r="C77" s="1"/>
      <c r="D77" s="1"/>
      <c r="E77" s="7">
        <f>E75-E76</f>
        <v>16944</v>
      </c>
    </row>
    <row r="79" spans="1:10" x14ac:dyDescent="0.25">
      <c r="A79" t="s">
        <v>75</v>
      </c>
    </row>
    <row r="80" spans="1:10" ht="15.75" thickBot="1" x14ac:dyDescent="0.3">
      <c r="A80" s="2" t="s">
        <v>76</v>
      </c>
      <c r="B80" s="2"/>
      <c r="E80" s="2">
        <f>150000</f>
        <v>150000</v>
      </c>
    </row>
    <row r="81" spans="1:5" x14ac:dyDescent="0.25">
      <c r="A81" s="1" t="s">
        <v>77</v>
      </c>
      <c r="B81" s="1"/>
      <c r="C81" s="1"/>
      <c r="D81" s="1"/>
      <c r="E81" s="7">
        <f>E80+E77</f>
        <v>166944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3D7A-C937-4932-86C1-437DD1A1565F}">
  <dimension ref="A1:Q85"/>
  <sheetViews>
    <sheetView topLeftCell="A33" workbookViewId="0">
      <selection activeCell="N38" sqref="N38"/>
    </sheetView>
  </sheetViews>
  <sheetFormatPr defaultRowHeight="15" x14ac:dyDescent="0.25"/>
  <cols>
    <col min="1" max="1" width="29.28515625" customWidth="1"/>
    <col min="9" max="9" width="9.140625" customWidth="1"/>
    <col min="14" max="14" width="21" customWidth="1"/>
    <col min="15" max="15" width="16.85546875" bestFit="1" customWidth="1"/>
    <col min="16" max="16" width="12" bestFit="1" customWidth="1"/>
  </cols>
  <sheetData>
    <row r="1" spans="7:7" x14ac:dyDescent="0.25">
      <c r="G1" s="1" t="s">
        <v>7</v>
      </c>
    </row>
    <row r="3" spans="7:7" x14ac:dyDescent="0.25">
      <c r="G3" t="s">
        <v>8</v>
      </c>
    </row>
    <row r="5" spans="7:7" x14ac:dyDescent="0.25">
      <c r="G5" t="s">
        <v>9</v>
      </c>
    </row>
    <row r="7" spans="7:7" x14ac:dyDescent="0.25">
      <c r="G7" t="s">
        <v>174</v>
      </c>
    </row>
    <row r="8" spans="7:7" x14ac:dyDescent="0.25">
      <c r="G8" t="s">
        <v>175</v>
      </c>
    </row>
    <row r="9" spans="7:7" x14ac:dyDescent="0.25">
      <c r="G9" s="1"/>
    </row>
    <row r="10" spans="7:7" x14ac:dyDescent="0.25">
      <c r="G10" s="1" t="s">
        <v>176</v>
      </c>
    </row>
    <row r="13" spans="7:7" x14ac:dyDescent="0.25">
      <c r="G13" s="1" t="s">
        <v>13</v>
      </c>
    </row>
    <row r="15" spans="7:7" x14ac:dyDescent="0.25">
      <c r="G15" t="s">
        <v>14</v>
      </c>
    </row>
    <row r="16" spans="7:7" x14ac:dyDescent="0.25">
      <c r="G16" t="s">
        <v>15</v>
      </c>
    </row>
    <row r="18" spans="7:14" x14ac:dyDescent="0.25">
      <c r="G18" t="s">
        <v>177</v>
      </c>
    </row>
    <row r="19" spans="7:14" x14ac:dyDescent="0.25">
      <c r="G19" t="s">
        <v>178</v>
      </c>
    </row>
    <row r="21" spans="7:14" x14ac:dyDescent="0.25">
      <c r="G21" s="1" t="s">
        <v>181</v>
      </c>
      <c r="H21" s="1"/>
      <c r="I21" s="1" t="s">
        <v>143</v>
      </c>
      <c r="J21" s="1"/>
      <c r="K21" s="1" t="s">
        <v>182</v>
      </c>
      <c r="L21" s="1"/>
    </row>
    <row r="22" spans="7:14" x14ac:dyDescent="0.25">
      <c r="G22" t="s">
        <v>0</v>
      </c>
      <c r="I22" t="s">
        <v>187</v>
      </c>
      <c r="K22">
        <v>654</v>
      </c>
    </row>
    <row r="23" spans="7:14" x14ac:dyDescent="0.25">
      <c r="G23" t="s">
        <v>1</v>
      </c>
      <c r="I23" t="s">
        <v>187</v>
      </c>
      <c r="K23">
        <v>2015</v>
      </c>
    </row>
    <row r="24" spans="7:14" x14ac:dyDescent="0.25">
      <c r="G24" t="s">
        <v>186</v>
      </c>
      <c r="I24" t="s">
        <v>189</v>
      </c>
      <c r="K24">
        <v>532</v>
      </c>
    </row>
    <row r="25" spans="7:14" x14ac:dyDescent="0.25">
      <c r="G25" t="s">
        <v>183</v>
      </c>
      <c r="I25" t="s">
        <v>187</v>
      </c>
      <c r="K25">
        <v>17</v>
      </c>
    </row>
    <row r="26" spans="7:14" ht="15.75" thickBot="1" x14ac:dyDescent="0.3">
      <c r="G26" t="s">
        <v>184</v>
      </c>
      <c r="H26" s="1"/>
      <c r="I26" t="s">
        <v>188</v>
      </c>
      <c r="K26" s="2">
        <v>15</v>
      </c>
    </row>
    <row r="27" spans="7:14" x14ac:dyDescent="0.25">
      <c r="G27" s="1" t="s">
        <v>185</v>
      </c>
      <c r="H27" s="1"/>
      <c r="K27" s="1">
        <f>SUM(K22:K26)-K24-K24</f>
        <v>2169</v>
      </c>
    </row>
    <row r="30" spans="7:14" x14ac:dyDescent="0.25">
      <c r="G30" s="1" t="s">
        <v>164</v>
      </c>
      <c r="K30" s="1">
        <f>K27</f>
        <v>2169</v>
      </c>
    </row>
    <row r="32" spans="7:14" x14ac:dyDescent="0.25">
      <c r="G32" s="1" t="s">
        <v>179</v>
      </c>
      <c r="N32" s="1" t="s">
        <v>193</v>
      </c>
    </row>
    <row r="33" spans="7:17" ht="15" customHeight="1" x14ac:dyDescent="0.25"/>
    <row r="34" spans="7:17" ht="15" customHeight="1" x14ac:dyDescent="0.25">
      <c r="G34" t="s">
        <v>190</v>
      </c>
      <c r="L34" s="15">
        <f>880*0.02</f>
        <v>17.600000000000001</v>
      </c>
      <c r="N34" t="s">
        <v>194</v>
      </c>
      <c r="O34" s="15">
        <f>(30/100)*L37</f>
        <v>14.58</v>
      </c>
    </row>
    <row r="35" spans="7:17" ht="15" customHeight="1" x14ac:dyDescent="0.25">
      <c r="G35" t="s">
        <v>191</v>
      </c>
      <c r="L35">
        <f>(20/100)*150</f>
        <v>30</v>
      </c>
      <c r="N35" t="s">
        <v>195</v>
      </c>
      <c r="O35" s="15">
        <f>(45/100)*L37</f>
        <v>21.87</v>
      </c>
    </row>
    <row r="36" spans="7:17" ht="15" customHeight="1" thickBot="1" x14ac:dyDescent="0.3">
      <c r="G36" t="s">
        <v>192</v>
      </c>
      <c r="L36" s="2">
        <f>(25/100)*(16-12)</f>
        <v>1</v>
      </c>
      <c r="N36" t="s">
        <v>196</v>
      </c>
      <c r="O36" s="16">
        <f>(25/100)*L37</f>
        <v>12.15</v>
      </c>
    </row>
    <row r="37" spans="7:17" ht="15" customHeight="1" x14ac:dyDescent="0.25">
      <c r="L37">
        <f>SUM(L34:L36)</f>
        <v>48.6</v>
      </c>
      <c r="O37" s="15">
        <f>SUM(O34:O36)</f>
        <v>48.6</v>
      </c>
    </row>
    <row r="38" spans="7:17" ht="15" customHeight="1" x14ac:dyDescent="0.25">
      <c r="G38" s="1" t="s">
        <v>22</v>
      </c>
      <c r="N38" s="13" t="s">
        <v>122</v>
      </c>
      <c r="O38" s="13" t="s">
        <v>215</v>
      </c>
      <c r="P38" s="13" t="s">
        <v>143</v>
      </c>
      <c r="Q38" s="13" t="s">
        <v>216</v>
      </c>
    </row>
    <row r="39" spans="7:17" ht="15" customHeight="1" x14ac:dyDescent="0.25">
      <c r="N39" s="8" t="s">
        <v>180</v>
      </c>
      <c r="O39" s="8" t="s">
        <v>217</v>
      </c>
      <c r="P39" s="8" t="s">
        <v>220</v>
      </c>
      <c r="Q39" s="8">
        <v>18</v>
      </c>
    </row>
    <row r="40" spans="7:17" ht="15" customHeight="1" x14ac:dyDescent="0.25">
      <c r="G40" t="s">
        <v>23</v>
      </c>
      <c r="N40" s="8" t="s">
        <v>80</v>
      </c>
      <c r="O40" s="8" t="s">
        <v>217</v>
      </c>
      <c r="P40" s="8" t="s">
        <v>221</v>
      </c>
      <c r="Q40" s="8">
        <v>30</v>
      </c>
    </row>
    <row r="41" spans="7:17" ht="15" customHeight="1" x14ac:dyDescent="0.25">
      <c r="N41" s="8" t="s">
        <v>6</v>
      </c>
      <c r="O41" s="8" t="s">
        <v>218</v>
      </c>
      <c r="P41" s="8" t="s">
        <v>222</v>
      </c>
      <c r="Q41" s="8">
        <v>1</v>
      </c>
    </row>
    <row r="42" spans="7:17" ht="15" customHeight="1" x14ac:dyDescent="0.25">
      <c r="G42" t="s">
        <v>24</v>
      </c>
      <c r="N42" s="9" t="s">
        <v>219</v>
      </c>
      <c r="O42" s="8"/>
      <c r="P42" s="8"/>
      <c r="Q42" s="9">
        <v>49</v>
      </c>
    </row>
    <row r="43" spans="7:17" ht="15" customHeight="1" x14ac:dyDescent="0.25"/>
    <row r="44" spans="7:17" ht="15" customHeight="1" x14ac:dyDescent="0.25">
      <c r="G44" s="1" t="s">
        <v>165</v>
      </c>
      <c r="I44" s="1">
        <f>3967-2169</f>
        <v>1798</v>
      </c>
    </row>
    <row r="45" spans="7:17" ht="15" customHeight="1" x14ac:dyDescent="0.25"/>
    <row r="46" spans="7:17" ht="15" customHeight="1" x14ac:dyDescent="0.25"/>
    <row r="47" spans="7:17" ht="15" customHeight="1" x14ac:dyDescent="0.25">
      <c r="G47" s="1" t="s">
        <v>26</v>
      </c>
    </row>
    <row r="48" spans="7:17" ht="15" customHeight="1" x14ac:dyDescent="0.25"/>
    <row r="49" spans="1:9" ht="15" customHeight="1" x14ac:dyDescent="0.25">
      <c r="A49" s="14" t="s">
        <v>168</v>
      </c>
      <c r="B49" s="13" t="s">
        <v>169</v>
      </c>
      <c r="G49" t="s">
        <v>27</v>
      </c>
    </row>
    <row r="50" spans="1:9" ht="15" customHeight="1" x14ac:dyDescent="0.25">
      <c r="A50" s="9" t="s">
        <v>170</v>
      </c>
      <c r="B50" s="10">
        <v>3967</v>
      </c>
      <c r="G50" t="s">
        <v>28</v>
      </c>
    </row>
    <row r="51" spans="1:9" ht="15" customHeight="1" x14ac:dyDescent="0.25">
      <c r="A51" s="9" t="s">
        <v>68</v>
      </c>
      <c r="B51" s="10">
        <v>-2169</v>
      </c>
    </row>
    <row r="52" spans="1:9" ht="15" customHeight="1" x14ac:dyDescent="0.25">
      <c r="A52" s="9" t="s">
        <v>69</v>
      </c>
      <c r="B52" s="11">
        <v>1798</v>
      </c>
      <c r="G52" t="s">
        <v>166</v>
      </c>
      <c r="I52" s="1" t="s">
        <v>197</v>
      </c>
    </row>
    <row r="53" spans="1:9" ht="15" customHeight="1" x14ac:dyDescent="0.25">
      <c r="A53" s="9" t="s">
        <v>171</v>
      </c>
      <c r="B53" s="8"/>
    </row>
    <row r="54" spans="1:9" x14ac:dyDescent="0.25">
      <c r="A54" s="8" t="s">
        <v>210</v>
      </c>
      <c r="B54" s="10">
        <v>-1184</v>
      </c>
      <c r="G54" t="s">
        <v>167</v>
      </c>
    </row>
    <row r="55" spans="1:9" x14ac:dyDescent="0.25">
      <c r="A55" s="8" t="s">
        <v>211</v>
      </c>
      <c r="B55" s="8">
        <v>-371</v>
      </c>
      <c r="G55" s="1"/>
    </row>
    <row r="56" spans="1:9" x14ac:dyDescent="0.25">
      <c r="A56" s="8" t="s">
        <v>172</v>
      </c>
      <c r="B56" s="8">
        <v>-12</v>
      </c>
    </row>
    <row r="57" spans="1:9" x14ac:dyDescent="0.25">
      <c r="A57" s="9" t="s">
        <v>173</v>
      </c>
      <c r="B57" s="9">
        <v>231</v>
      </c>
      <c r="G57" s="1" t="s">
        <v>31</v>
      </c>
    </row>
    <row r="58" spans="1:9" x14ac:dyDescent="0.25">
      <c r="A58" s="9" t="s">
        <v>73</v>
      </c>
      <c r="B58" s="8">
        <v>-51</v>
      </c>
    </row>
    <row r="59" spans="1:9" x14ac:dyDescent="0.25">
      <c r="A59" s="9" t="s">
        <v>74</v>
      </c>
      <c r="B59" s="9">
        <v>180</v>
      </c>
      <c r="G59" t="s">
        <v>32</v>
      </c>
    </row>
    <row r="60" spans="1:9" x14ac:dyDescent="0.25">
      <c r="G60" t="s">
        <v>33</v>
      </c>
    </row>
    <row r="61" spans="1:9" x14ac:dyDescent="0.25">
      <c r="A61" s="9"/>
      <c r="B61" s="11"/>
    </row>
    <row r="62" spans="1:9" x14ac:dyDescent="0.25">
      <c r="G62" s="1" t="s">
        <v>34</v>
      </c>
    </row>
    <row r="63" spans="1:9" x14ac:dyDescent="0.25">
      <c r="A63" s="9"/>
      <c r="B63" s="8"/>
      <c r="G63" s="3" t="s">
        <v>35</v>
      </c>
      <c r="I63">
        <v>202</v>
      </c>
    </row>
    <row r="64" spans="1:9" x14ac:dyDescent="0.25">
      <c r="A64" s="9"/>
      <c r="B64" s="11"/>
      <c r="G64" s="3" t="s">
        <v>198</v>
      </c>
      <c r="I64">
        <v>176</v>
      </c>
    </row>
    <row r="65" spans="7:9" x14ac:dyDescent="0.25">
      <c r="G65" s="3" t="s">
        <v>199</v>
      </c>
      <c r="I65">
        <f>(75/100)*400</f>
        <v>300</v>
      </c>
    </row>
    <row r="66" spans="7:9" x14ac:dyDescent="0.25">
      <c r="G66" s="3" t="s">
        <v>200</v>
      </c>
      <c r="I66">
        <f>30</f>
        <v>30</v>
      </c>
    </row>
    <row r="67" spans="7:9" x14ac:dyDescent="0.25">
      <c r="G67" s="3" t="s">
        <v>201</v>
      </c>
      <c r="I67">
        <f>468</f>
        <v>468</v>
      </c>
    </row>
    <row r="68" spans="7:9" x14ac:dyDescent="0.25">
      <c r="G68" s="3" t="s">
        <v>202</v>
      </c>
      <c r="I68">
        <f>2</f>
        <v>2</v>
      </c>
    </row>
    <row r="69" spans="7:9" x14ac:dyDescent="0.25">
      <c r="G69" s="3" t="s">
        <v>39</v>
      </c>
      <c r="I69">
        <f>12</f>
        <v>12</v>
      </c>
    </row>
    <row r="70" spans="7:9" x14ac:dyDescent="0.25">
      <c r="G70" s="3" t="s">
        <v>203</v>
      </c>
      <c r="I70">
        <f>-6</f>
        <v>-6</v>
      </c>
    </row>
    <row r="71" spans="7:9" x14ac:dyDescent="0.25">
      <c r="I71" s="1">
        <f>SUM(I63:I70)</f>
        <v>1184</v>
      </c>
    </row>
    <row r="73" spans="7:9" x14ac:dyDescent="0.25">
      <c r="G73" s="1" t="s">
        <v>204</v>
      </c>
    </row>
    <row r="74" spans="7:9" x14ac:dyDescent="0.25">
      <c r="G74" s="4"/>
    </row>
    <row r="75" spans="7:9" x14ac:dyDescent="0.25">
      <c r="G75" t="s">
        <v>205</v>
      </c>
    </row>
    <row r="77" spans="7:9" x14ac:dyDescent="0.25">
      <c r="G77" t="s">
        <v>206</v>
      </c>
    </row>
    <row r="79" spans="7:9" x14ac:dyDescent="0.25">
      <c r="G79">
        <f>120*(10/100)</f>
        <v>12</v>
      </c>
    </row>
    <row r="81" spans="7:12" x14ac:dyDescent="0.25">
      <c r="G81" s="1" t="s">
        <v>207</v>
      </c>
      <c r="L81" s="1" t="s">
        <v>212</v>
      </c>
    </row>
    <row r="83" spans="7:12" x14ac:dyDescent="0.25">
      <c r="G83" t="s">
        <v>208</v>
      </c>
      <c r="L83" t="s">
        <v>213</v>
      </c>
    </row>
    <row r="85" spans="7:12" x14ac:dyDescent="0.25">
      <c r="G85" t="s">
        <v>209</v>
      </c>
      <c r="L85" t="s">
        <v>214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60E4-63D3-4B97-8815-1F5C2D95ADB0}">
  <dimension ref="A1:L83"/>
  <sheetViews>
    <sheetView topLeftCell="A10" workbookViewId="0">
      <selection activeCell="N50" sqref="N50"/>
    </sheetView>
  </sheetViews>
  <sheetFormatPr defaultRowHeight="15" customHeight="1" x14ac:dyDescent="0.25"/>
  <cols>
    <col min="1" max="1" width="27.5703125" customWidth="1"/>
    <col min="7" max="7" width="21" customWidth="1"/>
    <col min="8" max="8" width="16.5703125" customWidth="1"/>
    <col min="9" max="9" width="14.85546875" customWidth="1"/>
  </cols>
  <sheetData>
    <row r="1" spans="7:12" ht="15" customHeight="1" x14ac:dyDescent="0.25">
      <c r="G1" s="1" t="s">
        <v>108</v>
      </c>
      <c r="I1" s="1"/>
    </row>
    <row r="3" spans="7:12" ht="15" customHeight="1" x14ac:dyDescent="0.25">
      <c r="G3" s="1" t="s">
        <v>109</v>
      </c>
    </row>
    <row r="4" spans="7:12" ht="15" customHeight="1" x14ac:dyDescent="0.25">
      <c r="G4" s="3" t="s">
        <v>110</v>
      </c>
    </row>
    <row r="5" spans="7:12" ht="15" customHeight="1" x14ac:dyDescent="0.25">
      <c r="G5" s="3" t="s">
        <v>111</v>
      </c>
    </row>
    <row r="7" spans="7:12" ht="15" customHeight="1" x14ac:dyDescent="0.25">
      <c r="G7" s="1" t="s">
        <v>112</v>
      </c>
    </row>
    <row r="8" spans="7:12" ht="15" customHeight="1" x14ac:dyDescent="0.25">
      <c r="G8" s="3" t="s">
        <v>113</v>
      </c>
    </row>
    <row r="9" spans="7:12" ht="15" customHeight="1" x14ac:dyDescent="0.25">
      <c r="G9" s="3" t="s">
        <v>114</v>
      </c>
    </row>
    <row r="10" spans="7:12" ht="15" customHeight="1" x14ac:dyDescent="0.25">
      <c r="G10" s="3" t="s">
        <v>115</v>
      </c>
    </row>
    <row r="12" spans="7:12" ht="15" customHeight="1" x14ac:dyDescent="0.25">
      <c r="G12" s="1" t="s">
        <v>116</v>
      </c>
    </row>
    <row r="13" spans="7:12" ht="15" customHeight="1" x14ac:dyDescent="0.25">
      <c r="G13" s="3" t="s">
        <v>117</v>
      </c>
    </row>
    <row r="14" spans="7:12" ht="15" customHeight="1" x14ac:dyDescent="0.25">
      <c r="G14" s="3" t="s">
        <v>118</v>
      </c>
      <c r="I14" s="1"/>
    </row>
    <row r="16" spans="7:12" ht="15" customHeight="1" x14ac:dyDescent="0.25">
      <c r="G16" s="1" t="s">
        <v>119</v>
      </c>
      <c r="J16" s="1"/>
      <c r="L16" s="1" t="s">
        <v>126</v>
      </c>
    </row>
    <row r="17" spans="7:12" ht="15" customHeight="1" x14ac:dyDescent="0.25">
      <c r="J17" s="1"/>
      <c r="K17" s="1"/>
    </row>
    <row r="18" spans="7:12" ht="15" customHeight="1" x14ac:dyDescent="0.25">
      <c r="G18" t="s">
        <v>120</v>
      </c>
      <c r="L18" s="1" t="s">
        <v>224</v>
      </c>
    </row>
    <row r="19" spans="7:12" ht="15" customHeight="1" x14ac:dyDescent="0.25">
      <c r="G19" s="1" t="s">
        <v>121</v>
      </c>
      <c r="L19" s="1" t="s">
        <v>128</v>
      </c>
    </row>
    <row r="20" spans="7:12" ht="15" customHeight="1" x14ac:dyDescent="0.25">
      <c r="L20" s="3" t="s">
        <v>129</v>
      </c>
    </row>
    <row r="21" spans="7:12" ht="15" customHeight="1" x14ac:dyDescent="0.25">
      <c r="G21" s="1" t="s">
        <v>122</v>
      </c>
      <c r="H21" s="1" t="s">
        <v>124</v>
      </c>
      <c r="I21" s="1" t="s">
        <v>147</v>
      </c>
      <c r="J21" s="1" t="s">
        <v>123</v>
      </c>
    </row>
    <row r="22" spans="7:12" ht="15" customHeight="1" x14ac:dyDescent="0.25">
      <c r="G22" t="s">
        <v>180</v>
      </c>
      <c r="H22">
        <v>880</v>
      </c>
      <c r="I22" s="3">
        <v>106</v>
      </c>
      <c r="J22">
        <f>H22-I22</f>
        <v>774</v>
      </c>
      <c r="L22" s="1" t="s">
        <v>130</v>
      </c>
    </row>
    <row r="23" spans="7:12" ht="15" customHeight="1" x14ac:dyDescent="0.25">
      <c r="G23" t="s">
        <v>223</v>
      </c>
      <c r="H23">
        <v>150</v>
      </c>
      <c r="I23">
        <v>120</v>
      </c>
      <c r="J23">
        <f>H23-I23</f>
        <v>30</v>
      </c>
      <c r="L23" t="s">
        <v>131</v>
      </c>
    </row>
    <row r="24" spans="7:12" ht="15" customHeight="1" x14ac:dyDescent="0.25">
      <c r="G24" t="s">
        <v>6</v>
      </c>
      <c r="H24">
        <v>16</v>
      </c>
      <c r="I24">
        <v>13</v>
      </c>
      <c r="J24">
        <f>H24-I24</f>
        <v>3</v>
      </c>
    </row>
    <row r="25" spans="7:12" ht="15" customHeight="1" x14ac:dyDescent="0.25">
      <c r="H25">
        <f>SUM(H22:H24)</f>
        <v>1046</v>
      </c>
      <c r="I25">
        <f>SUM(I22:I24)</f>
        <v>239</v>
      </c>
      <c r="J25">
        <f>SUM(J22:J24)</f>
        <v>807</v>
      </c>
      <c r="L25" s="1" t="s">
        <v>132</v>
      </c>
    </row>
    <row r="26" spans="7:12" ht="15" customHeight="1" x14ac:dyDescent="0.25">
      <c r="J26" s="1"/>
      <c r="L26" s="1" t="s">
        <v>128</v>
      </c>
    </row>
    <row r="27" spans="7:12" ht="15" customHeight="1" x14ac:dyDescent="0.25">
      <c r="L27" s="3" t="s">
        <v>133</v>
      </c>
    </row>
    <row r="28" spans="7:12" ht="15" customHeight="1" x14ac:dyDescent="0.25">
      <c r="G28" s="1" t="s">
        <v>139</v>
      </c>
    </row>
    <row r="29" spans="7:12" ht="15" customHeight="1" x14ac:dyDescent="0.25">
      <c r="L29" s="1" t="s">
        <v>134</v>
      </c>
    </row>
    <row r="30" spans="7:12" ht="15" customHeight="1" x14ac:dyDescent="0.25">
      <c r="G30" t="s">
        <v>140</v>
      </c>
      <c r="I30" s="1"/>
      <c r="L30" t="s">
        <v>135</v>
      </c>
    </row>
    <row r="31" spans="7:12" ht="15" customHeight="1" x14ac:dyDescent="0.25">
      <c r="G31" t="s">
        <v>141</v>
      </c>
    </row>
    <row r="32" spans="7:12" ht="15" customHeight="1" x14ac:dyDescent="0.25">
      <c r="L32" s="1" t="s">
        <v>136</v>
      </c>
    </row>
    <row r="33" spans="7:12" ht="15" customHeight="1" x14ac:dyDescent="0.25">
      <c r="G33" s="1" t="s">
        <v>142</v>
      </c>
      <c r="H33" s="1" t="s">
        <v>143</v>
      </c>
      <c r="I33" s="1" t="s">
        <v>144</v>
      </c>
      <c r="L33" s="1" t="s">
        <v>128</v>
      </c>
    </row>
    <row r="34" spans="7:12" ht="15" customHeight="1" x14ac:dyDescent="0.25">
      <c r="G34" t="s">
        <v>83</v>
      </c>
      <c r="H34" t="s">
        <v>2</v>
      </c>
      <c r="I34">
        <v>532</v>
      </c>
      <c r="L34" s="4" t="s">
        <v>137</v>
      </c>
    </row>
    <row r="35" spans="7:12" ht="15" customHeight="1" x14ac:dyDescent="0.25">
      <c r="G35" t="s">
        <v>84</v>
      </c>
      <c r="H35" t="s">
        <v>225</v>
      </c>
      <c r="I35">
        <v>480</v>
      </c>
    </row>
    <row r="36" spans="7:12" ht="15" customHeight="1" x14ac:dyDescent="0.25">
      <c r="G36" t="s">
        <v>86</v>
      </c>
      <c r="H36" t="s">
        <v>85</v>
      </c>
      <c r="I36">
        <v>-48</v>
      </c>
      <c r="L36" s="1" t="s">
        <v>134</v>
      </c>
    </row>
    <row r="37" spans="7:12" ht="15" customHeight="1" x14ac:dyDescent="0.25">
      <c r="G37" t="s">
        <v>87</v>
      </c>
      <c r="H37" t="s">
        <v>187</v>
      </c>
      <c r="I37">
        <v>6</v>
      </c>
      <c r="L37" t="s">
        <v>138</v>
      </c>
    </row>
    <row r="38" spans="7:12" ht="15" customHeight="1" x14ac:dyDescent="0.25">
      <c r="I38">
        <f>SUM(I34:I37)</f>
        <v>970</v>
      </c>
    </row>
    <row r="40" spans="7:12" ht="15" customHeight="1" x14ac:dyDescent="0.25">
      <c r="G40" s="1" t="s">
        <v>148</v>
      </c>
    </row>
    <row r="41" spans="7:12" ht="15" customHeight="1" x14ac:dyDescent="0.25">
      <c r="G41" t="s">
        <v>149</v>
      </c>
    </row>
    <row r="43" spans="7:12" ht="15" customHeight="1" x14ac:dyDescent="0.25">
      <c r="G43" t="s">
        <v>228</v>
      </c>
    </row>
    <row r="44" spans="7:12" ht="15" customHeight="1" x14ac:dyDescent="0.25">
      <c r="G44" t="s">
        <v>226</v>
      </c>
    </row>
    <row r="45" spans="7:12" ht="15" customHeight="1" x14ac:dyDescent="0.25">
      <c r="G45" t="s">
        <v>227</v>
      </c>
    </row>
    <row r="46" spans="7:12" ht="15" customHeight="1" x14ac:dyDescent="0.25">
      <c r="G46" s="3" t="s">
        <v>229</v>
      </c>
    </row>
    <row r="48" spans="7:12" ht="15" customHeight="1" x14ac:dyDescent="0.25">
      <c r="G48" t="s">
        <v>230</v>
      </c>
    </row>
    <row r="49" spans="1:9" ht="15" customHeight="1" x14ac:dyDescent="0.25">
      <c r="A49" s="13" t="s">
        <v>239</v>
      </c>
      <c r="B49" s="13" t="s">
        <v>182</v>
      </c>
    </row>
    <row r="50" spans="1:9" ht="15" customHeight="1" x14ac:dyDescent="0.25">
      <c r="A50" s="9" t="s">
        <v>241</v>
      </c>
      <c r="B50" s="8"/>
    </row>
    <row r="51" spans="1:9" ht="15" customHeight="1" x14ac:dyDescent="0.25">
      <c r="A51" s="9" t="s">
        <v>79</v>
      </c>
      <c r="B51" s="8"/>
      <c r="G51" s="1" t="s">
        <v>155</v>
      </c>
    </row>
    <row r="52" spans="1:9" ht="15" customHeight="1" x14ac:dyDescent="0.25">
      <c r="A52" s="8" t="s">
        <v>180</v>
      </c>
      <c r="B52" s="8">
        <v>774</v>
      </c>
      <c r="G52" t="s">
        <v>157</v>
      </c>
    </row>
    <row r="53" spans="1:9" ht="15" customHeight="1" x14ac:dyDescent="0.25">
      <c r="A53" s="8" t="s">
        <v>80</v>
      </c>
      <c r="B53" s="8">
        <v>30</v>
      </c>
      <c r="G53" t="s">
        <v>156</v>
      </c>
    </row>
    <row r="54" spans="1:9" ht="15" customHeight="1" x14ac:dyDescent="0.25">
      <c r="A54" s="8" t="s">
        <v>6</v>
      </c>
      <c r="B54" s="8">
        <v>3</v>
      </c>
    </row>
    <row r="55" spans="1:9" ht="15" customHeight="1" x14ac:dyDescent="0.25">
      <c r="A55" s="9" t="s">
        <v>81</v>
      </c>
      <c r="B55" s="9">
        <v>807</v>
      </c>
      <c r="G55" s="13" t="s">
        <v>181</v>
      </c>
      <c r="H55" s="13" t="s">
        <v>182</v>
      </c>
    </row>
    <row r="56" spans="1:9" ht="15" customHeight="1" x14ac:dyDescent="0.25">
      <c r="G56" s="8" t="s">
        <v>236</v>
      </c>
      <c r="H56" s="8">
        <v>120</v>
      </c>
    </row>
    <row r="57" spans="1:9" ht="15" customHeight="1" x14ac:dyDescent="0.25">
      <c r="A57" s="9" t="s">
        <v>82</v>
      </c>
      <c r="B57" s="8"/>
    </row>
    <row r="58" spans="1:9" ht="15" customHeight="1" x14ac:dyDescent="0.25">
      <c r="A58" s="8" t="s">
        <v>83</v>
      </c>
      <c r="B58" s="8">
        <v>532</v>
      </c>
      <c r="G58" s="1" t="s">
        <v>231</v>
      </c>
      <c r="H58" s="1" t="s">
        <v>144</v>
      </c>
    </row>
    <row r="59" spans="1:9" ht="15" customHeight="1" x14ac:dyDescent="0.25">
      <c r="A59" s="8" t="s">
        <v>84</v>
      </c>
      <c r="B59" s="8">
        <v>432</v>
      </c>
      <c r="G59" s="13" t="s">
        <v>181</v>
      </c>
      <c r="H59" s="13" t="s">
        <v>143</v>
      </c>
      <c r="I59" s="13" t="s">
        <v>182</v>
      </c>
    </row>
    <row r="60" spans="1:9" ht="15" customHeight="1" x14ac:dyDescent="0.25">
      <c r="A60" s="8" t="s">
        <v>86</v>
      </c>
      <c r="B60" s="8">
        <v>6</v>
      </c>
      <c r="G60" s="8" t="s">
        <v>96</v>
      </c>
      <c r="H60" s="8" t="s">
        <v>187</v>
      </c>
      <c r="I60" s="8">
        <v>92</v>
      </c>
    </row>
    <row r="61" spans="1:9" ht="15" customHeight="1" x14ac:dyDescent="0.25">
      <c r="A61" s="9" t="s">
        <v>88</v>
      </c>
      <c r="B61" s="9">
        <v>970</v>
      </c>
      <c r="G61" s="8" t="s">
        <v>232</v>
      </c>
      <c r="H61" s="8" t="s">
        <v>187</v>
      </c>
      <c r="I61" s="8">
        <v>22</v>
      </c>
    </row>
    <row r="62" spans="1:9" ht="15" customHeight="1" x14ac:dyDescent="0.25">
      <c r="A62" s="9" t="s">
        <v>89</v>
      </c>
      <c r="B62" s="11">
        <v>1777</v>
      </c>
      <c r="G62" s="8" t="s">
        <v>97</v>
      </c>
      <c r="H62" s="8" t="s">
        <v>187</v>
      </c>
      <c r="I62" s="8">
        <v>3</v>
      </c>
    </row>
    <row r="63" spans="1:9" ht="15" customHeight="1" x14ac:dyDescent="0.25">
      <c r="G63" s="8" t="s">
        <v>233</v>
      </c>
      <c r="H63" s="8" t="s">
        <v>235</v>
      </c>
      <c r="I63" s="8">
        <v>7</v>
      </c>
    </row>
    <row r="64" spans="1:9" ht="15" customHeight="1" x14ac:dyDescent="0.25">
      <c r="A64" s="9" t="s">
        <v>163</v>
      </c>
      <c r="B64" s="8"/>
      <c r="G64" s="8" t="s">
        <v>234</v>
      </c>
      <c r="H64" s="8" t="s">
        <v>187</v>
      </c>
      <c r="I64" s="8">
        <v>51</v>
      </c>
    </row>
    <row r="65" spans="1:9" ht="15" customHeight="1" x14ac:dyDescent="0.25">
      <c r="A65" s="9" t="s">
        <v>90</v>
      </c>
      <c r="B65" s="8"/>
      <c r="I65">
        <f>SUM(I60:I64)</f>
        <v>175</v>
      </c>
    </row>
    <row r="66" spans="1:9" ht="15" customHeight="1" x14ac:dyDescent="0.25">
      <c r="A66" s="8" t="s">
        <v>240</v>
      </c>
      <c r="B66" s="8">
        <v>800</v>
      </c>
    </row>
    <row r="67" spans="1:9" ht="15" customHeight="1" x14ac:dyDescent="0.25">
      <c r="A67" s="8" t="s">
        <v>92</v>
      </c>
      <c r="B67" s="8">
        <v>682</v>
      </c>
      <c r="G67" s="1" t="s">
        <v>162</v>
      </c>
    </row>
    <row r="68" spans="1:9" ht="15" customHeight="1" x14ac:dyDescent="0.25">
      <c r="A68" s="9" t="s">
        <v>93</v>
      </c>
      <c r="B68" s="11">
        <v>1482</v>
      </c>
      <c r="G68" t="s">
        <v>158</v>
      </c>
    </row>
    <row r="69" spans="1:9" ht="15" customHeight="1" x14ac:dyDescent="0.25">
      <c r="G69" t="s">
        <v>159</v>
      </c>
    </row>
    <row r="70" spans="1:9" ht="15" customHeight="1" x14ac:dyDescent="0.25">
      <c r="A70" s="9" t="s">
        <v>94</v>
      </c>
      <c r="B70" s="8"/>
    </row>
    <row r="71" spans="1:9" ht="15" customHeight="1" x14ac:dyDescent="0.25">
      <c r="A71" s="9" t="s">
        <v>231</v>
      </c>
      <c r="B71" s="8"/>
      <c r="G71" t="s">
        <v>237</v>
      </c>
      <c r="I71" s="18">
        <f>1482+175+120</f>
        <v>1777</v>
      </c>
    </row>
    <row r="72" spans="1:9" ht="15" customHeight="1" x14ac:dyDescent="0.25">
      <c r="A72" s="8" t="s">
        <v>236</v>
      </c>
      <c r="B72" s="8">
        <v>120</v>
      </c>
      <c r="G72" t="s">
        <v>238</v>
      </c>
      <c r="I72" s="17">
        <v>1777</v>
      </c>
    </row>
    <row r="74" spans="1:9" ht="15" customHeight="1" x14ac:dyDescent="0.25">
      <c r="A74" s="9" t="s">
        <v>95</v>
      </c>
      <c r="B74" s="8"/>
    </row>
    <row r="75" spans="1:9" ht="15" customHeight="1" x14ac:dyDescent="0.25">
      <c r="A75" s="8" t="s">
        <v>96</v>
      </c>
      <c r="B75" s="8">
        <v>92</v>
      </c>
    </row>
    <row r="76" spans="1:9" ht="15" customHeight="1" x14ac:dyDescent="0.25">
      <c r="A76" s="8" t="s">
        <v>232</v>
      </c>
      <c r="B76" s="8">
        <v>22</v>
      </c>
    </row>
    <row r="77" spans="1:9" ht="15" customHeight="1" x14ac:dyDescent="0.25">
      <c r="A77" s="8" t="s">
        <v>97</v>
      </c>
      <c r="B77" s="8">
        <v>3</v>
      </c>
    </row>
    <row r="78" spans="1:9" ht="15" customHeight="1" x14ac:dyDescent="0.25">
      <c r="A78" s="8" t="s">
        <v>233</v>
      </c>
      <c r="B78" s="8">
        <v>7</v>
      </c>
    </row>
    <row r="79" spans="1:9" ht="15" customHeight="1" x14ac:dyDescent="0.25">
      <c r="A79" s="8" t="s">
        <v>234</v>
      </c>
      <c r="B79" s="8">
        <v>51</v>
      </c>
    </row>
    <row r="80" spans="1:9" ht="15" customHeight="1" x14ac:dyDescent="0.25">
      <c r="A80" s="9" t="s">
        <v>98</v>
      </c>
      <c r="B80" s="9">
        <v>175</v>
      </c>
    </row>
    <row r="82" spans="1:2" ht="15" customHeight="1" x14ac:dyDescent="0.25">
      <c r="A82" s="9" t="s">
        <v>99</v>
      </c>
      <c r="B82" s="9">
        <v>295</v>
      </c>
    </row>
    <row r="83" spans="1:2" ht="15" customHeight="1" x14ac:dyDescent="0.25">
      <c r="A83" s="9" t="s">
        <v>100</v>
      </c>
      <c r="B83" s="11">
        <v>1777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9100-7544-4850-90B0-7DBB25810D92}">
  <dimension ref="I2:O29"/>
  <sheetViews>
    <sheetView tabSelected="1" zoomScale="85" zoomScaleNormal="85" workbookViewId="0">
      <selection activeCell="J14" sqref="J14"/>
    </sheetView>
  </sheetViews>
  <sheetFormatPr defaultRowHeight="15" x14ac:dyDescent="0.25"/>
  <cols>
    <col min="9" max="9" width="24.140625" bestFit="1" customWidth="1"/>
    <col min="12" max="12" width="26.140625" bestFit="1" customWidth="1"/>
    <col min="13" max="13" width="25" customWidth="1"/>
    <col min="14" max="14" width="14.85546875" bestFit="1" customWidth="1"/>
  </cols>
  <sheetData>
    <row r="2" spans="9:15" x14ac:dyDescent="0.25">
      <c r="I2" s="1" t="s">
        <v>168</v>
      </c>
      <c r="J2" t="s">
        <v>279</v>
      </c>
      <c r="L2" s="1" t="s">
        <v>305</v>
      </c>
    </row>
    <row r="3" spans="9:15" x14ac:dyDescent="0.25">
      <c r="I3" t="s">
        <v>170</v>
      </c>
      <c r="J3">
        <v>2680</v>
      </c>
      <c r="L3" s="1" t="s">
        <v>181</v>
      </c>
      <c r="M3" s="1" t="s">
        <v>143</v>
      </c>
      <c r="N3" s="1" t="s">
        <v>284</v>
      </c>
    </row>
    <row r="4" spans="9:15" x14ac:dyDescent="0.25">
      <c r="I4" t="s">
        <v>68</v>
      </c>
      <c r="J4">
        <f>N8</f>
        <v>1130</v>
      </c>
      <c r="L4" t="s">
        <v>0</v>
      </c>
      <c r="M4" t="s">
        <v>187</v>
      </c>
      <c r="N4">
        <v>600</v>
      </c>
    </row>
    <row r="5" spans="9:15" x14ac:dyDescent="0.25">
      <c r="I5" s="1" t="s">
        <v>69</v>
      </c>
      <c r="J5">
        <f>J3-J4</f>
        <v>1550</v>
      </c>
      <c r="L5" t="s">
        <v>1</v>
      </c>
      <c r="M5" t="s">
        <v>187</v>
      </c>
      <c r="N5">
        <v>1400</v>
      </c>
    </row>
    <row r="6" spans="9:15" x14ac:dyDescent="0.25">
      <c r="L6" t="s">
        <v>285</v>
      </c>
      <c r="M6" t="s">
        <v>288</v>
      </c>
      <c r="N6">
        <v>550</v>
      </c>
    </row>
    <row r="7" spans="9:15" x14ac:dyDescent="0.25">
      <c r="I7" t="s">
        <v>280</v>
      </c>
      <c r="L7" t="s">
        <v>286</v>
      </c>
      <c r="M7" t="s">
        <v>287</v>
      </c>
      <c r="N7">
        <f>320</f>
        <v>320</v>
      </c>
    </row>
    <row r="8" spans="9:15" x14ac:dyDescent="0.25">
      <c r="I8" t="s">
        <v>281</v>
      </c>
      <c r="J8">
        <f>(200-10)</f>
        <v>190</v>
      </c>
      <c r="L8" t="s">
        <v>68</v>
      </c>
      <c r="N8">
        <f>N4+N5-N6-N7</f>
        <v>1130</v>
      </c>
    </row>
    <row r="9" spans="9:15" x14ac:dyDescent="0.25">
      <c r="I9" t="s">
        <v>282</v>
      </c>
      <c r="J9">
        <f>(150+25)</f>
        <v>175</v>
      </c>
    </row>
    <row r="10" spans="9:15" x14ac:dyDescent="0.25">
      <c r="I10" t="s">
        <v>172</v>
      </c>
      <c r="J10">
        <f>(50)</f>
        <v>50</v>
      </c>
      <c r="L10" s="1" t="s">
        <v>306</v>
      </c>
    </row>
    <row r="11" spans="9:15" x14ac:dyDescent="0.25">
      <c r="I11" t="s">
        <v>283</v>
      </c>
      <c r="J11">
        <f>N22</f>
        <v>191</v>
      </c>
      <c r="L11" s="1" t="s">
        <v>181</v>
      </c>
      <c r="M11" s="1" t="s">
        <v>143</v>
      </c>
      <c r="N11" s="1" t="s">
        <v>284</v>
      </c>
      <c r="O11" s="1" t="s">
        <v>295</v>
      </c>
    </row>
    <row r="12" spans="9:15" x14ac:dyDescent="0.25">
      <c r="I12" s="1" t="s">
        <v>173</v>
      </c>
      <c r="J12">
        <f>J5-(J8+J9+J10+J11)</f>
        <v>944</v>
      </c>
      <c r="L12" t="s">
        <v>289</v>
      </c>
      <c r="M12" t="s">
        <v>290</v>
      </c>
      <c r="N12">
        <f>250-50</f>
        <v>200</v>
      </c>
    </row>
    <row r="13" spans="9:15" x14ac:dyDescent="0.25">
      <c r="I13" t="s">
        <v>73</v>
      </c>
      <c r="J13">
        <f>N29</f>
        <v>200</v>
      </c>
      <c r="L13" t="s">
        <v>291</v>
      </c>
      <c r="M13" t="s">
        <v>187</v>
      </c>
      <c r="N13">
        <v>150</v>
      </c>
    </row>
    <row r="14" spans="9:15" x14ac:dyDescent="0.25">
      <c r="I14" s="1" t="s">
        <v>74</v>
      </c>
      <c r="J14">
        <f>J12-J13</f>
        <v>744</v>
      </c>
      <c r="L14" t="s">
        <v>292</v>
      </c>
      <c r="M14" t="s">
        <v>293</v>
      </c>
      <c r="N14">
        <f>-20%*150</f>
        <v>-30</v>
      </c>
    </row>
    <row r="15" spans="9:15" x14ac:dyDescent="0.25">
      <c r="L15" t="s">
        <v>294</v>
      </c>
      <c r="N15">
        <f>N12+N13+N14</f>
        <v>320</v>
      </c>
    </row>
    <row r="17" spans="12:14" x14ac:dyDescent="0.25">
      <c r="L17" s="1" t="s">
        <v>307</v>
      </c>
    </row>
    <row r="18" spans="12:14" x14ac:dyDescent="0.25">
      <c r="L18" s="1" t="s">
        <v>122</v>
      </c>
      <c r="M18" s="1" t="s">
        <v>143</v>
      </c>
      <c r="N18" s="1" t="s">
        <v>284</v>
      </c>
    </row>
    <row r="19" spans="12:14" x14ac:dyDescent="0.25">
      <c r="L19" t="s">
        <v>244</v>
      </c>
      <c r="M19" t="s">
        <v>296</v>
      </c>
      <c r="N19">
        <f>2500*(2/100)</f>
        <v>50</v>
      </c>
    </row>
    <row r="20" spans="12:14" x14ac:dyDescent="0.25">
      <c r="L20" t="s">
        <v>245</v>
      </c>
      <c r="M20" t="s">
        <v>296</v>
      </c>
      <c r="N20">
        <f>1250*(10/100)</f>
        <v>125</v>
      </c>
    </row>
    <row r="21" spans="12:14" x14ac:dyDescent="0.25">
      <c r="L21" t="s">
        <v>297</v>
      </c>
      <c r="M21" t="s">
        <v>298</v>
      </c>
      <c r="N21">
        <f>(320*(10/100)*(6/12))</f>
        <v>16</v>
      </c>
    </row>
    <row r="22" spans="12:14" x14ac:dyDescent="0.25">
      <c r="L22" t="s">
        <v>219</v>
      </c>
      <c r="N22">
        <f>N19+N20+N21</f>
        <v>191</v>
      </c>
    </row>
    <row r="24" spans="12:14" x14ac:dyDescent="0.25">
      <c r="L24" s="1" t="s">
        <v>308</v>
      </c>
    </row>
    <row r="25" spans="12:14" x14ac:dyDescent="0.25">
      <c r="L25" s="1" t="s">
        <v>181</v>
      </c>
      <c r="M25" s="1" t="s">
        <v>143</v>
      </c>
      <c r="N25" s="1" t="s">
        <v>284</v>
      </c>
    </row>
    <row r="26" spans="12:14" x14ac:dyDescent="0.25">
      <c r="L26" t="s">
        <v>299</v>
      </c>
      <c r="M26" t="s">
        <v>302</v>
      </c>
      <c r="N26">
        <v>75</v>
      </c>
    </row>
    <row r="27" spans="12:14" x14ac:dyDescent="0.25">
      <c r="L27" t="s">
        <v>300</v>
      </c>
      <c r="M27" t="s">
        <v>288</v>
      </c>
      <c r="N27">
        <v>125</v>
      </c>
    </row>
    <row r="28" spans="12:14" x14ac:dyDescent="0.25">
      <c r="L28" t="s">
        <v>301</v>
      </c>
      <c r="M28" t="s">
        <v>303</v>
      </c>
      <c r="N28">
        <f>75+125</f>
        <v>200</v>
      </c>
    </row>
    <row r="29" spans="12:14" x14ac:dyDescent="0.25">
      <c r="L29" t="s">
        <v>185</v>
      </c>
      <c r="M29" s="3" t="s">
        <v>304</v>
      </c>
      <c r="N29">
        <f>200</f>
        <v>200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6747-414D-4341-A010-E21E43F37DAB}">
  <dimension ref="A1:N94"/>
  <sheetViews>
    <sheetView topLeftCell="A46" zoomScale="85" zoomScaleNormal="85" workbookViewId="0">
      <selection activeCell="G40" sqref="G40"/>
    </sheetView>
  </sheetViews>
  <sheetFormatPr defaultRowHeight="15" customHeight="1" x14ac:dyDescent="0.25"/>
  <cols>
    <col min="1" max="1" width="22.140625" customWidth="1"/>
    <col min="7" max="7" width="19" customWidth="1"/>
    <col min="8" max="8" width="16.7109375" customWidth="1"/>
    <col min="9" max="10" width="20.7109375" customWidth="1"/>
  </cols>
  <sheetData>
    <row r="1" spans="7:14" ht="15" customHeight="1" x14ac:dyDescent="0.25">
      <c r="G1" s="1" t="s">
        <v>108</v>
      </c>
      <c r="I1" s="1"/>
    </row>
    <row r="3" spans="7:14" ht="15" customHeight="1" x14ac:dyDescent="0.25">
      <c r="G3" s="1" t="s">
        <v>109</v>
      </c>
    </row>
    <row r="4" spans="7:14" ht="15" customHeight="1" x14ac:dyDescent="0.25">
      <c r="G4" s="3" t="s">
        <v>110</v>
      </c>
    </row>
    <row r="5" spans="7:14" ht="15" customHeight="1" x14ac:dyDescent="0.25">
      <c r="G5" s="3" t="s">
        <v>111</v>
      </c>
    </row>
    <row r="7" spans="7:14" ht="15" customHeight="1" x14ac:dyDescent="0.25">
      <c r="G7" s="1" t="s">
        <v>112</v>
      </c>
    </row>
    <row r="8" spans="7:14" ht="15" customHeight="1" x14ac:dyDescent="0.25">
      <c r="G8" s="3" t="s">
        <v>113</v>
      </c>
    </row>
    <row r="9" spans="7:14" ht="15" customHeight="1" x14ac:dyDescent="0.25">
      <c r="G9" s="3" t="s">
        <v>114</v>
      </c>
    </row>
    <row r="10" spans="7:14" ht="15" customHeight="1" x14ac:dyDescent="0.25">
      <c r="G10" s="3" t="s">
        <v>115</v>
      </c>
    </row>
    <row r="12" spans="7:14" ht="15" customHeight="1" x14ac:dyDescent="0.25">
      <c r="G12" s="1" t="s">
        <v>116</v>
      </c>
    </row>
    <row r="13" spans="7:14" ht="15" customHeight="1" x14ac:dyDescent="0.25">
      <c r="G13" s="3" t="s">
        <v>117</v>
      </c>
    </row>
    <row r="14" spans="7:14" ht="15" customHeight="1" x14ac:dyDescent="0.25">
      <c r="G14" s="3" t="s">
        <v>118</v>
      </c>
      <c r="I14" s="1"/>
    </row>
    <row r="16" spans="7:14" ht="15" customHeight="1" x14ac:dyDescent="0.25">
      <c r="G16" s="1" t="s">
        <v>119</v>
      </c>
      <c r="J16" s="1"/>
      <c r="N16" s="1" t="s">
        <v>126</v>
      </c>
    </row>
    <row r="17" spans="7:14" ht="15" customHeight="1" x14ac:dyDescent="0.25">
      <c r="J17" s="1"/>
      <c r="M17" s="1"/>
    </row>
    <row r="18" spans="7:14" ht="15" customHeight="1" x14ac:dyDescent="0.25">
      <c r="G18" t="s">
        <v>120</v>
      </c>
      <c r="N18" s="1" t="s">
        <v>224</v>
      </c>
    </row>
    <row r="19" spans="7:14" ht="15" customHeight="1" x14ac:dyDescent="0.25">
      <c r="G19" s="1" t="s">
        <v>121</v>
      </c>
      <c r="N19" s="1" t="s">
        <v>128</v>
      </c>
    </row>
    <row r="20" spans="7:14" ht="15" customHeight="1" x14ac:dyDescent="0.25">
      <c r="N20" s="3" t="s">
        <v>129</v>
      </c>
    </row>
    <row r="21" spans="7:14" ht="15" customHeight="1" x14ac:dyDescent="0.25">
      <c r="G21" s="13" t="s">
        <v>122</v>
      </c>
      <c r="H21" s="13" t="s">
        <v>242</v>
      </c>
      <c r="I21" s="13" t="s">
        <v>247</v>
      </c>
      <c r="J21" s="13" t="s">
        <v>243</v>
      </c>
    </row>
    <row r="22" spans="7:14" ht="15" customHeight="1" x14ac:dyDescent="0.25">
      <c r="G22" s="8" t="s">
        <v>244</v>
      </c>
      <c r="H22" s="10">
        <v>2500</v>
      </c>
      <c r="I22" s="8">
        <v>550</v>
      </c>
      <c r="J22" s="10">
        <v>1950</v>
      </c>
      <c r="N22" s="1" t="s">
        <v>130</v>
      </c>
    </row>
    <row r="23" spans="7:14" ht="15" customHeight="1" x14ac:dyDescent="0.25">
      <c r="G23" s="8" t="s">
        <v>245</v>
      </c>
      <c r="H23" s="8" t="s">
        <v>246</v>
      </c>
      <c r="I23" s="8">
        <v>516</v>
      </c>
      <c r="J23" s="10">
        <v>1054</v>
      </c>
      <c r="N23" t="s">
        <v>131</v>
      </c>
    </row>
    <row r="24" spans="7:14" ht="15" customHeight="1" x14ac:dyDescent="0.25">
      <c r="J24" s="5">
        <f>SUM(J22:J23)</f>
        <v>3004</v>
      </c>
    </row>
    <row r="25" spans="7:14" ht="15" customHeight="1" x14ac:dyDescent="0.25">
      <c r="N25" s="1" t="s">
        <v>132</v>
      </c>
    </row>
    <row r="26" spans="7:14" ht="15" customHeight="1" x14ac:dyDescent="0.25">
      <c r="G26" s="1" t="s">
        <v>139</v>
      </c>
      <c r="N26" s="1" t="s">
        <v>128</v>
      </c>
    </row>
    <row r="27" spans="7:14" ht="15" customHeight="1" x14ac:dyDescent="0.25">
      <c r="N27" s="3" t="s">
        <v>133</v>
      </c>
    </row>
    <row r="28" spans="7:14" ht="15" customHeight="1" x14ac:dyDescent="0.25">
      <c r="G28" t="s">
        <v>140</v>
      </c>
      <c r="I28" s="1"/>
    </row>
    <row r="29" spans="7:14" ht="15" customHeight="1" x14ac:dyDescent="0.25">
      <c r="G29" t="s">
        <v>141</v>
      </c>
      <c r="N29" s="1" t="s">
        <v>134</v>
      </c>
    </row>
    <row r="30" spans="7:14" ht="15" customHeight="1" x14ac:dyDescent="0.25">
      <c r="N30" t="s">
        <v>135</v>
      </c>
    </row>
    <row r="31" spans="7:14" ht="15" customHeight="1" x14ac:dyDescent="0.25">
      <c r="G31" s="13" t="s">
        <v>142</v>
      </c>
      <c r="H31" s="13" t="s">
        <v>182</v>
      </c>
      <c r="I31" s="1"/>
    </row>
    <row r="32" spans="7:14" ht="15" customHeight="1" x14ac:dyDescent="0.25">
      <c r="G32" s="8" t="s">
        <v>83</v>
      </c>
      <c r="H32" s="8">
        <v>550</v>
      </c>
      <c r="N32" s="1" t="s">
        <v>136</v>
      </c>
    </row>
    <row r="33" spans="7:14" ht="15" customHeight="1" x14ac:dyDescent="0.25">
      <c r="G33" s="8" t="s">
        <v>248</v>
      </c>
      <c r="H33" s="8">
        <v>350</v>
      </c>
      <c r="N33" s="1" t="s">
        <v>128</v>
      </c>
    </row>
    <row r="34" spans="7:14" ht="15" customHeight="1" x14ac:dyDescent="0.25">
      <c r="G34" s="8" t="s">
        <v>87</v>
      </c>
      <c r="H34" s="8">
        <v>175</v>
      </c>
      <c r="N34" s="4" t="s">
        <v>137</v>
      </c>
    </row>
    <row r="35" spans="7:14" ht="15" customHeight="1" x14ac:dyDescent="0.25">
      <c r="G35" s="8" t="s">
        <v>86</v>
      </c>
      <c r="H35" s="8">
        <v>10</v>
      </c>
    </row>
    <row r="36" spans="7:14" ht="15" customHeight="1" x14ac:dyDescent="0.25">
      <c r="H36">
        <f>SUM(H32:H35)</f>
        <v>1085</v>
      </c>
      <c r="N36" s="1" t="s">
        <v>134</v>
      </c>
    </row>
    <row r="37" spans="7:14" ht="15" customHeight="1" x14ac:dyDescent="0.25">
      <c r="N37" t="s">
        <v>138</v>
      </c>
    </row>
    <row r="38" spans="7:14" ht="15" customHeight="1" x14ac:dyDescent="0.25">
      <c r="G38" s="1" t="s">
        <v>148</v>
      </c>
    </row>
    <row r="39" spans="7:14" ht="15" customHeight="1" x14ac:dyDescent="0.25">
      <c r="G39" t="s">
        <v>149</v>
      </c>
    </row>
    <row r="41" spans="7:14" ht="15" customHeight="1" x14ac:dyDescent="0.25">
      <c r="G41" s="13" t="s">
        <v>181</v>
      </c>
      <c r="H41" s="13" t="s">
        <v>143</v>
      </c>
      <c r="I41" s="13" t="s">
        <v>182</v>
      </c>
    </row>
    <row r="42" spans="7:14" ht="15" customHeight="1" x14ac:dyDescent="0.25">
      <c r="G42" s="8" t="s">
        <v>240</v>
      </c>
      <c r="H42" s="8" t="s">
        <v>187</v>
      </c>
      <c r="I42" s="10">
        <v>1945</v>
      </c>
    </row>
    <row r="43" spans="7:14" ht="15" customHeight="1" x14ac:dyDescent="0.25">
      <c r="G43" s="8" t="s">
        <v>92</v>
      </c>
      <c r="H43" s="8" t="s">
        <v>249</v>
      </c>
      <c r="I43" s="10">
        <f>375+744-125</f>
        <v>994</v>
      </c>
    </row>
    <row r="44" spans="7:14" ht="15" customHeight="1" x14ac:dyDescent="0.25">
      <c r="G44" s="3"/>
      <c r="I44" s="5">
        <f>SUM(I42:I43)</f>
        <v>2939</v>
      </c>
    </row>
    <row r="45" spans="7:14" ht="15" customHeight="1" x14ac:dyDescent="0.25">
      <c r="G45" t="s">
        <v>250</v>
      </c>
      <c r="H45" s="5">
        <f>SUM(I42:I43)</f>
        <v>2939</v>
      </c>
    </row>
    <row r="49" spans="1:9" ht="15" customHeight="1" x14ac:dyDescent="0.25">
      <c r="G49" s="1" t="s">
        <v>155</v>
      </c>
    </row>
    <row r="50" spans="1:9" ht="15" customHeight="1" x14ac:dyDescent="0.25">
      <c r="G50" t="s">
        <v>157</v>
      </c>
    </row>
    <row r="51" spans="1:9" ht="15" customHeight="1" x14ac:dyDescent="0.25">
      <c r="G51" t="s">
        <v>156</v>
      </c>
    </row>
    <row r="53" spans="1:9" ht="15" customHeight="1" x14ac:dyDescent="0.25">
      <c r="G53" s="1" t="s">
        <v>254</v>
      </c>
    </row>
    <row r="54" spans="1:9" ht="15" customHeight="1" x14ac:dyDescent="0.25">
      <c r="G54" s="13" t="s">
        <v>181</v>
      </c>
      <c r="H54" s="13" t="s">
        <v>182</v>
      </c>
    </row>
    <row r="55" spans="1:9" ht="15" customHeight="1" thickBot="1" x14ac:dyDescent="0.3">
      <c r="G55" s="8" t="s">
        <v>251</v>
      </c>
      <c r="H55" s="19">
        <v>750</v>
      </c>
    </row>
    <row r="56" spans="1:9" ht="15" customHeight="1" x14ac:dyDescent="0.25">
      <c r="H56">
        <f>H55</f>
        <v>750</v>
      </c>
    </row>
    <row r="57" spans="1:9" ht="15" customHeight="1" x14ac:dyDescent="0.25">
      <c r="G57" s="1" t="s">
        <v>253</v>
      </c>
      <c r="H57" s="13"/>
      <c r="I57" s="13"/>
    </row>
    <row r="58" spans="1:9" ht="15" customHeight="1" x14ac:dyDescent="0.25">
      <c r="G58" s="13" t="s">
        <v>181</v>
      </c>
      <c r="H58" s="13" t="s">
        <v>182</v>
      </c>
      <c r="I58" s="8"/>
    </row>
    <row r="59" spans="1:9" ht="15" customHeight="1" x14ac:dyDescent="0.25">
      <c r="G59" s="8" t="s">
        <v>252</v>
      </c>
      <c r="H59" s="8">
        <v>250</v>
      </c>
      <c r="I59" s="8"/>
    </row>
    <row r="60" spans="1:9" ht="15" customHeight="1" x14ac:dyDescent="0.25">
      <c r="G60" s="8" t="s">
        <v>97</v>
      </c>
      <c r="H60" s="8">
        <v>25</v>
      </c>
      <c r="I60" s="8"/>
    </row>
    <row r="61" spans="1:9" ht="15" customHeight="1" thickBot="1" x14ac:dyDescent="0.3">
      <c r="G61" s="8" t="s">
        <v>234</v>
      </c>
      <c r="H61" s="19">
        <v>125</v>
      </c>
      <c r="I61" s="8"/>
    </row>
    <row r="62" spans="1:9" ht="15" customHeight="1" x14ac:dyDescent="0.25">
      <c r="A62" s="13" t="s">
        <v>239</v>
      </c>
      <c r="B62" s="13" t="s">
        <v>182</v>
      </c>
      <c r="H62">
        <f>SUM(H59:H61)</f>
        <v>400</v>
      </c>
      <c r="I62" s="8"/>
    </row>
    <row r="63" spans="1:9" ht="15" customHeight="1" x14ac:dyDescent="0.25">
      <c r="A63" s="9" t="s">
        <v>241</v>
      </c>
      <c r="B63" s="8"/>
    </row>
    <row r="64" spans="1:9" ht="15" customHeight="1" x14ac:dyDescent="0.25">
      <c r="A64" s="9" t="s">
        <v>79</v>
      </c>
      <c r="B64" s="8"/>
    </row>
    <row r="65" spans="1:9" ht="15" customHeight="1" x14ac:dyDescent="0.25">
      <c r="A65" s="8" t="s">
        <v>244</v>
      </c>
      <c r="B65" s="10">
        <v>1950</v>
      </c>
      <c r="G65" s="1" t="s">
        <v>162</v>
      </c>
    </row>
    <row r="66" spans="1:9" ht="15" customHeight="1" x14ac:dyDescent="0.25">
      <c r="A66" s="8" t="s">
        <v>245</v>
      </c>
      <c r="B66" s="10">
        <v>1054</v>
      </c>
      <c r="G66" t="s">
        <v>158</v>
      </c>
    </row>
    <row r="67" spans="1:9" ht="15" customHeight="1" x14ac:dyDescent="0.25">
      <c r="A67" s="9" t="s">
        <v>81</v>
      </c>
      <c r="B67" s="11">
        <v>3004</v>
      </c>
      <c r="G67" t="s">
        <v>159</v>
      </c>
    </row>
    <row r="69" spans="1:9" ht="15" customHeight="1" x14ac:dyDescent="0.25">
      <c r="A69" s="9" t="s">
        <v>82</v>
      </c>
      <c r="B69" s="8"/>
      <c r="G69" t="s">
        <v>255</v>
      </c>
      <c r="H69" s="18">
        <f>2939+1150</f>
        <v>4089</v>
      </c>
      <c r="I69" s="18"/>
    </row>
    <row r="70" spans="1:9" ht="15" customHeight="1" x14ac:dyDescent="0.25">
      <c r="A70" s="8" t="s">
        <v>83</v>
      </c>
      <c r="B70" s="8">
        <v>550</v>
      </c>
      <c r="G70" t="s">
        <v>256</v>
      </c>
      <c r="H70" s="18">
        <f>4089</f>
        <v>4089</v>
      </c>
      <c r="I70" s="17"/>
    </row>
    <row r="71" spans="1:9" ht="15" customHeight="1" x14ac:dyDescent="0.25">
      <c r="A71" s="8" t="s">
        <v>248</v>
      </c>
      <c r="B71" s="8">
        <v>350</v>
      </c>
    </row>
    <row r="72" spans="1:9" ht="15" customHeight="1" x14ac:dyDescent="0.25">
      <c r="A72" s="8" t="s">
        <v>87</v>
      </c>
      <c r="B72" s="8">
        <v>175</v>
      </c>
    </row>
    <row r="73" spans="1:9" ht="15" customHeight="1" x14ac:dyDescent="0.25">
      <c r="A73" s="8" t="s">
        <v>86</v>
      </c>
      <c r="B73" s="8">
        <v>10</v>
      </c>
    </row>
    <row r="74" spans="1:9" ht="15" customHeight="1" x14ac:dyDescent="0.25">
      <c r="A74" s="9" t="s">
        <v>88</v>
      </c>
      <c r="B74" s="11">
        <v>1085</v>
      </c>
    </row>
    <row r="75" spans="1:9" ht="15" customHeight="1" x14ac:dyDescent="0.25">
      <c r="A75" s="9" t="s">
        <v>89</v>
      </c>
      <c r="B75" s="11">
        <v>4089</v>
      </c>
    </row>
    <row r="77" spans="1:9" ht="15" customHeight="1" x14ac:dyDescent="0.25">
      <c r="A77" s="9" t="s">
        <v>163</v>
      </c>
      <c r="B77" s="8"/>
    </row>
    <row r="78" spans="1:9" ht="15" customHeight="1" x14ac:dyDescent="0.25">
      <c r="A78" s="9" t="s">
        <v>90</v>
      </c>
      <c r="B78" s="8"/>
    </row>
    <row r="79" spans="1:9" ht="15" customHeight="1" x14ac:dyDescent="0.25">
      <c r="A79" s="8" t="s">
        <v>240</v>
      </c>
      <c r="B79" s="10">
        <v>1945</v>
      </c>
    </row>
    <row r="80" spans="1:9" ht="15" customHeight="1" x14ac:dyDescent="0.25">
      <c r="A80" s="8" t="s">
        <v>92</v>
      </c>
      <c r="B80" s="10">
        <v>1119</v>
      </c>
    </row>
    <row r="81" spans="1:2" ht="15" customHeight="1" x14ac:dyDescent="0.25">
      <c r="A81" s="9" t="s">
        <v>93</v>
      </c>
      <c r="B81" s="11">
        <v>2939</v>
      </c>
    </row>
    <row r="83" spans="1:2" ht="15" customHeight="1" x14ac:dyDescent="0.25">
      <c r="A83" s="9" t="s">
        <v>94</v>
      </c>
      <c r="B83" s="8"/>
    </row>
    <row r="84" spans="1:2" ht="15" customHeight="1" x14ac:dyDescent="0.25">
      <c r="A84" s="9" t="s">
        <v>231</v>
      </c>
      <c r="B84" s="8"/>
    </row>
    <row r="85" spans="1:2" ht="15" customHeight="1" x14ac:dyDescent="0.25">
      <c r="A85" s="8" t="s">
        <v>251</v>
      </c>
      <c r="B85" s="8">
        <v>750</v>
      </c>
    </row>
    <row r="87" spans="1:2" ht="15" customHeight="1" x14ac:dyDescent="0.25">
      <c r="A87" s="9" t="s">
        <v>95</v>
      </c>
      <c r="B87" s="8"/>
    </row>
    <row r="88" spans="1:2" ht="15" customHeight="1" x14ac:dyDescent="0.25">
      <c r="A88" s="8" t="s">
        <v>252</v>
      </c>
      <c r="B88" s="8">
        <v>250</v>
      </c>
    </row>
    <row r="89" spans="1:2" ht="15" customHeight="1" x14ac:dyDescent="0.25">
      <c r="A89" s="8" t="s">
        <v>97</v>
      </c>
      <c r="B89" s="8">
        <v>25</v>
      </c>
    </row>
    <row r="90" spans="1:2" ht="15" customHeight="1" x14ac:dyDescent="0.25">
      <c r="A90" s="8" t="s">
        <v>234</v>
      </c>
      <c r="B90" s="8">
        <v>125</v>
      </c>
    </row>
    <row r="92" spans="1:2" ht="15" customHeight="1" x14ac:dyDescent="0.25">
      <c r="A92" s="9" t="s">
        <v>98</v>
      </c>
      <c r="B92" s="9">
        <v>400</v>
      </c>
    </row>
    <row r="93" spans="1:2" ht="15" customHeight="1" x14ac:dyDescent="0.25">
      <c r="A93" s="9" t="s">
        <v>99</v>
      </c>
      <c r="B93" s="11">
        <v>1150</v>
      </c>
    </row>
    <row r="94" spans="1:2" ht="15" customHeight="1" x14ac:dyDescent="0.25">
      <c r="A94" s="9" t="s">
        <v>100</v>
      </c>
      <c r="B94" s="11">
        <v>4089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5833-0338-4182-97D2-3201B2F015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52E8-57B1-4666-B26E-50A4A8F56F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9D03-D69A-4685-875E-75EA94B6B2E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68bb02-cea7-47a7-8486-5fa5775c54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5D461E3186840B6295614C3F6CBF7" ma:contentTypeVersion="13" ma:contentTypeDescription="Create a new document." ma:contentTypeScope="" ma:versionID="36c5d3abd2f5f65b7e4df3c95a7fac60">
  <xsd:schema xmlns:xsd="http://www.w3.org/2001/XMLSchema" xmlns:xs="http://www.w3.org/2001/XMLSchema" xmlns:p="http://schemas.microsoft.com/office/2006/metadata/properties" xmlns:ns3="fc68bb02-cea7-47a7-8486-5fa5775c5400" xmlns:ns4="9ad45b7a-dbde-452b-a4a7-7cb6f25a272a" targetNamespace="http://schemas.microsoft.com/office/2006/metadata/properties" ma:root="true" ma:fieldsID="19f510c93a1a7c10f8de96c2513e45d1" ns3:_="" ns4:_="">
    <xsd:import namespace="fc68bb02-cea7-47a7-8486-5fa5775c5400"/>
    <xsd:import namespace="9ad45b7a-dbde-452b-a4a7-7cb6f25a2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8bb02-cea7-47a7-8486-5fa5775c5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45b7a-dbde-452b-a4a7-7cb6f25a2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C934A8-3240-403F-A8D5-58897CD154F3}">
  <ds:schemaRefs>
    <ds:schemaRef ds:uri="fc68bb02-cea7-47a7-8486-5fa5775c5400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9ad45b7a-dbde-452b-a4a7-7cb6f25a272a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9553855-B9BD-4966-AFF5-107951E46C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BFDA13-D4DD-406B-A656-193B90881E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8bb02-cea7-47a7-8486-5fa5775c5400"/>
    <ds:schemaRef ds:uri="9ad45b7a-dbde-452b-a4a7-7cb6f25a2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52e9fda-0691-4585-bdfc-5ccae1ce1890}" enabled="0" method="" siteId="{b52e9fda-0691-4585-bdfc-5ccae1ce18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1 - SoFP</vt:lpstr>
      <vt:lpstr>Week 1 - Guide (Profit or Loss)</vt:lpstr>
      <vt:lpstr>Week 2 - Guide (Profit or Loss)</vt:lpstr>
      <vt:lpstr>Week 2 - Guide (Fin. Position)</vt:lpstr>
      <vt:lpstr>Week 3 - PPE (Reval; SoPL)</vt:lpstr>
      <vt:lpstr>Week 3 - PPE (Reval; SoFP)</vt:lpstr>
      <vt:lpstr>Week 4 - Revenue</vt:lpstr>
      <vt:lpstr>Week 5 - Inventories</vt:lpstr>
      <vt:lpstr>Week 7 - Assets HFS + Discon.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Ubayd Knight</dc:creator>
  <cp:lastModifiedBy>Ubayd Knight (U2281887)</cp:lastModifiedBy>
  <dcterms:created xsi:type="dcterms:W3CDTF">2024-11-18T12:16:13Z</dcterms:created>
  <dcterms:modified xsi:type="dcterms:W3CDTF">2024-12-11T18:00:43Z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0x010100B115D461E3186840B6295614C3F6CBF7</vt:lpwstr>
  </property>
</Properties>
</file>