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bayd\Documents\GitHub\University-Resources\Corporate Finance\"/>
    </mc:Choice>
  </mc:AlternateContent>
  <xr:revisionPtr revIDLastSave="0" documentId="13_ncr:1_{6ABD4B3E-AFB9-4302-A83E-ACD2D9AB5FA7}" xr6:coauthVersionLast="47" xr6:coauthVersionMax="47" xr10:uidLastSave="{00000000-0000-0000-0000-000000000000}"/>
  <bookViews>
    <workbookView xWindow="-105" yWindow="0" windowWidth="14610" windowHeight="15585" firstSheet="11" activeTab="12" xr2:uid="{04150659-CC8A-470D-AA52-24A162A067B3}"/>
  </bookViews>
  <sheets>
    <sheet name="Week 1 - Investment Appraisal" sheetId="1" r:id="rId1"/>
    <sheet name="Week 2 - Appraisal and Taxation" sheetId="2" r:id="rId2"/>
    <sheet name="Week 3 - Appraisal and Rations" sheetId="3" r:id="rId3"/>
    <sheet name="Week 4 - Investment Risk" sheetId="4" r:id="rId4"/>
    <sheet name="Week 5 - Issuing Shares" sheetId="5" r:id="rId5"/>
    <sheet name="Week 6 - Efficiency and B.F." sheetId="6" r:id="rId6"/>
    <sheet name="Week 7 - Valuation" sheetId="7" r:id="rId7"/>
    <sheet name="Week 8 - Dividend Policy" sheetId="8" r:id="rId8"/>
    <sheet name="Week 9 - Mergers" sheetId="9" r:id="rId9"/>
    <sheet name="Week 10 - Mergers II" sheetId="10" r:id="rId10"/>
    <sheet name="Past Exam Paper I" sheetId="12" r:id="rId11"/>
    <sheet name="Week 14- Value Based Management" sheetId="13" r:id="rId12"/>
    <sheet name="Week 15 - CAPM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18" i="13"/>
  <c r="B61" i="12"/>
  <c r="B59" i="12"/>
  <c r="C57" i="12"/>
  <c r="D57" i="12"/>
  <c r="E57" i="12"/>
  <c r="B57" i="12"/>
  <c r="E56" i="12"/>
  <c r="D56" i="12"/>
  <c r="C56" i="12"/>
  <c r="B56" i="12"/>
  <c r="E55" i="12"/>
  <c r="C55" i="12"/>
  <c r="D55" i="12"/>
  <c r="B55" i="12"/>
  <c r="E53" i="12"/>
  <c r="C53" i="12"/>
  <c r="D53" i="12"/>
  <c r="B53" i="12"/>
  <c r="C49" i="12"/>
  <c r="D49" i="12"/>
  <c r="E49" i="12"/>
  <c r="B49" i="12"/>
  <c r="C48" i="12"/>
  <c r="D48" i="12"/>
  <c r="E48" i="12"/>
  <c r="B48" i="12"/>
  <c r="E47" i="12"/>
  <c r="D47" i="12"/>
  <c r="C47" i="12"/>
  <c r="B47" i="12"/>
  <c r="C46" i="12"/>
  <c r="D46" i="12"/>
  <c r="E46" i="12"/>
  <c r="B46" i="12"/>
  <c r="C39" i="12"/>
  <c r="D39" i="12"/>
  <c r="E39" i="12"/>
  <c r="B39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I48" i="10"/>
  <c r="E49" i="6"/>
  <c r="E43" i="6"/>
  <c r="D35" i="6"/>
  <c r="D29" i="6"/>
  <c r="S15" i="5"/>
  <c r="V13" i="5"/>
  <c r="V15" i="5" s="1"/>
  <c r="U13" i="5"/>
  <c r="U15" i="5" s="1"/>
  <c r="T13" i="5"/>
  <c r="T15" i="5" s="1"/>
  <c r="S13" i="5"/>
  <c r="L16" i="5"/>
  <c r="M15" i="5"/>
  <c r="N15" i="5"/>
  <c r="O15" i="5"/>
  <c r="L15" i="5"/>
  <c r="O13" i="5"/>
  <c r="M13" i="5"/>
  <c r="N13" i="5"/>
  <c r="L13" i="5"/>
  <c r="L53" i="4"/>
  <c r="K53" i="4"/>
  <c r="L51" i="4"/>
  <c r="L50" i="4"/>
  <c r="N44" i="4"/>
  <c r="N45" i="4"/>
  <c r="N46" i="4"/>
  <c r="N47" i="4"/>
  <c r="N43" i="4"/>
  <c r="M44" i="4"/>
  <c r="M45" i="4"/>
  <c r="M46" i="4"/>
  <c r="M47" i="4"/>
  <c r="M43" i="4"/>
  <c r="O31" i="4"/>
  <c r="N31" i="4"/>
  <c r="M31" i="4"/>
  <c r="L31" i="4"/>
  <c r="M20" i="4"/>
  <c r="N20" i="4"/>
  <c r="L20" i="4"/>
  <c r="M9" i="4"/>
  <c r="L9" i="4"/>
  <c r="S28" i="3"/>
  <c r="T26" i="3"/>
  <c r="U26" i="3"/>
  <c r="V26" i="3"/>
  <c r="W26" i="3"/>
  <c r="S26" i="3"/>
  <c r="T24" i="3"/>
  <c r="U24" i="3"/>
  <c r="V24" i="3"/>
  <c r="W24" i="3"/>
  <c r="S24" i="3"/>
  <c r="W23" i="3"/>
  <c r="V23" i="3"/>
  <c r="T13" i="3"/>
  <c r="U13" i="3"/>
  <c r="V13" i="3"/>
  <c r="S13" i="3"/>
  <c r="T11" i="3"/>
  <c r="U11" i="3"/>
  <c r="V11" i="3"/>
  <c r="S11" i="3"/>
  <c r="U9" i="3"/>
  <c r="T9" i="3"/>
  <c r="S9" i="3"/>
  <c r="V9" i="3"/>
  <c r="L32" i="3"/>
  <c r="L29" i="3"/>
  <c r="L28" i="3"/>
  <c r="L26" i="3"/>
  <c r="L25" i="3"/>
  <c r="L23" i="3"/>
  <c r="L11" i="3"/>
  <c r="I22" i="2"/>
  <c r="I20" i="2"/>
  <c r="I21" i="2"/>
  <c r="I19" i="2"/>
  <c r="D22" i="2"/>
  <c r="D20" i="2"/>
  <c r="D21" i="2"/>
  <c r="D19" i="2"/>
  <c r="R34" i="2"/>
  <c r="R28" i="2"/>
  <c r="R29" i="2"/>
  <c r="R30" i="2"/>
  <c r="R31" i="2"/>
  <c r="R32" i="2"/>
  <c r="R33" i="2"/>
  <c r="R27" i="2"/>
  <c r="M36" i="2"/>
  <c r="M29" i="2"/>
  <c r="M30" i="2"/>
  <c r="M31" i="2"/>
  <c r="M32" i="2"/>
  <c r="M33" i="2"/>
  <c r="M34" i="2"/>
  <c r="M35" i="2"/>
  <c r="M28" i="2"/>
  <c r="L18" i="2"/>
  <c r="L17" i="2"/>
  <c r="L16" i="2"/>
  <c r="L15" i="2"/>
  <c r="L7" i="2"/>
  <c r="L6" i="2"/>
  <c r="L5" i="2"/>
  <c r="L4" i="2"/>
  <c r="L3" i="2"/>
  <c r="D35" i="1"/>
  <c r="D30" i="1"/>
  <c r="A35" i="1"/>
  <c r="A30" i="1"/>
  <c r="I31" i="1"/>
  <c r="I26" i="1"/>
  <c r="I9" i="1"/>
  <c r="I15" i="1"/>
  <c r="D20" i="13" l="1"/>
  <c r="D22" i="13" s="1"/>
  <c r="S16" i="5"/>
</calcChain>
</file>

<file path=xl/sharedStrings.xml><?xml version="1.0" encoding="utf-8"?>
<sst xmlns="http://schemas.openxmlformats.org/spreadsheetml/2006/main" count="786" uniqueCount="626">
  <si>
    <t>Question 1)</t>
  </si>
  <si>
    <t xml:space="preserve">= 100 * (1.1)^4 + 200 * (1.1)^3 </t>
  </si>
  <si>
    <t>+ 200 * (1.1)^2 + 300 * (1.1)^1 + 300 * (1.1)^0</t>
  </si>
  <si>
    <t>Project A:</t>
  </si>
  <si>
    <t>Project B:</t>
  </si>
  <si>
    <t>= 200 * (1.1)^4 + 500 * (1.1)^2 + 300 * (1.1)^0</t>
  </si>
  <si>
    <t>= 292.82 + 605 + 300</t>
  </si>
  <si>
    <t>=146.41 + 266.20 + 242 + 330 + 300</t>
  </si>
  <si>
    <t>Hint: You can use future value tables in replacement of</t>
  </si>
  <si>
    <t>the (1.1)^x to obtain identical values.</t>
  </si>
  <si>
    <t>Part A)</t>
  </si>
  <si>
    <t>Part B)</t>
  </si>
  <si>
    <t>= 100/(1.14) + 200/(1.14)^2 + 200/(1.14)^3 + 300/(1.14)^4</t>
  </si>
  <si>
    <t>+ 300/(1.14)^5</t>
  </si>
  <si>
    <t>= 87.72 + 153.89 + 135 + 177.62 + 155.81</t>
  </si>
  <si>
    <t>= 200/(1.14)^1 + 500/(1.14)^3 + 300/(1.14)^5</t>
  </si>
  <si>
    <t>= 175.44 + 337.49 + 155.81</t>
  </si>
  <si>
    <t>Question 2)</t>
  </si>
  <si>
    <t>In this question, it is easier to find the solution using present/future value</t>
  </si>
  <si>
    <t>of annuity tables because these cash flow streams are annuities.</t>
  </si>
  <si>
    <t>= 100 * (FVIFA 15%, 5)</t>
  </si>
  <si>
    <t>= 100 * 6.7424</t>
  </si>
  <si>
    <t>Project C:</t>
  </si>
  <si>
    <t>Project D:</t>
  </si>
  <si>
    <t>= 300 * (FVIFA 15%, 5)</t>
  </si>
  <si>
    <t>= 300 * 6.7424</t>
  </si>
  <si>
    <t>= 100 * (PVIFA 15%, 5)</t>
  </si>
  <si>
    <t>= 100 * 3.3522</t>
  </si>
  <si>
    <t>= 300 * (PVIFA 15%, 5)</t>
  </si>
  <si>
    <t>= 300 * 3.3522</t>
  </si>
  <si>
    <t>Question 3)</t>
  </si>
  <si>
    <t>What are the potential problems in using IRR? What are the</t>
  </si>
  <si>
    <t>advantages over NPV?</t>
  </si>
  <si>
    <t>In essence, NPV and IRR are similar in several aspects (and will lead to the same</t>
  </si>
  <si>
    <t>accept/reject decision if the same hurdle rate is used), the critical difference is that IRR</t>
  </si>
  <si>
    <t>is a ratio and while NPV is a dollar measure of value added. In other words, IRR fails to</t>
  </si>
  <si>
    <t>measure in terms of absolute amounts of wealth changes. This may also create some</t>
  </si>
  <si>
    <t>problems in ranking the projects if the projects are mutually exclusive. In addition, non-</t>
  </si>
  <si>
    <t>conventional cash flows may cause problems while using IRR (there may be multiple</t>
  </si>
  <si>
    <t>IRRs for the same project.)</t>
  </si>
  <si>
    <t>On the other hand, it is easier to communicate a percentage return than NPV to other</t>
  </si>
  <si>
    <t>managers and employees, who may not be familiar with the details of project appraisal</t>
  </si>
  <si>
    <t>techniques. The appeal of quick recognition and conveyance of understanding should</t>
  </si>
  <si>
    <t>not be underestimated.</t>
  </si>
  <si>
    <t>What are the potential problems in using Payback Period? What are the possible</t>
  </si>
  <si>
    <t>advantages?</t>
  </si>
  <si>
    <t>One of the biggest problems of using Payback Period is that it does not take time value</t>
  </si>
  <si>
    <t>of money into account. In addition, it ignores the cash flows beyond the cut-off date and</t>
  </si>
  <si>
    <t>cut-offs are usually arbitrary.</t>
  </si>
  <si>
    <t>On the other hand, the simplicity of the method, combined in some cases with top</t>
  </si>
  <si>
    <t>management’s lack of familiarity with more sophisticated techniques, undoubtedly plays</t>
  </si>
  <si>
    <t>some role in the popularity of the payback criterion. But it’s also important to recognize</t>
  </si>
  <si>
    <t>that the payback approach may provide useful information, especially for severely</t>
  </si>
  <si>
    <t>capital-constrained firms. If an investment project does not pay positive cash flows early</t>
  </si>
  <si>
    <t>on, the company may go out of business before the expected future cash flows</t>
  </si>
  <si>
    <t>Machine A - Payback Period:</t>
  </si>
  <si>
    <t>Machine B - Payback Period:</t>
  </si>
  <si>
    <t>Year 0</t>
  </si>
  <si>
    <t>Year 1</t>
  </si>
  <si>
    <t>Year 2</t>
  </si>
  <si>
    <t>Year 3</t>
  </si>
  <si>
    <t>Year 4</t>
  </si>
  <si>
    <t>Payback period should be between Year 3 and Year 4.</t>
  </si>
  <si>
    <t>Payback period = 3 + (75,000/175,000) = 3.43 Years</t>
  </si>
  <si>
    <t>Payback period should be between Year 2 and Year 3</t>
  </si>
  <si>
    <t>Payback Period = 2 + (150,000/175,000) = 2.86 Years</t>
  </si>
  <si>
    <t>Machine A - NPV:</t>
  </si>
  <si>
    <t>Period</t>
  </si>
  <si>
    <t>Cash Flow</t>
  </si>
  <si>
    <t>D.F. (12%)</t>
  </si>
  <si>
    <t>DCF</t>
  </si>
  <si>
    <t>Year 5</t>
  </si>
  <si>
    <t>Year 6</t>
  </si>
  <si>
    <t>Year 7</t>
  </si>
  <si>
    <t>Year 8</t>
  </si>
  <si>
    <t xml:space="preserve">NPV = </t>
  </si>
  <si>
    <t>Machine B - NPV:</t>
  </si>
  <si>
    <t>Machine A - IRR:</t>
  </si>
  <si>
    <t>Years 1-7</t>
  </si>
  <si>
    <t>Machine B - IRR:</t>
  </si>
  <si>
    <t>Years 1-5</t>
  </si>
  <si>
    <t>NPV =</t>
  </si>
  <si>
    <t>Recommend which machine the company should purchase and discuss the other</t>
  </si>
  <si>
    <t>relevant factors which you consider should be taken into account before a final decision</t>
  </si>
  <si>
    <t>regarding these machienes are made.</t>
  </si>
  <si>
    <t>Machine A</t>
  </si>
  <si>
    <t>Machine B</t>
  </si>
  <si>
    <t>PBP</t>
  </si>
  <si>
    <t>NPV</t>
  </si>
  <si>
    <t>IRR</t>
  </si>
  <si>
    <t>3.42 Years</t>
  </si>
  <si>
    <t>2.86 Years</t>
  </si>
  <si>
    <t>present values. On financial facts alone, the company should choose Machine A as it has the</t>
  </si>
  <si>
    <t>highest NPV and will therefore maximise shareholder wealth.</t>
  </si>
  <si>
    <t>However, there are other issues that the company should consider</t>
  </si>
  <si>
    <t>before making a final decision.</t>
  </si>
  <si>
    <t>• The accuracy of the forecast.</t>
  </si>
  <si>
    <t>• The physical requirements of the new machine.</t>
  </si>
  <si>
    <t>• Staff training requirements for the new machine.</t>
  </si>
  <si>
    <t>• The relative reliability of and the technical backup provision for each machine.</t>
  </si>
  <si>
    <t>• Any environmental impacts.</t>
  </si>
  <si>
    <t>• The length of the two projects is different so the company may wish to take this</t>
  </si>
  <si>
    <t>into account when making the decision</t>
  </si>
  <si>
    <t>Based on the financial calculations, both machines are a good investment with positive net</t>
  </si>
  <si>
    <t>First, calculate the annual operating cash flows:</t>
  </si>
  <si>
    <t>Annual Operating Cash Flow</t>
  </si>
  <si>
    <t>Sales</t>
  </si>
  <si>
    <t>Labour</t>
  </si>
  <si>
    <t>Materials</t>
  </si>
  <si>
    <t>Direct O/H</t>
  </si>
  <si>
    <t>Note: Allocated Overhead would occur even if the project</t>
  </si>
  <si>
    <t>doesn't take off, therefore making it not being relevant.</t>
  </si>
  <si>
    <t>Then, calculate the capital allowances for each year. Although</t>
  </si>
  <si>
    <t xml:space="preserve">capital allowances are non-cash expenses, they affect the </t>
  </si>
  <si>
    <t>amount of tax payments.</t>
  </si>
  <si>
    <t>Cost</t>
  </si>
  <si>
    <t>Year 1 Allowance</t>
  </si>
  <si>
    <t>Tax WDV</t>
  </si>
  <si>
    <t>Year 2 Allowance</t>
  </si>
  <si>
    <t>Year 3 Allowance</t>
  </si>
  <si>
    <t>Balance</t>
  </si>
  <si>
    <t>Capital Allowances</t>
  </si>
  <si>
    <t>60,000 x 25%</t>
  </si>
  <si>
    <t>45,000 x 25%</t>
  </si>
  <si>
    <t>Year 4 Scrap Value</t>
  </si>
  <si>
    <t>33,750 x 25%</t>
  </si>
  <si>
    <t>Profit = Scrap - Tax</t>
  </si>
  <si>
    <t>Next, Calculate the tax payments for each year:</t>
  </si>
  <si>
    <t>Capital</t>
  </si>
  <si>
    <t>Tax @ 30%</t>
  </si>
  <si>
    <t>Tax</t>
  </si>
  <si>
    <t>Allowance Taxable Income</t>
  </si>
  <si>
    <t>Finally, calculate the Net Present Value (NPV)</t>
  </si>
  <si>
    <t>Net Present Value (NPV)</t>
  </si>
  <si>
    <t>Year</t>
  </si>
  <si>
    <t>Cost of Machine</t>
  </si>
  <si>
    <t>Working Capital</t>
  </si>
  <si>
    <t>Net Cash Flow</t>
  </si>
  <si>
    <t>Discount Factor</t>
  </si>
  <si>
    <t>PV of NCF</t>
  </si>
  <si>
    <t>As it is discussed before, to calculate the tax payment, we need to consider the capital</t>
  </si>
  <si>
    <t>allowances which were tax deductible. In other words, capital allowances reduce the tax</t>
  </si>
  <si>
    <t>liability. Instead of calculating the taxable income and then taxes which we did</t>
  </si>
  <si>
    <t>previously, we can also calculate the tax savings associated with capital allowances in a</t>
  </si>
  <si>
    <t>more direct way.</t>
  </si>
  <si>
    <t>Project C - There are two changes in the cash flows, thus</t>
  </si>
  <si>
    <t>we should expect to find two different IRRs. Lets calculate the</t>
  </si>
  <si>
    <t>NPV of the projects with different discount rates.</t>
  </si>
  <si>
    <t>Accept the project.</t>
  </si>
  <si>
    <t>If the cost of capital is 25%,</t>
  </si>
  <si>
    <t xml:space="preserve">then the project should be </t>
  </si>
  <si>
    <t>accepted.</t>
  </si>
  <si>
    <t>Now, lets calculate the IRR of</t>
  </si>
  <si>
    <t>this project:</t>
  </si>
  <si>
    <t xml:space="preserve">You wouldn't normally interpolate across such a large range but for the </t>
  </si>
  <si>
    <t>purposes of this question, it isn't an issue.</t>
  </si>
  <si>
    <t>200+(540/614 * 100)</t>
  </si>
  <si>
    <t>= 288%</t>
  </si>
  <si>
    <t>So, if the cost of capital is between</t>
  </si>
  <si>
    <t>12.47% and 288%, then this project</t>
  </si>
  <si>
    <t>is acceptable.</t>
  </si>
  <si>
    <t>Project D - There are two changes in the cash flows, thus we would</t>
  </si>
  <si>
    <t>expect to find two different IRRs. Let's calculate the NPV of the projects</t>
  </si>
  <si>
    <t>with different discount rates.</t>
  </si>
  <si>
    <t>Reject the project.</t>
  </si>
  <si>
    <t>There is no IRR for this project, the size of the negative cash flows</t>
  </si>
  <si>
    <t>mean that the project will not have a positive NPV at any discount</t>
  </si>
  <si>
    <t>rate.</t>
  </si>
  <si>
    <t>Replacement on a One-Year Cycle</t>
  </si>
  <si>
    <t>Maintenance</t>
  </si>
  <si>
    <t>Resale</t>
  </si>
  <si>
    <t>NPV(1) = -12,000 + 2,000*0.893 = -10,214</t>
  </si>
  <si>
    <t>Replacement on a Two-Year Cycle</t>
  </si>
  <si>
    <t>NPV(2) = -12,000 + 5,000*0.893 = -16,465</t>
  </si>
  <si>
    <t>Replacement on a Three-Year Cycle</t>
  </si>
  <si>
    <t>NPV(3) = 12,000 - (5,000 * 0.893) - (6,000 * 0.797) - (5,000 * 0.712) = -24,807</t>
  </si>
  <si>
    <t>According to the NPVs, replacement on a one-year</t>
  </si>
  <si>
    <t>cycle seems better options because of the highest</t>
  </si>
  <si>
    <t xml:space="preserve">NPV. However, it is not correct to compare the NPV's of </t>
  </si>
  <si>
    <t>these project because of the different life cycles. We need</t>
  </si>
  <si>
    <t xml:space="preserve">to calculate a standardised value - Annual Equivalent Annuity </t>
  </si>
  <si>
    <t>(AEA) to make the comparison.</t>
  </si>
  <si>
    <t>AEA Calculations:</t>
  </si>
  <si>
    <t>Replace on a One-Year:</t>
  </si>
  <si>
    <t>Replace on a Two-Year:</t>
  </si>
  <si>
    <t>Replace on a Three-Year:</t>
  </si>
  <si>
    <t>(16,465)/1.69 = (9,473)</t>
  </si>
  <si>
    <t>(10,214)/0.893 = (11.438)</t>
  </si>
  <si>
    <t>(24,807)/2.402 = (10,328)</t>
  </si>
  <si>
    <t>Recommended Decision: Replace</t>
  </si>
  <si>
    <t>on a two-year cycle.</t>
  </si>
  <si>
    <t>Part A.</t>
  </si>
  <si>
    <t xml:space="preserve">If the projects are divisible, we should use the rankings based on the </t>
  </si>
  <si>
    <t>Profitability Index (PI) to maximise the total NPV of project combinations.</t>
  </si>
  <si>
    <t>Project</t>
  </si>
  <si>
    <t>Investment</t>
  </si>
  <si>
    <t>PV of F.C.F</t>
  </si>
  <si>
    <t>PI</t>
  </si>
  <si>
    <t>A</t>
  </si>
  <si>
    <t>B</t>
  </si>
  <si>
    <t>C</t>
  </si>
  <si>
    <t>D</t>
  </si>
  <si>
    <t>E</t>
  </si>
  <si>
    <t>Rank</t>
  </si>
  <si>
    <t>N/A</t>
  </si>
  <si>
    <t xml:space="preserve">Investment </t>
  </si>
  <si>
    <t>Total</t>
  </si>
  <si>
    <t>-&gt;</t>
  </si>
  <si>
    <t>We can partially invest in Project E. After</t>
  </si>
  <si>
    <t>investing in A and D, we have 1,700,000 remaining</t>
  </si>
  <si>
    <t>to invest in other projects. So, we can invest in only</t>
  </si>
  <si>
    <t>89.47% (1,700,000/1,900,000) of Project E.</t>
  </si>
  <si>
    <t>Therefore the NPV of this partial investment is 98,417</t>
  </si>
  <si>
    <t>(110,000*89,47)</t>
  </si>
  <si>
    <t>Part B.</t>
  </si>
  <si>
    <t>Yes. If the projects are non-divisible, then we need to look at all possible combinations</t>
  </si>
  <si>
    <t>of the projects which maximize the total NPV. In this case, combination of Project C and</t>
  </si>
  <si>
    <t>D is the best combination which provides 290,000 total NPV. If there are small number</t>
  </si>
  <si>
    <t>of project, it is quite easy to do some calculations for all combinations. However, if there</t>
  </si>
  <si>
    <t>are more investment opportunities (for example 15 projects), then it may not be possible</t>
  </si>
  <si>
    <t>to find the best combination by hand. We need to use optimization software to do this</t>
  </si>
  <si>
    <t>calculation.</t>
  </si>
  <si>
    <t>Variable Costs</t>
  </si>
  <si>
    <t>Fixed Labour</t>
  </si>
  <si>
    <t>Other Costs</t>
  </si>
  <si>
    <t>PV of Cash Flow</t>
  </si>
  <si>
    <t>Worst-Case Scenario (Discount Rate: 13%)</t>
  </si>
  <si>
    <t>Best-Case Scenario (Discount Rate: 10%)</t>
  </si>
  <si>
    <t xml:space="preserve">The NPVs are xpected to be between -7,439 and 108,984 based on the </t>
  </si>
  <si>
    <t>level of the economy.</t>
  </si>
  <si>
    <t>Recession:</t>
  </si>
  <si>
    <t xml:space="preserve">400 + (100/1.08) + (150/1.08^2) </t>
  </si>
  <si>
    <t>= -178</t>
  </si>
  <si>
    <t>Growth:</t>
  </si>
  <si>
    <t>400 + (300/1.08) + (350/1.08^2)</t>
  </si>
  <si>
    <t>= 177</t>
  </si>
  <si>
    <t>Boom:</t>
  </si>
  <si>
    <t>400 + (500/1.08) + (550/1.08^2)</t>
  </si>
  <si>
    <t>= 534</t>
  </si>
  <si>
    <t>Expected NPV:</t>
  </si>
  <si>
    <t>(178 * 0.3) + (177 * 0.5) + (534 * 0.2)</t>
  </si>
  <si>
    <t>= 141.9</t>
  </si>
  <si>
    <t>Standard Deviation:</t>
  </si>
  <si>
    <t>Basically fill out the formula given.</t>
  </si>
  <si>
    <t>Standard Deviation = £249,000</t>
  </si>
  <si>
    <t>When a price is decided on for a rights issue there are three important factors to be</t>
  </si>
  <si>
    <t>price, this is clearly because investors will not pay a higher price for a rights issue share</t>
  </si>
  <si>
    <t>be at a big enough discount to ensure that all rights are taken up i.e. all shares are sold.</t>
  </si>
  <si>
    <t>A company does not want to only sell say half of the shares in the issue as this means it</t>
  </si>
  <si>
    <t>will not raise the required funds. Even if the issue is underwritten, as many are, the</t>
  </si>
  <si>
    <t>company would rather that the issue was a success and the underwriters were not used</t>
  </si>
  <si>
    <t>this is because it will receive less money from the underwriters.</t>
  </si>
  <si>
    <t>There is some dispute as to whether the price has to be low for rights to be taken up</t>
  </si>
  <si>
    <t>and this is because there is an implication that shareholders will buy shares because</t>
  </si>
  <si>
    <t>they are cheap (they think they are getting a bargain) whereas in fact the bigger</t>
  </si>
  <si>
    <t>reduction in price the bigger the fall in the share price when it goes ex-rights. This</t>
  </si>
  <si>
    <t>means that the wealth of the shareholders is unaffected (all other things being equal)</t>
  </si>
  <si>
    <t>and therefore the shareholders have not got a bargain.</t>
  </si>
  <si>
    <t>above the rights issue price. This is clearly an important point as if the current share</t>
  </si>
  <si>
    <t>price falls below the rights issue price no one will want to buy the rights issue shares</t>
  </si>
  <si>
    <t>and the issue will be a disaster unless it is underwritten.</t>
  </si>
  <si>
    <t>So the price that a rights issue is set at is important to ensure success of the issue</t>
  </si>
  <si>
    <r>
      <t xml:space="preserve">considered. </t>
    </r>
    <r>
      <rPr>
        <b/>
        <sz val="11"/>
        <color theme="1"/>
        <rFont val="Aptos Narrow"/>
        <family val="2"/>
        <scheme val="minor"/>
      </rPr>
      <t>Firstly</t>
    </r>
    <r>
      <rPr>
        <sz val="11"/>
        <color theme="1"/>
        <rFont val="Aptos Narrow"/>
        <family val="2"/>
        <scheme val="minor"/>
      </rPr>
      <t>, the rights issue price will be at a discount to the current market</t>
    </r>
  </si>
  <si>
    <r>
      <t xml:space="preserve">than the share currently costs in the market. </t>
    </r>
    <r>
      <rPr>
        <b/>
        <sz val="11"/>
        <color theme="1"/>
        <rFont val="Aptos Narrow"/>
        <family val="2"/>
        <scheme val="minor"/>
      </rPr>
      <t>Secondly</t>
    </r>
    <r>
      <rPr>
        <sz val="11"/>
        <color theme="1"/>
        <rFont val="Aptos Narrow"/>
        <family val="2"/>
        <scheme val="minor"/>
      </rPr>
      <t xml:space="preserve"> the rights issue price needs to</t>
    </r>
  </si>
  <si>
    <r>
      <rPr>
        <b/>
        <sz val="11"/>
        <color theme="1"/>
        <rFont val="Aptos Narrow"/>
        <family val="2"/>
        <scheme val="minor"/>
      </rPr>
      <t>Thirdly</t>
    </r>
    <r>
      <rPr>
        <sz val="11"/>
        <color theme="1"/>
        <rFont val="Aptos Narrow"/>
        <family val="2"/>
        <scheme val="minor"/>
      </rPr>
      <t xml:space="preserve"> the price needs to be low enough to ensure that the current share price remains</t>
    </r>
  </si>
  <si>
    <t>5 Million Issue:</t>
  </si>
  <si>
    <t>Ex-Rights Price = (30*4 + 5*3)</t>
  </si>
  <si>
    <t>= £3.86</t>
  </si>
  <si>
    <t>Value of one right:</t>
  </si>
  <si>
    <t>30m/5m = 6 old shares for every 1 new share</t>
  </si>
  <si>
    <t>=14.33p</t>
  </si>
  <si>
    <t>or</t>
  </si>
  <si>
    <t>14p</t>
  </si>
  <si>
    <t>4 Million Issue:</t>
  </si>
  <si>
    <t>Ex-Rights Price = (30 * 4 + 4 * 3.75)</t>
  </si>
  <si>
    <t>= £3.97</t>
  </si>
  <si>
    <t>30m/4m = 7.5 old shares for every new share</t>
  </si>
  <si>
    <t xml:space="preserve">Value of one: </t>
  </si>
  <si>
    <t>(3.97-3.75)/7.5</t>
  </si>
  <si>
    <t>= 2.933p</t>
  </si>
  <si>
    <t>3p</t>
  </si>
  <si>
    <t>Value of one:</t>
  </si>
  <si>
    <t>(3.86 - 3) / 6</t>
  </si>
  <si>
    <t>Part C.</t>
  </si>
  <si>
    <t>i. Exercises Rights</t>
  </si>
  <si>
    <t>New shares 3,000/6 = 500</t>
  </si>
  <si>
    <t>Shares (3,500 @ 3.86)</t>
  </si>
  <si>
    <t>Cash (£1500 - (500 * 3))</t>
  </si>
  <si>
    <t>ii. Sells Rights</t>
  </si>
  <si>
    <t>Shares (3,000 @ £3.86)</t>
  </si>
  <si>
    <t>Cash (£1500 + (3,000 * £0.14))</t>
  </si>
  <si>
    <t>iii. Exercises and Sells 1,500</t>
  </si>
  <si>
    <t>New shares (1,500/6) = 250</t>
  </si>
  <si>
    <t>Shares (2,350 @ £3.86)</t>
  </si>
  <si>
    <t>Cash (1500 - (250*£3) + (1,500*£0.14)</t>
  </si>
  <si>
    <t>iv. Does Nothing</t>
  </si>
  <si>
    <t>Shares 3,000 @ £3.86</t>
  </si>
  <si>
    <t>Cash</t>
  </si>
  <si>
    <t>Expected rates of return differ because of differential risk premiums</t>
  </si>
  <si>
    <t>across all securities.</t>
  </si>
  <si>
    <t>a. It implies that future events can be forecast with perfect accuracy.</t>
  </si>
  <si>
    <t>b. It implies that prices reflect all avaliable information.</t>
  </si>
  <si>
    <t>c. It implies that security prices change for no discernible reason.</t>
  </si>
  <si>
    <t>d. It implies that prices do not fluctuate.</t>
  </si>
  <si>
    <t>There are various suggestions regarding this:</t>
  </si>
  <si>
    <t>Bad News Theory</t>
  </si>
  <si>
    <t>If bad news is announced just before a crash this could explain the fall in</t>
  </si>
  <si>
    <t>price. In which case the market could have been efficient based on available</t>
  </si>
  <si>
    <t>information before the crash and still be efficient based on the new</t>
  </si>
  <si>
    <t>information after the crash.</t>
  </si>
  <si>
    <t>Research on most crashes shows that although there is often bad news it is</t>
  </si>
  <si>
    <t>not usually enough to account for the size of the crash.</t>
  </si>
  <si>
    <t>Greater Fool Theory (speculative bubble)</t>
  </si>
  <si>
    <t>This theory suggests that the market was not efficient before the crash and</t>
  </si>
  <si>
    <t>probably isn’t after. A speculative bubble occurs when confidence is high and</t>
  </si>
  <si>
    <t>the price keeps rising, people buy shares that they often know* are over-</t>
  </si>
  <si>
    <t>priced because they believe that there is someone who is a greater fool than</t>
  </si>
  <si>
    <t>them who will buy them for an even higher price, hence making them a nice</t>
  </si>
  <si>
    <t>profit. The market crashes when the world runs out of fools meaning that no</t>
  </si>
  <si>
    <t>one is willing to buy shares but everyone who holds them wants to sell. Basic</t>
  </si>
  <si>
    <t>economics would tell us that if there is over supply and no demand the price</t>
  </si>
  <si>
    <t>will fall.</t>
  </si>
  <si>
    <t>* It is suggested that there are naïve investors who follow the herd and may</t>
  </si>
  <si>
    <t>not realise that the shares are over-priced. Also if people do know then they</t>
  </si>
  <si>
    <t>are not acting rationally and it is therefore no surprise that the market wasn’t</t>
  </si>
  <si>
    <t>efficient</t>
  </si>
  <si>
    <t>The EMH requires people to behave in a rational manner and to price shares</t>
  </si>
  <si>
    <t>based on available information not on speculation</t>
  </si>
  <si>
    <t>expectations/overconfidence is most consistent with the investor’s first</t>
  </si>
  <si>
    <t>statement. Petrie stock provides a level of confidence and comfort for</t>
  </si>
  <si>
    <t>the investor because of the circumstances in which she acquired the</t>
  </si>
  <si>
    <t>stock and her recent history with the returns and income from the</t>
  </si>
  <si>
    <t>stock. However, the investor exhibits overconfidence in the stock given</t>
  </si>
  <si>
    <t>the needs of her portfolio (she is retired) and the brevity of the recent</t>
  </si>
  <si>
    <t>performance history.</t>
  </si>
  <si>
    <t>consistent with the investor’s second statement. The investor has</t>
  </si>
  <si>
    <t>segregated the monies distributed from her portfolio into two</t>
  </si>
  <si>
    <t>“accounts”: the returns her portfolio receives on the Petrie stock and</t>
  </si>
  <si>
    <t>the returns on the rest of her portfolio. She is maintaining a separate</t>
  </si>
  <si>
    <t>set of mental accounts with regard to the total funds distributed. The</t>
  </si>
  <si>
    <t>investor’s specific uses should be viewed in the overall context of her</t>
  </si>
  <si>
    <t>spending needs and she should consider the risk and return profile of</t>
  </si>
  <si>
    <t>the entire portfolio.</t>
  </si>
  <si>
    <r>
      <rPr>
        <b/>
        <sz val="11"/>
        <color theme="1"/>
        <rFont val="Aptos Narrow"/>
        <family val="2"/>
        <scheme val="minor"/>
      </rPr>
      <t>a.</t>
    </r>
    <r>
      <rPr>
        <sz val="11"/>
        <color theme="1"/>
        <rFont val="Aptos Narrow"/>
        <family val="2"/>
        <scheme val="minor"/>
      </rPr>
      <t xml:space="preserve"> The behavioural finance principle of biased</t>
    </r>
  </si>
  <si>
    <r>
      <rPr>
        <b/>
        <sz val="11"/>
        <color theme="1"/>
        <rFont val="Aptos Narrow"/>
        <family val="2"/>
        <scheme val="minor"/>
      </rPr>
      <t>b.</t>
    </r>
    <r>
      <rPr>
        <sz val="11"/>
        <color theme="1"/>
        <rFont val="Aptos Narrow"/>
        <family val="2"/>
        <scheme val="minor"/>
      </rPr>
      <t xml:space="preserve"> The behavioral finance principle of mental accounting is most</t>
    </r>
  </si>
  <si>
    <t>Question 4)</t>
  </si>
  <si>
    <t>Combined value after Merger:</t>
  </si>
  <si>
    <t>£110m (Including economies of scale)</t>
  </si>
  <si>
    <t>Total cost of acquisition:</t>
  </si>
  <si>
    <t>- Bid Premium = £20m</t>
  </si>
  <si>
    <t>- Transaction Costs = £3m</t>
  </si>
  <si>
    <t>- Total Cost = £20m + £3m = £23m</t>
  </si>
  <si>
    <t>Net Gain from the Merger:</t>
  </si>
  <si>
    <t>Combined Value - (Large Value + Small Value + Total Cost)</t>
  </si>
  <si>
    <t>= 110m - (60m + 30m + 23m) = -£3m</t>
  </si>
  <si>
    <t>Bid Premium:</t>
  </si>
  <si>
    <t>£20m</t>
  </si>
  <si>
    <t>Shares Outstanding:</t>
  </si>
  <si>
    <t>45 Million</t>
  </si>
  <si>
    <t>Price per Share:</t>
  </si>
  <si>
    <t>Bid Premium + Small's Value / No. of Small's Shares</t>
  </si>
  <si>
    <t>20m + 30m / 45m</t>
  </si>
  <si>
    <r>
      <t xml:space="preserve">= </t>
    </r>
    <r>
      <rPr>
        <b/>
        <sz val="11"/>
        <color theme="1"/>
        <rFont val="Aptos Narrow"/>
        <family val="2"/>
        <scheme val="minor"/>
      </rPr>
      <t>£1.11</t>
    </r>
    <r>
      <rPr>
        <sz val="11"/>
        <color theme="1"/>
        <rFont val="Aptos Narrow"/>
        <family val="2"/>
        <scheme val="minor"/>
      </rPr>
      <t xml:space="preserve"> per share</t>
    </r>
  </si>
  <si>
    <t>Combined Firm Value: £110m</t>
  </si>
  <si>
    <t>Transaction Costs: £3m</t>
  </si>
  <si>
    <t>Net Value Post-Merger: (Combined Value - Transaction Costs)</t>
  </si>
  <si>
    <t>= 110m - 3m = £107m</t>
  </si>
  <si>
    <t>Large Initial Value = 60m</t>
  </si>
  <si>
    <t>Post-merger Value = 107m</t>
  </si>
  <si>
    <t>Value per share = Large's Proportion / No. of Large Shares</t>
  </si>
  <si>
    <t>Part B:</t>
  </si>
  <si>
    <t>Part C:</t>
  </si>
  <si>
    <t>Perpetuity Formula:</t>
  </si>
  <si>
    <t>Net Gain = PV of savings - Transactional costs</t>
  </si>
  <si>
    <t>= 22.73m - 1m = £21.73m</t>
  </si>
  <si>
    <t>2.5m / 0.11 = £22.73m</t>
  </si>
  <si>
    <r>
      <rPr>
        <b/>
        <sz val="11"/>
        <color theme="1"/>
        <rFont val="Aptos Narrow"/>
        <family val="2"/>
        <scheme val="minor"/>
      </rPr>
      <t>Transaction Costs</t>
    </r>
    <r>
      <rPr>
        <sz val="11"/>
        <color theme="1"/>
        <rFont val="Aptos Narrow"/>
        <family val="2"/>
        <scheme val="minor"/>
      </rPr>
      <t>: £1m</t>
    </r>
  </si>
  <si>
    <r>
      <rPr>
        <b/>
        <sz val="11"/>
        <color theme="1"/>
        <rFont val="Aptos Narrow"/>
        <family val="2"/>
        <scheme val="minor"/>
      </rPr>
      <t>PV of Savin</t>
    </r>
    <r>
      <rPr>
        <sz val="11"/>
        <color theme="1"/>
        <rFont val="Aptos Narrow"/>
        <family val="2"/>
        <scheme val="minor"/>
      </rPr>
      <t>gs = Savings / Required Rate of Return</t>
    </r>
  </si>
  <si>
    <r>
      <rPr>
        <b/>
        <sz val="11"/>
        <color theme="1"/>
        <rFont val="Aptos Narrow"/>
        <family val="2"/>
        <scheme val="minor"/>
      </rPr>
      <t>Annual Savings</t>
    </r>
    <r>
      <rPr>
        <sz val="11"/>
        <color theme="1"/>
        <rFont val="Aptos Narrow"/>
        <family val="2"/>
        <scheme val="minor"/>
      </rPr>
      <t>: £2.5m</t>
    </r>
  </si>
  <si>
    <t>Part B</t>
  </si>
  <si>
    <t>Combined Firm Value: Box + Circle + PV of Savings</t>
  </si>
  <si>
    <t>= 100m + 50m + 22.73m = £172.73m</t>
  </si>
  <si>
    <t>Net Value of Box's Shareholders:</t>
  </si>
  <si>
    <t>Net Value = Combined firm value - (Box's Value + Acquistion Cost)</t>
  </si>
  <si>
    <t>= 172.73m - (100m + 70m) = £2.73m</t>
  </si>
  <si>
    <r>
      <t>Cost of Acquiring Circle</t>
    </r>
    <r>
      <rPr>
        <sz val="11"/>
        <color theme="1"/>
        <rFont val="Aptos Narrow"/>
        <family val="2"/>
        <scheme val="minor"/>
      </rPr>
      <t>: £70m</t>
    </r>
  </si>
  <si>
    <t>21.727 - (70 - 50)</t>
  </si>
  <si>
    <t>Part C</t>
  </si>
  <si>
    <t>Combined Firm Value: £172.73m</t>
  </si>
  <si>
    <t>Circle shareholders get one-third:</t>
  </si>
  <si>
    <t>Value to Circle Shareholders = 1/3 * 172.73m = £57.58m</t>
  </si>
  <si>
    <t>Net Value: Combined firm value - Value Given:</t>
  </si>
  <si>
    <t>= 172.73m - 57.58m = £115.15m</t>
  </si>
  <si>
    <t>Initial Value for Box: £100m</t>
  </si>
  <si>
    <t>Value Created for Box's Shareholders:</t>
  </si>
  <si>
    <t>Value Created = Net Value Retained - Box's Initial Value</t>
  </si>
  <si>
    <t>= 115.15m - 100m = £15.15m</t>
  </si>
  <si>
    <t>a) Calculate Buckingham's weighted average</t>
  </si>
  <si>
    <t>cost of capital.</t>
  </si>
  <si>
    <t>Step 1: Calculate the cost of requity using the CAPM model</t>
  </si>
  <si>
    <t>Given:</t>
  </si>
  <si>
    <t>- Risk-free Rate is equal to 4%</t>
  </si>
  <si>
    <t>- Market Risk Premium is equal to 5%</t>
  </si>
  <si>
    <t>- Beta is equal to 1.75</t>
  </si>
  <si>
    <t>The formula for CAPM is:</t>
  </si>
  <si>
    <t>CAPM = R_f + Beta * (Market Risk Premium)</t>
  </si>
  <si>
    <t>CAPM = 0.04 + 1.75 * 0.05</t>
  </si>
  <si>
    <t>CAPM = 0.04 + 0.0875</t>
  </si>
  <si>
    <t>= 0.1275 or 12.75%</t>
  </si>
  <si>
    <t>Step 2: Calculate the cost of debt</t>
  </si>
  <si>
    <t>- Nominal value for debentures is £28m</t>
  </si>
  <si>
    <t>- Coupon Rate is 7.5%</t>
  </si>
  <si>
    <t>- Time to mature is 5 years</t>
  </si>
  <si>
    <t xml:space="preserve">b) Calculate the Net Present Value of the project and advise the company whether </t>
  </si>
  <si>
    <t>they should take the project.</t>
  </si>
  <si>
    <t>Units</t>
  </si>
  <si>
    <t>Labour Cost</t>
  </si>
  <si>
    <t>V.C.</t>
  </si>
  <si>
    <t>F.C.</t>
  </si>
  <si>
    <t>Taxable</t>
  </si>
  <si>
    <t>Cap. Allownce</t>
  </si>
  <si>
    <t>Scrap</t>
  </si>
  <si>
    <t>NCF</t>
  </si>
  <si>
    <t>DF 11%</t>
  </si>
  <si>
    <t>PV</t>
  </si>
  <si>
    <t>Total PV</t>
  </si>
  <si>
    <t>c) Calculate the project's internal rate of return and comment</t>
  </si>
  <si>
    <t>on this.</t>
  </si>
  <si>
    <t>[Week 15 on Brightspace]</t>
  </si>
  <si>
    <t>[Yet to be taught]</t>
  </si>
  <si>
    <t>- Current market price per £100 nominal is £103.15</t>
  </si>
  <si>
    <t>DF Formula is:</t>
  </si>
  <si>
    <t>1 / (1 + n)^t</t>
  </si>
  <si>
    <t>Where: n is equal to the discount rate</t>
  </si>
  <si>
    <t>t is equal to the amount of years in question</t>
  </si>
  <si>
    <t>Question 1:</t>
  </si>
  <si>
    <t>Sity plc has paid out all earnings as dividends since</t>
  </si>
  <si>
    <t>it was founded with £15m of equity finance 25 years</t>
  </si>
  <si>
    <t>ago. Today, its shares are valued on the stock market</t>
  </si>
  <si>
    <t>at £90m and its long-term debt has a market value</t>
  </si>
  <si>
    <t>and book value of £20m.</t>
  </si>
  <si>
    <t>a] How much market value added (MVA) has Sity</t>
  </si>
  <si>
    <t>produced?</t>
  </si>
  <si>
    <t>b] What is Sity's market-to-book ratio (MBR)?</t>
  </si>
  <si>
    <t>c] Given that another company, Pity plc, was founded</t>
  </si>
  <si>
    <t>with £15m of equity capital five years ago and has paid</t>
  </si>
  <si>
    <t>out all earnings since its foundation and is now worth</t>
  </si>
  <si>
    <t xml:space="preserve">(equity and debt) £110m (£90m equity, £20m debt), </t>
  </si>
  <si>
    <t>discuss the problems of using the MVA and the MB for</t>
  </si>
  <si>
    <t>inter-firm comparison.</t>
  </si>
  <si>
    <t xml:space="preserve">d] Calculate the excess return (ER) for both Sity and </t>
  </si>
  <si>
    <t>Pity, given that the required rate of reutrn for Sity is</t>
  </si>
  <si>
    <t>8 per cent per year and the required rate of return is</t>
  </si>
  <si>
    <t>10 per cent per year for Pity. Sity has paid only two</t>
  </si>
  <si>
    <t>dividends: £2m was paid five years ago and £3m was</t>
  </si>
  <si>
    <t>paid three years ago. Pity has paid £2m in dividends</t>
  </si>
  <si>
    <t>at the end of every year since its foundation.</t>
  </si>
  <si>
    <t>Market Value Added = Current Share Value</t>
  </si>
  <si>
    <t>- Original Capital</t>
  </si>
  <si>
    <t>Current Share Value</t>
  </si>
  <si>
    <t>Original Capital</t>
  </si>
  <si>
    <t>Value Added</t>
  </si>
  <si>
    <t xml:space="preserve">Market Value added = </t>
  </si>
  <si>
    <t>Formula Required:</t>
  </si>
  <si>
    <t xml:space="preserve">Market-to-book ratio = </t>
  </si>
  <si>
    <t xml:space="preserve"> 90/15 = 6</t>
  </si>
  <si>
    <t>It's essential in this case to compare the nature and</t>
  </si>
  <si>
    <t>industries of both companies, as they can possess</t>
  </si>
  <si>
    <t xml:space="preserve">differing capital intensity, growth rates, as well as </t>
  </si>
  <si>
    <t xml:space="preserve">risk profiles. </t>
  </si>
  <si>
    <t>For example, comparing a tech startup with a utility</t>
  </si>
  <si>
    <t>company using MVA or MBR is highly likely to become</t>
  </si>
  <si>
    <t xml:space="preserve">misleading. This is due to tech companies often </t>
  </si>
  <si>
    <t>possessing higher MBs due to growth potential.</t>
  </si>
  <si>
    <t xml:space="preserve">As neither of their industries are specified, the </t>
  </si>
  <si>
    <t>comparisons between both would become difficult,</t>
  </si>
  <si>
    <t>especially when disregarding industry benchmarks.</t>
  </si>
  <si>
    <t>Furthermore, larger and more established companies</t>
  </si>
  <si>
    <t>more often have higher MVAs simply due to their scale.</t>
  </si>
  <si>
    <t>Smaller, more quickly growing companies could have</t>
  </si>
  <si>
    <t xml:space="preserve">lower MVAs despite possessing higher MBRs, which </t>
  </si>
  <si>
    <t>would indicate a better long-term potential.</t>
  </si>
  <si>
    <t>Therefore with Pity plc being 5 years old, the natures of</t>
  </si>
  <si>
    <t>both comparisons being too different is likely to invalidate</t>
  </si>
  <si>
    <t>any meanings of the results obtained from inter-firm</t>
  </si>
  <si>
    <t>comparison of MVA and MBR.</t>
  </si>
  <si>
    <t>Actual Wealth</t>
  </si>
  <si>
    <t>Dividend</t>
  </si>
  <si>
    <t>Formula of PV</t>
  </si>
  <si>
    <t>Dividend 1</t>
  </si>
  <si>
    <t>Dividend 2</t>
  </si>
  <si>
    <t>Value of Shares</t>
  </si>
  <si>
    <t>Total Value</t>
  </si>
  <si>
    <t>5 Y</t>
  </si>
  <si>
    <t>3 Y</t>
  </si>
  <si>
    <t>2 mil</t>
  </si>
  <si>
    <t>3 mil</t>
  </si>
  <si>
    <t>2(1.08)^5</t>
  </si>
  <si>
    <t>2(1.08)^3</t>
  </si>
  <si>
    <t>= 3.779 mil</t>
  </si>
  <si>
    <t>= 2.939 mil</t>
  </si>
  <si>
    <t>= 90 mil</t>
  </si>
  <si>
    <t>= 96.718 mil</t>
  </si>
  <si>
    <t>Expected Wealth:</t>
  </si>
  <si>
    <t>15(1.08)^25 = 102.727 mil</t>
  </si>
  <si>
    <t>Excess Return:</t>
  </si>
  <si>
    <t>96.718 mil - 102.727 mil = -6.01 mil</t>
  </si>
  <si>
    <t>Sity Company</t>
  </si>
  <si>
    <t>Pity Company</t>
  </si>
  <si>
    <t xml:space="preserve">Each </t>
  </si>
  <si>
    <t>2*6.1051</t>
  </si>
  <si>
    <t>= 12.21 mil</t>
  </si>
  <si>
    <t>= 102.21 mil</t>
  </si>
  <si>
    <t>15(1.1)^5 = 24.15 mil</t>
  </si>
  <si>
    <t>102.21 mil - 24.15 mil = 78.06 mil</t>
  </si>
  <si>
    <t xml:space="preserve">(Use the Future Value Table </t>
  </si>
  <si>
    <t>to locate the formulas)</t>
  </si>
  <si>
    <t>Question 2:</t>
  </si>
  <si>
    <t>Blue plc is a relatively small company with only one SBU. It manufactures</t>
  </si>
  <si>
    <t>wire grilles for the consumer market for cooker manufacturers and for export. Following</t>
  </si>
  <si>
    <t>a thorough investigation by the finance department and the heads of the customer lines</t>
  </si>
  <si>
    <t>some facts emerged about the returns expected in each of the customer sectors. The</t>
  </si>
  <si>
    <t>consumer sector uses £1m of the firm’s capital and is expected to produce a return of</t>
  </si>
  <si>
    <t>18 per cent on this capital, for the next five years, after which it will return the same as</t>
  </si>
  <si>
    <t>its risk-adjusted cost of capital (WACC), 15 per cent. The cooker sales sector uses £2m</t>
  </si>
  <si>
    <t>of capital and will return 14 per cent per annum for seven years when its planning</t>
  </si>
  <si>
    <t>horizon ends. Its WACC is 16 per cent. The export sector has a positive performance</t>
  </si>
  <si>
    <t>spread of 2 per cent over WACC for the next six years. The required rate of return is 15</t>
  </si>
  <si>
    <t>per cent. From Year 7 the performance spread becomes zero. This division uses £1.5m</t>
  </si>
  <si>
    <t>of capital.</t>
  </si>
  <si>
    <t>a) Calculate the Annual Economic Profit of each sector.</t>
  </si>
  <si>
    <t>b) What is the total value creation from each if you assume</t>
  </si>
  <si>
    <t>profit numbers equate to cash flow numbers?</t>
  </si>
  <si>
    <t>Economic Profit = Performance Spread * Invested Capital</t>
  </si>
  <si>
    <t>(Performance spread is calculated as the % profit return on</t>
  </si>
  <si>
    <t>capital minus the required return)</t>
  </si>
  <si>
    <t>Consumer:</t>
  </si>
  <si>
    <t>Cooker:</t>
  </si>
  <si>
    <t>Export:</t>
  </si>
  <si>
    <t>£1m * (0.18 - 0.15)</t>
  </si>
  <si>
    <t>£2m * (0.14 - 0.16)</t>
  </si>
  <si>
    <t>£1.5m * 0.02</t>
  </si>
  <si>
    <t xml:space="preserve">Cooker: </t>
  </si>
  <si>
    <t>£30,000 * (PVIFA%15.5)</t>
  </si>
  <si>
    <t>£30,000 * 3.3522</t>
  </si>
  <si>
    <t>-£40,000 * (PVIFA%16.7)</t>
  </si>
  <si>
    <t>-£40,000 * 4.0386</t>
  </si>
  <si>
    <t>£30,000 * (PVIFA%15.6)</t>
  </si>
  <si>
    <t>£30,000 * 3.7845</t>
  </si>
  <si>
    <t>-£161,544</t>
  </si>
  <si>
    <t>£115,535</t>
  </si>
  <si>
    <t>Question 3:</t>
  </si>
  <si>
    <t>Tear plc has not paid a dividend for 20 years. The current share price is</t>
  </si>
  <si>
    <t>Time before Present</t>
  </si>
  <si>
    <t>1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</si>
  <si>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</si>
  <si>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</si>
  <si>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</si>
  <si>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</si>
  <si>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</si>
  <si>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</si>
  <si>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</si>
  <si>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</si>
  <si>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</si>
  <si>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Share Price (pence)</t>
  </si>
  <si>
    <t>Share Index</t>
  </si>
  <si>
    <t>a) Calculate total shareholder returns for the past three years, the past</t>
  </si>
  <si>
    <t>five years, and the past ten years, given the above data.</t>
  </si>
  <si>
    <t>b) Comment on the advantages and disadvantages of using total</t>
  </si>
  <si>
    <t>shareholders' returns as a performance metric.</t>
  </si>
  <si>
    <t>divided by Share price at start</t>
  </si>
  <si>
    <r>
      <rPr>
        <b/>
        <sz val="10"/>
        <color theme="1"/>
        <rFont val="Aptos Narrow"/>
        <family val="2"/>
        <scheme val="minor"/>
      </rPr>
      <t>Total Shareholder Return</t>
    </r>
    <r>
      <rPr>
        <sz val="10"/>
        <color theme="1"/>
        <rFont val="Aptos Narrow"/>
        <family val="2"/>
        <scheme val="minor"/>
      </rPr>
      <t xml:space="preserve"> = Dividend + (Share price and end - Share price at start)</t>
    </r>
  </si>
  <si>
    <t>Total shareholder returns of Tear plc for 3 years</t>
  </si>
  <si>
    <t>Total shareholder returns of Tear plc for 5 years</t>
  </si>
  <si>
    <t>Total shareholder returns of Tear plc for 10 years</t>
  </si>
  <si>
    <t>= -3.3%</t>
  </si>
  <si>
    <t>580 - 450</t>
  </si>
  <si>
    <t>= 28.9%</t>
  </si>
  <si>
    <t>580 - 125</t>
  </si>
  <si>
    <t>= 364%</t>
  </si>
  <si>
    <t xml:space="preserve">materialize. And even if the firm survives, it may not have the resources to pursue </t>
  </si>
  <si>
    <t>other promising investments during the next few years.</t>
  </si>
  <si>
    <t>580 - 600</t>
  </si>
  <si>
    <r>
      <rPr>
        <b/>
        <sz val="10"/>
        <color theme="1"/>
        <rFont val="Aptos Narrow"/>
        <family val="2"/>
        <scheme val="minor"/>
      </rPr>
      <t>580p</t>
    </r>
    <r>
      <rPr>
        <sz val="10"/>
        <color theme="1"/>
        <rFont val="Aptos Narrow"/>
        <family val="2"/>
        <scheme val="minor"/>
      </rPr>
      <t xml:space="preserve"> and the current share market index level is </t>
    </r>
    <r>
      <rPr>
        <b/>
        <sz val="10"/>
        <color theme="1"/>
        <rFont val="Aptos Narrow"/>
        <family val="2"/>
        <scheme val="minor"/>
      </rPr>
      <t>3,100</t>
    </r>
    <r>
      <rPr>
        <sz val="10"/>
        <color theme="1"/>
        <rFont val="Aptos Narrow"/>
        <family val="2"/>
        <scheme val="minor"/>
      </rPr>
      <t>.</t>
    </r>
  </si>
  <si>
    <t>(do the same for the market as well [Share Index])</t>
  </si>
  <si>
    <t>Advantages of using total shareholder return (TSR)</t>
  </si>
  <si>
    <t>- Very easy to understand and calculate.</t>
  </si>
  <si>
    <t>- Not affected by the problems of having to rely on accounting balance sheet</t>
  </si>
  <si>
    <t>values.</t>
  </si>
  <si>
    <t>- Subjective and complex adjustments are avoided.</t>
  </si>
  <si>
    <t>- Not affected by relative size of firms.</t>
  </si>
  <si>
    <t>- Better able to identify when value is created than are the MVA and the MBR.</t>
  </si>
  <si>
    <t>Problems of using total shareholder return (TSR)</t>
  </si>
  <si>
    <t>- Vulnerable to distortion by the selection of time period over which it is measured.</t>
  </si>
  <si>
    <t>- Need to express the TSR relative to a peer group to obtain impression of</t>
  </si>
  <si>
    <t>performance.</t>
  </si>
  <si>
    <t>- It fails to relate risk to the TSR.</t>
  </si>
  <si>
    <t>- Assumes stock market perfection in share pricing.</t>
  </si>
  <si>
    <t>- Useless for firms without a quotation.</t>
  </si>
  <si>
    <r>
      <t>stock, r</t>
    </r>
    <r>
      <rPr>
        <sz val="8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, is the risk-free rate, β is the beta of the stock and</t>
    </r>
  </si>
  <si>
    <r>
      <t>In the above equation, R</t>
    </r>
    <r>
      <rPr>
        <sz val="8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 xml:space="preserve"> is the required rate of return of the</t>
    </r>
  </si>
  <si>
    <r>
      <t>r</t>
    </r>
    <r>
      <rPr>
        <sz val="8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 xml:space="preserve"> is the return of the market.</t>
    </r>
  </si>
  <si>
    <r>
      <t>R</t>
    </r>
    <r>
      <rPr>
        <sz val="8"/>
        <color theme="1"/>
        <rFont val="Aptos Narrow"/>
        <family val="2"/>
        <scheme val="minor"/>
      </rPr>
      <t>C</t>
    </r>
    <r>
      <rPr>
        <sz val="11"/>
        <color theme="1"/>
        <rFont val="Aptos Narrow"/>
        <family val="2"/>
        <scheme val="minor"/>
      </rPr>
      <t xml:space="preserve"> = 0.05+1 ( 0.12−0.05 ) = 0.12</t>
    </r>
  </si>
  <si>
    <r>
      <t>R</t>
    </r>
    <r>
      <rPr>
        <sz val="8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 xml:space="preserve"> = 0.05+1.2 ( 0.12−0.05 ) = 0.134</t>
    </r>
  </si>
  <si>
    <r>
      <t>R</t>
    </r>
    <r>
      <rPr>
        <sz val="8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= 0.05+1.6 ( 0.12−0.05 ) = 0.162</t>
    </r>
  </si>
  <si>
    <t>The information for the two stocks is given below. The T-bill</t>
  </si>
  <si>
    <t>rate (risk-free rate) is 5% and the expected market return is 12%.</t>
  </si>
  <si>
    <t>Stock A</t>
  </si>
  <si>
    <t>Stock B</t>
  </si>
  <si>
    <t>Stock C</t>
  </si>
  <si>
    <t>Forecasted Return</t>
  </si>
  <si>
    <t>Beta</t>
  </si>
  <si>
    <t>a. What would the fair return for each stock be, according to the</t>
  </si>
  <si>
    <t>capital asset pricing model (CAPM)?</t>
  </si>
  <si>
    <t>b. According to the forecasted returns, are the stocks underpriced,</t>
  </si>
  <si>
    <t>overpriced, or properly priced?</t>
  </si>
  <si>
    <r>
      <t>Capital asset pricing formula is R</t>
    </r>
    <r>
      <rPr>
        <b/>
        <sz val="8"/>
        <color theme="1"/>
        <rFont val="Aptos Narrow"/>
        <family val="2"/>
        <scheme val="minor"/>
      </rPr>
      <t>i</t>
    </r>
    <r>
      <rPr>
        <b/>
        <sz val="11"/>
        <color theme="1"/>
        <rFont val="Aptos Narrow"/>
        <family val="2"/>
        <scheme val="minor"/>
      </rPr>
      <t>=r</t>
    </r>
    <r>
      <rPr>
        <b/>
        <sz val="8"/>
        <color theme="1"/>
        <rFont val="Aptos Narrow"/>
        <family val="2"/>
        <scheme val="minor"/>
      </rPr>
      <t>f</t>
    </r>
    <r>
      <rPr>
        <b/>
        <sz val="11"/>
        <color theme="1"/>
        <rFont val="Aptos Narrow"/>
        <family val="2"/>
        <scheme val="minor"/>
      </rPr>
      <t xml:space="preserve"> + β (r</t>
    </r>
    <r>
      <rPr>
        <b/>
        <sz val="8"/>
        <color theme="1"/>
        <rFont val="Aptos Narrow"/>
        <family val="2"/>
        <scheme val="minor"/>
      </rPr>
      <t>m</t>
    </r>
    <r>
      <rPr>
        <b/>
        <sz val="11"/>
        <color theme="1"/>
        <rFont val="Aptos Narrow"/>
        <family val="2"/>
        <scheme val="minor"/>
      </rPr>
      <t>−r</t>
    </r>
    <r>
      <rPr>
        <b/>
        <sz val="8"/>
        <color theme="1"/>
        <rFont val="Aptos Narrow"/>
        <family val="2"/>
        <scheme val="minor"/>
      </rPr>
      <t>f</t>
    </r>
    <r>
      <rPr>
        <b/>
        <sz val="11"/>
        <color theme="1"/>
        <rFont val="Aptos Narrow"/>
        <family val="2"/>
        <scheme val="minor"/>
      </rPr>
      <t>)</t>
    </r>
  </si>
  <si>
    <t>undervalued.</t>
  </si>
  <si>
    <r>
      <t xml:space="preserve">Forecasted return of Stock A is </t>
    </r>
    <r>
      <rPr>
        <b/>
        <sz val="11"/>
        <color theme="1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than its required return. Therefore, Stock A is</t>
    </r>
  </si>
  <si>
    <r>
      <rPr>
        <b/>
        <sz val="11"/>
        <color theme="1"/>
        <rFont val="Aptos Narrow"/>
        <family val="2"/>
        <scheme val="minor"/>
      </rPr>
      <t>overvalued</t>
    </r>
    <r>
      <rPr>
        <sz val="11"/>
        <color theme="1"/>
        <rFont val="Aptos Narrow"/>
        <family val="2"/>
        <scheme val="minor"/>
      </rPr>
      <t>.</t>
    </r>
  </si>
  <si>
    <r>
      <t xml:space="preserve">Forecasted return of Stock C is </t>
    </r>
    <r>
      <rPr>
        <b/>
        <sz val="11"/>
        <color theme="1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than its required return. Therefore, Stock C is</t>
    </r>
  </si>
  <si>
    <r>
      <t xml:space="preserve">Forecasted return of Stock B is </t>
    </r>
    <r>
      <rPr>
        <b/>
        <sz val="11"/>
        <color theme="1"/>
        <rFont val="Aptos Narrow"/>
        <family val="2"/>
        <scheme val="minor"/>
      </rPr>
      <t>higher</t>
    </r>
    <r>
      <rPr>
        <sz val="11"/>
        <color theme="1"/>
        <rFont val="Aptos Narrow"/>
        <family val="2"/>
        <scheme val="minor"/>
      </rPr>
      <t xml:space="preserve"> than its required return. Therefore, Stock B is</t>
    </r>
  </si>
  <si>
    <t>SS</t>
  </si>
  <si>
    <r>
      <t xml:space="preserve">Stocks lies </t>
    </r>
    <r>
      <rPr>
        <b/>
        <sz val="11"/>
        <color theme="1"/>
        <rFont val="Aptos Narrow"/>
        <family val="2"/>
        <scheme val="minor"/>
      </rPr>
      <t>above</t>
    </r>
    <r>
      <rPr>
        <sz val="11"/>
        <color theme="1"/>
        <rFont val="Aptos Narrow"/>
        <family val="2"/>
        <scheme val="minor"/>
      </rPr>
      <t xml:space="preserve"> the Security Market Line (SML) are </t>
    </r>
    <r>
      <rPr>
        <b/>
        <sz val="11"/>
        <color theme="1"/>
        <rFont val="Aptos Narrow"/>
        <family val="2"/>
        <scheme val="minor"/>
      </rPr>
      <t>undervalued</t>
    </r>
    <r>
      <rPr>
        <sz val="11"/>
        <color theme="1"/>
        <rFont val="Aptos Narrow"/>
        <family val="2"/>
        <scheme val="minor"/>
      </rPr>
      <t>. (Stock B)</t>
    </r>
  </si>
  <si>
    <r>
      <t xml:space="preserve">Stocks lies </t>
    </r>
    <r>
      <rPr>
        <b/>
        <sz val="11"/>
        <color theme="1"/>
        <rFont val="Aptos Narrow"/>
        <family val="2"/>
        <scheme val="minor"/>
      </rPr>
      <t>below</t>
    </r>
    <r>
      <rPr>
        <sz val="11"/>
        <color theme="1"/>
        <rFont val="Aptos Narrow"/>
        <family val="2"/>
        <scheme val="minor"/>
      </rPr>
      <t xml:space="preserve"> the Security Market Line (SML) are </t>
    </r>
    <r>
      <rPr>
        <b/>
        <sz val="11"/>
        <color theme="1"/>
        <rFont val="Aptos Narrow"/>
        <family val="2"/>
        <scheme val="minor"/>
      </rPr>
      <t>overvalued</t>
    </r>
    <r>
      <rPr>
        <sz val="11"/>
        <color theme="1"/>
        <rFont val="Aptos Narrow"/>
        <family val="2"/>
        <scheme val="minor"/>
      </rPr>
      <t>. (Stocks A and C)</t>
    </r>
  </si>
  <si>
    <r>
      <t xml:space="preserve">Stocks lies on the Security Market Line (SML) are </t>
    </r>
    <r>
      <rPr>
        <b/>
        <sz val="11"/>
        <color theme="1"/>
        <rFont val="Aptos Narrow"/>
        <family val="2"/>
        <scheme val="minor"/>
      </rPr>
      <t>properly priced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</si>
</sst>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;[Red]\-&quot;£&quot;#,##0"/>
    <numFmt numFmtId="44" formatCode="_-&quot;£&quot;* #,##0.00_-;\-&quot;£&quot;* #,##0.00_-;_-&quot;£&quot;* &quot;-&quot;??_-;_-@_-"/>
    <numFmt numFmtId="164" formatCode="&quot;£&quot;#,##0_);[Red]\(&quot;£&quot;#,##0\)"/>
    <numFmt numFmtId="165" formatCode="&quot;£&quot;#,##0.00_);[Red]\(&quot;£&quot;#,##0.00\)"/>
    <numFmt numFmtId="166" formatCode="0.000"/>
    <numFmt numFmtId="167" formatCode="#,##0.000"/>
    <numFmt numFmtId="168" formatCode="&quot;£&quot;#,##0.0_);[Red]\(&quot;£&quot;#,##0.0\)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ourier New"/>
      <family val="3"/>
    </font>
    <font>
      <b/>
      <sz val="10"/>
      <color theme="1"/>
      <name val="Courier New"/>
      <family val="3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1" xfId="0" applyBorder="1"/>
    <xf numFmtId="6" fontId="0" fillId="0" borderId="0" xfId="0" applyNumberFormat="1"/>
    <xf numFmtId="0" fontId="0" fillId="0" borderId="2" xfId="0" applyBorder="1"/>
    <xf numFmtId="0" fontId="1" fillId="0" borderId="2" xfId="0" applyFont="1" applyBorder="1"/>
    <xf numFmtId="6" fontId="0" fillId="0" borderId="2" xfId="0" applyNumberFormat="1" applyBorder="1"/>
    <xf numFmtId="10" fontId="0" fillId="0" borderId="2" xfId="0" applyNumberFormat="1" applyBorder="1"/>
    <xf numFmtId="0" fontId="5" fillId="0" borderId="0" xfId="0" applyFont="1"/>
    <xf numFmtId="3" fontId="0" fillId="0" borderId="1" xfId="0" applyNumberFormat="1" applyBorder="1"/>
    <xf numFmtId="3" fontId="1" fillId="0" borderId="0" xfId="0" applyNumberFormat="1" applyFont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  <xf numFmtId="167" fontId="0" fillId="0" borderId="3" xfId="0" applyNumberFormat="1" applyBorder="1"/>
    <xf numFmtId="0" fontId="0" fillId="0" borderId="6" xfId="0" applyBorder="1"/>
    <xf numFmtId="3" fontId="0" fillId="0" borderId="3" xfId="0" applyNumberFormat="1" applyBorder="1"/>
    <xf numFmtId="0" fontId="1" fillId="0" borderId="9" xfId="0" applyFont="1" applyBorder="1"/>
    <xf numFmtId="9" fontId="0" fillId="0" borderId="0" xfId="0" applyNumberFormat="1"/>
    <xf numFmtId="9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0" xfId="0" quotePrefix="1" applyAlignment="1">
      <alignment horizontal="center"/>
    </xf>
    <xf numFmtId="166" fontId="0" fillId="0" borderId="1" xfId="0" applyNumberFormat="1" applyBorder="1"/>
    <xf numFmtId="0" fontId="1" fillId="0" borderId="10" xfId="0" applyFont="1" applyBorder="1"/>
    <xf numFmtId="3" fontId="0" fillId="0" borderId="4" xfId="0" applyNumberFormat="1" applyBorder="1"/>
    <xf numFmtId="3" fontId="0" fillId="0" borderId="11" xfId="0" applyNumberFormat="1" applyBorder="1"/>
    <xf numFmtId="166" fontId="0" fillId="0" borderId="11" xfId="0" applyNumberFormat="1" applyBorder="1"/>
    <xf numFmtId="0" fontId="1" fillId="0" borderId="12" xfId="0" applyFont="1" applyBorder="1"/>
    <xf numFmtId="0" fontId="0" fillId="0" borderId="11" xfId="0" applyBorder="1"/>
    <xf numFmtId="0" fontId="0" fillId="0" borderId="13" xfId="0" applyBorder="1"/>
    <xf numFmtId="0" fontId="1" fillId="0" borderId="14" xfId="0" applyFont="1" applyBorder="1"/>
    <xf numFmtId="6" fontId="1" fillId="0" borderId="0" xfId="0" applyNumberFormat="1" applyFont="1"/>
    <xf numFmtId="0" fontId="6" fillId="0" borderId="0" xfId="0" applyFont="1"/>
    <xf numFmtId="0" fontId="7" fillId="0" borderId="0" xfId="1"/>
    <xf numFmtId="0" fontId="7" fillId="0" borderId="0" xfId="1" quotePrefix="1"/>
    <xf numFmtId="0" fontId="1" fillId="0" borderId="0" xfId="1" applyFont="1"/>
    <xf numFmtId="164" fontId="7" fillId="0" borderId="0" xfId="1" applyNumberFormat="1"/>
    <xf numFmtId="165" fontId="7" fillId="0" borderId="0" xfId="1" applyNumberFormat="1"/>
    <xf numFmtId="168" fontId="7" fillId="0" borderId="0" xfId="1" applyNumberFormat="1"/>
    <xf numFmtId="0" fontId="9" fillId="0" borderId="0" xfId="0" applyFont="1"/>
    <xf numFmtId="0" fontId="10" fillId="0" borderId="0" xfId="0" applyFont="1"/>
    <xf numFmtId="0" fontId="5" fillId="0" borderId="0" xfId="0" quotePrefix="1" applyFont="1"/>
    <xf numFmtId="0" fontId="5" fillId="0" borderId="1" xfId="0" applyFont="1" applyBorder="1"/>
    <xf numFmtId="44" fontId="10" fillId="0" borderId="0" xfId="0" applyNumberFormat="1" applyFont="1"/>
    <xf numFmtId="6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11" fillId="0" borderId="0" xfId="0" applyFont="1"/>
    <xf numFmtId="0" fontId="3" fillId="0" borderId="0" xfId="0" applyFont="1"/>
    <xf numFmtId="0" fontId="8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2">
    <cellStyle name="Normal" xfId="0" builtinId="0"/>
    <cellStyle name="Normal 2" xfId="1" xr:uid="{92547110-1535-734D-99FB-E861D1825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2.png"/><Relationship Id="rId18" Type="http://schemas.openxmlformats.org/officeDocument/2006/relationships/customXml" Target="../ink/ink8.xml"/><Relationship Id="rId3" Type="http://schemas.openxmlformats.org/officeDocument/2006/relationships/image" Target="../media/image7.png"/><Relationship Id="rId21" Type="http://schemas.openxmlformats.org/officeDocument/2006/relationships/image" Target="../media/image16.png"/><Relationship Id="rId7" Type="http://schemas.openxmlformats.org/officeDocument/2006/relationships/image" Target="../media/image9.png"/><Relationship Id="rId12" Type="http://schemas.openxmlformats.org/officeDocument/2006/relationships/customXml" Target="../ink/ink5.xml"/><Relationship Id="rId17" Type="http://schemas.openxmlformats.org/officeDocument/2006/relationships/image" Target="../media/image14.png"/><Relationship Id="rId2" Type="http://schemas.openxmlformats.org/officeDocument/2006/relationships/image" Target="../media/image6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image" Target="../media/image5.png"/><Relationship Id="rId6" Type="http://schemas.openxmlformats.org/officeDocument/2006/relationships/customXml" Target="../ink/ink2.xml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5" Type="http://schemas.openxmlformats.org/officeDocument/2006/relationships/image" Target="../media/image13.png"/><Relationship Id="rId10" Type="http://schemas.openxmlformats.org/officeDocument/2006/relationships/customXml" Target="../ink/ink4.xml"/><Relationship Id="rId19" Type="http://schemas.openxmlformats.org/officeDocument/2006/relationships/image" Target="../media/image15.png"/><Relationship Id="rId4" Type="http://schemas.openxmlformats.org/officeDocument/2006/relationships/customXml" Target="../ink/ink1.xml"/><Relationship Id="rId9" Type="http://schemas.openxmlformats.org/officeDocument/2006/relationships/image" Target="../media/image10.png"/><Relationship Id="rId14" Type="http://schemas.openxmlformats.org/officeDocument/2006/relationships/customXml" Target="../ink/ink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0.png"/><Relationship Id="rId7" Type="http://schemas.openxmlformats.org/officeDocument/2006/relationships/image" Target="../media/image140.png"/><Relationship Id="rId2" Type="http://schemas.openxmlformats.org/officeDocument/2006/relationships/customXml" Target="../ink/ink10.xml"/><Relationship Id="rId1" Type="http://schemas.openxmlformats.org/officeDocument/2006/relationships/image" Target="../media/image29.png"/><Relationship Id="rId6" Type="http://schemas.openxmlformats.org/officeDocument/2006/relationships/customXml" Target="../ink/ink12.xml"/><Relationship Id="rId5" Type="http://schemas.openxmlformats.org/officeDocument/2006/relationships/image" Target="../media/image130.png"/><Relationship Id="rId4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2519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00193-1703-47BB-00FD-59F35261B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9719" cy="38385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104775</xdr:rowOff>
    </xdr:from>
    <xdr:to>
      <xdr:col>7</xdr:col>
      <xdr:colOff>28574</xdr:colOff>
      <xdr:row>53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C9FC-F64E-E3DB-DE8C-5E60A7A44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62775"/>
          <a:ext cx="4295774" cy="319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381772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61A67-4202-A9E9-C9F0-D78680CBF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7572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495415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FA386-31F1-121A-A997-CDF563F7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2486140" cy="8667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23</xdr:row>
      <xdr:rowOff>19050</xdr:rowOff>
    </xdr:from>
    <xdr:to>
      <xdr:col>8</xdr:col>
      <xdr:colOff>598171</xdr:colOff>
      <xdr:row>27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290E5C-A853-C3A1-C870-EBD368C5E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4400550"/>
          <a:ext cx="2484121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7</xdr:col>
      <xdr:colOff>588629</xdr:colOff>
      <xdr:row>23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8E52B-60A9-87A0-46C2-D47EDAA67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3701"/>
        <a:stretch/>
      </xdr:blipFill>
      <xdr:spPr>
        <a:xfrm>
          <a:off x="0" y="1704975"/>
          <a:ext cx="4855829" cy="27241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35</xdr:row>
      <xdr:rowOff>28575</xdr:rowOff>
    </xdr:from>
    <xdr:to>
      <xdr:col>23</xdr:col>
      <xdr:colOff>9525</xdr:colOff>
      <xdr:row>42</xdr:row>
      <xdr:rowOff>124894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69330-3801-3AE0-63D8-9DD58A5D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6772275"/>
          <a:ext cx="2390775" cy="1439344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46</xdr:row>
      <xdr:rowOff>9525</xdr:rowOff>
    </xdr:from>
    <xdr:to>
      <xdr:col>21</xdr:col>
      <xdr:colOff>424</xdr:colOff>
      <xdr:row>52</xdr:row>
      <xdr:rowOff>47790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40B58D-0A9D-2AB6-B777-32D78BE5E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3125" y="8858250"/>
          <a:ext cx="3038899" cy="1181265"/>
        </a:xfrm>
        <a:prstGeom prst="rect">
          <a:avLst/>
        </a:prstGeom>
      </xdr:spPr>
    </xdr:pic>
    <xdr:clientData/>
  </xdr:twoCellAnchor>
  <xdr:twoCellAnchor editAs="oneCell">
    <xdr:from>
      <xdr:col>21</xdr:col>
      <xdr:colOff>543075</xdr:colOff>
      <xdr:row>46</xdr:row>
      <xdr:rowOff>133245</xdr:rowOff>
    </xdr:from>
    <xdr:to>
      <xdr:col>22</xdr:col>
      <xdr:colOff>486075</xdr:colOff>
      <xdr:row>48</xdr:row>
      <xdr:rowOff>66885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14:cNvPr>
            <xdr14:cNvContentPartPr/>
          </xdr14:nvContentPartPr>
          <xdr14:nvPr macro=""/>
          <xdr14:xfrm>
            <a:off x="13344675" y="8981970"/>
            <a:ext cx="552600" cy="3146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326675" y="8963970"/>
              <a:ext cx="58824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266715</xdr:colOff>
      <xdr:row>41</xdr:row>
      <xdr:rowOff>150</xdr:rowOff>
    </xdr:from>
    <xdr:to>
      <xdr:col>21</xdr:col>
      <xdr:colOff>162195</xdr:colOff>
      <xdr:row>42</xdr:row>
      <xdr:rowOff>76605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14:cNvPr>
            <xdr14:cNvContentPartPr/>
          </xdr14:nvContentPartPr>
          <xdr14:nvPr macro=""/>
          <xdr14:xfrm>
            <a:off x="12458715" y="7886850"/>
            <a:ext cx="505080" cy="276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40715" y="7868850"/>
              <a:ext cx="54072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28425</xdr:colOff>
      <xdr:row>52</xdr:row>
      <xdr:rowOff>104745</xdr:rowOff>
    </xdr:from>
    <xdr:to>
      <xdr:col>16</xdr:col>
      <xdr:colOff>66945</xdr:colOff>
      <xdr:row>60</xdr:row>
      <xdr:rowOff>124260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14:cNvPr>
            <xdr14:cNvContentPartPr/>
          </xdr14:nvContentPartPr>
          <xdr14:nvPr macro=""/>
          <xdr14:xfrm>
            <a:off x="9782025" y="10096470"/>
            <a:ext cx="38520" cy="15530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764025" y="10078470"/>
              <a:ext cx="74160" cy="158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38145</xdr:colOff>
      <xdr:row>56</xdr:row>
      <xdr:rowOff>123945</xdr:rowOff>
    </xdr:from>
    <xdr:to>
      <xdr:col>20</xdr:col>
      <xdr:colOff>48105</xdr:colOff>
      <xdr:row>56</xdr:row>
      <xdr:rowOff>152745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14:cNvPr>
            <xdr14:cNvContentPartPr/>
          </xdr14:nvContentPartPr>
          <xdr14:nvPr macro=""/>
          <xdr14:xfrm>
            <a:off x="9791745" y="10877670"/>
            <a:ext cx="2448360" cy="288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773745" y="10859670"/>
              <a:ext cx="24840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219225</xdr:colOff>
      <xdr:row>53</xdr:row>
      <xdr:rowOff>114405</xdr:rowOff>
    </xdr:from>
    <xdr:to>
      <xdr:col>20</xdr:col>
      <xdr:colOff>48105</xdr:colOff>
      <xdr:row>59</xdr:row>
      <xdr:rowOff>76440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14:cNvPr>
            <xdr14:cNvContentPartPr/>
          </xdr14:nvContentPartPr>
          <xdr14:nvPr macro=""/>
          <xdr14:xfrm>
            <a:off x="9972825" y="10296630"/>
            <a:ext cx="2267280" cy="1114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954825" y="10278630"/>
              <a:ext cx="2302920" cy="11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314265</xdr:colOff>
      <xdr:row>52</xdr:row>
      <xdr:rowOff>181065</xdr:rowOff>
    </xdr:from>
    <xdr:to>
      <xdr:col>17</xdr:col>
      <xdr:colOff>209745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14:cNvPr>
            <xdr14:cNvContentPartPr/>
          </xdr14:nvContentPartPr>
          <xdr14:nvPr macro=""/>
          <xdr14:xfrm>
            <a:off x="10067865" y="10172790"/>
            <a:ext cx="505080" cy="705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049865" y="10154790"/>
              <a:ext cx="54072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257025</xdr:colOff>
      <xdr:row>52</xdr:row>
      <xdr:rowOff>114465</xdr:rowOff>
    </xdr:from>
    <xdr:to>
      <xdr:col>20</xdr:col>
      <xdr:colOff>600345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14:cNvPr>
            <xdr14:cNvContentPartPr/>
          </xdr14:nvContentPartPr>
          <xdr14:nvPr macro=""/>
          <xdr14:xfrm>
            <a:off x="11839425" y="10106190"/>
            <a:ext cx="952920" cy="7718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21425" y="10088190"/>
              <a:ext cx="988560" cy="80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457185</xdr:colOff>
      <xdr:row>55</xdr:row>
      <xdr:rowOff>171525</xdr:rowOff>
    </xdr:from>
    <xdr:to>
      <xdr:col>17</xdr:col>
      <xdr:colOff>19305</xdr:colOff>
      <xdr:row>56</xdr:row>
      <xdr:rowOff>105060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14:cNvPr>
            <xdr14:cNvContentPartPr/>
          </xdr14:nvContentPartPr>
          <xdr14:nvPr macro=""/>
          <xdr14:xfrm>
            <a:off x="10210785" y="10734750"/>
            <a:ext cx="171720" cy="1335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192785" y="10716750"/>
              <a:ext cx="2073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276105</xdr:colOff>
      <xdr:row>55</xdr:row>
      <xdr:rowOff>123645</xdr:rowOff>
    </xdr:from>
    <xdr:to>
      <xdr:col>19</xdr:col>
      <xdr:colOff>457545</xdr:colOff>
      <xdr:row>56</xdr:row>
      <xdr:rowOff>95700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14:cNvPr>
            <xdr14:cNvContentPartPr/>
          </xdr14:nvContentPartPr>
          <xdr14:nvPr macro=""/>
          <xdr14:xfrm>
            <a:off x="11858505" y="10686870"/>
            <a:ext cx="181440" cy="1720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840505" y="10668870"/>
              <a:ext cx="21708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44</xdr:row>
      <xdr:rowOff>9524</xdr:rowOff>
    </xdr:from>
    <xdr:to>
      <xdr:col>7</xdr:col>
      <xdr:colOff>588629</xdr:colOff>
      <xdr:row>54</xdr:row>
      <xdr:rowOff>114299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52296DD-68E1-49AB-B44E-F257CD373D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465"/>
        <a:stretch/>
      </xdr:blipFill>
      <xdr:spPr>
        <a:xfrm>
          <a:off x="0" y="8477249"/>
          <a:ext cx="4855829" cy="2009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83</xdr:colOff>
      <xdr:row>18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EA920-167A-E56F-77D3-75C223059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6883" cy="354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9525</xdr:rowOff>
    </xdr:from>
    <xdr:to>
      <xdr:col>7</xdr:col>
      <xdr:colOff>581025</xdr:colOff>
      <xdr:row>46</xdr:row>
      <xdr:rowOff>13178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4678FB-3807-6113-3E04-0A413177B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86525"/>
          <a:ext cx="4848225" cy="2289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180976</xdr:rowOff>
    </xdr:from>
    <xdr:to>
      <xdr:col>8</xdr:col>
      <xdr:colOff>0</xdr:colOff>
      <xdr:row>49</xdr:row>
      <xdr:rowOff>114520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530474-EBFD-24DD-2C7B-2DE82FF2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53476"/>
          <a:ext cx="4876800" cy="6955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583095</xdr:colOff>
      <xdr:row>12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09322-A078-7180-8ACF-32D532938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850294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47625</xdr:rowOff>
    </xdr:from>
    <xdr:to>
      <xdr:col>7</xdr:col>
      <xdr:colOff>581025</xdr:colOff>
      <xdr:row>29</xdr:row>
      <xdr:rowOff>98926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7350B5-5045-4207-49A0-4F90FAAB2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7125"/>
          <a:ext cx="4848225" cy="19563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600075</xdr:colOff>
      <xdr:row>18</xdr:row>
      <xdr:rowOff>171555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ECF49-A773-78C5-1D18-8AE0E9901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7275" cy="36005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600075</xdr:colOff>
      <xdr:row>2</xdr:row>
      <xdr:rowOff>55108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125B-D55B-2528-C341-3A2C9B5AA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67274" cy="43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9525</xdr:rowOff>
    </xdr:from>
    <xdr:to>
      <xdr:col>8</xdr:col>
      <xdr:colOff>0</xdr:colOff>
      <xdr:row>9</xdr:row>
      <xdr:rowOff>56314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3A270-FC62-C799-316D-ECF0D450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3025"/>
          <a:ext cx="4876800" cy="4277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9525</xdr:rowOff>
    </xdr:from>
    <xdr:to>
      <xdr:col>8</xdr:col>
      <xdr:colOff>33469</xdr:colOff>
      <xdr:row>16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1D104-10DB-1D81-D5CD-95E4DD24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67025"/>
          <a:ext cx="4910269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38100</xdr:rowOff>
    </xdr:from>
    <xdr:to>
      <xdr:col>8</xdr:col>
      <xdr:colOff>0</xdr:colOff>
      <xdr:row>41</xdr:row>
      <xdr:rowOff>68165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09D6E9-307E-6F15-57CA-7ECD5F72C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53100"/>
          <a:ext cx="4876800" cy="21255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553293</xdr:colOff>
      <xdr:row>6</xdr:row>
      <xdr:rowOff>9686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3FF0-20F7-0442-3DC5-A074E915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1152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</xdr:rowOff>
    </xdr:from>
    <xdr:to>
      <xdr:col>9</xdr:col>
      <xdr:colOff>496135</xdr:colOff>
      <xdr:row>17</xdr:row>
      <xdr:rowOff>38210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06A55-8515-AAFA-BA48-97F23949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86025"/>
          <a:ext cx="5982535" cy="7906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870591" cy="5919967"/>
    <xdr:pic>
      <xdr:nvPicPr>
        <xdr:cNvPr id="3" name="Picture 1">
          <a:extLst>
            <a:ext uri="{FF2B5EF4-FFF2-40B4-BE49-F238E27FC236}">
              <a16:creationId xmlns:a16="http://schemas.microsoft.com/office/drawing/2014/main" id="{D23FC3C6-0FC2-BC44-A4F4-272FA10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0591" cy="5919967"/>
        </a:xfrm>
        <a:prstGeom prst="rect">
          <a:avLst/>
        </a:prstGeom>
      </xdr:spPr>
    </xdr:pic>
    <xdr:clientData/>
  </xdr:oneCellAnchor>
  <xdr:twoCellAnchor editAs="oneCell">
    <xdr:from>
      <xdr:col>5</xdr:col>
      <xdr:colOff>37028</xdr:colOff>
      <xdr:row>54</xdr:row>
      <xdr:rowOff>65755</xdr:rowOff>
    </xdr:from>
    <xdr:to>
      <xdr:col>5</xdr:col>
      <xdr:colOff>688268</xdr:colOff>
      <xdr:row>55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14:cNvPr>
            <xdr14:cNvContentPartPr/>
          </xdr14:nvContentPartPr>
          <xdr14:nvPr macro=""/>
          <xdr14:xfrm>
            <a:off x="4754880" y="10513489"/>
            <a:ext cx="651240" cy="232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46240" y="10504489"/>
              <a:ext cx="6688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29468</xdr:colOff>
      <xdr:row>55</xdr:row>
      <xdr:rowOff>52998</xdr:rowOff>
    </xdr:from>
    <xdr:to>
      <xdr:col>5</xdr:col>
      <xdr:colOff>96068</xdr:colOff>
      <xdr:row>55</xdr:row>
      <xdr:rowOff>112038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14:cNvPr>
            <xdr14:cNvContentPartPr/>
          </xdr14:nvContentPartPr>
          <xdr14:nvPr macro=""/>
          <xdr14:xfrm>
            <a:off x="4747320" y="10694209"/>
            <a:ext cx="66600" cy="59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738680" y="10685209"/>
              <a:ext cx="842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52148</xdr:colOff>
      <xdr:row>55</xdr:row>
      <xdr:rowOff>126078</xdr:rowOff>
    </xdr:from>
    <xdr:to>
      <xdr:col>5</xdr:col>
      <xdr:colOff>97868</xdr:colOff>
      <xdr:row>55</xdr:row>
      <xdr:rowOff>162438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14:cNvPr>
            <xdr14:cNvContentPartPr/>
          </xdr14:nvContentPartPr>
          <xdr14:nvPr macro=""/>
          <xdr14:xfrm>
            <a:off x="4770000" y="10767289"/>
            <a:ext cx="45720" cy="36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761000" y="10758649"/>
              <a:ext cx="63360" cy="5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03.25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1682 291 0,'0'-26'47,"0"-1"31,-30 27-78,30-26 16,-29 26-1,-1-26 1,1 26-1,29-27-15,-30 27 16,1-26 0,-2 26-16,2-27 15,0 27 1,-1 0-16,30-26 16,-29 26-16,-1 0 0,1 0 15,29-27-15,-30 27 0,1 0 0,-1 0 16,1 0-16,29-26 0,-30 26 15,1 0-15,0 0 0,-1 0 16,1 0-16,29-27 0,-30 27 16,1 0-16,-1 0 0,1 0 15,-2 0-15,2 0 16,-1 0-16,1 0 0,0 0 16,-1 0-16,1 0 0,-1 0 15,1 0-15,-1 0 16,1 0-16,-1 0 0,1 0 15,-1 0-15,1 0 16,-1 0-16,1 0 16,0 0-1,-1 0 1,1 0 0,29 27-16,-31-27 15,2 0 1,29 26-1,-30-26-15,1 0 32,29 27-32,-30-27 15,30 26 1,-29-26 0,29 27-1,-30-27-15,30 26 16,-29-26-1,29 27 1,-30-1 0,30 0-1,-29-26 1,29 27 0,0-1-1,0 1 16,-29-27-15,29 26-16,0 1 31,0-1-15,0 1 0,0-1 15,0 1-16,0-1 17,29-26-17,-29 26 1,0 1 0,0-1 15,29-26-31,-29 27 15,30-27 1,-30 26 0,29-26-1,-29 27-15,30-27 32,-30 26-32,29-26 15,1 27 1,-1-27-1,-29 26 1,30-26-16,-1 0 16,2 0-1,-31 27-15,29-27 16,1 0-16,-1 0 16,-29 26-16,29-26 15,1 0-15,-1 0 16,1 26-1,-1-26 1,1 0-16,-1 0 16,1 0-16,-30 27 0,29-27 15,1 0-15,-1 0 0,1 0 16,-1 0 0,-29 26-16,29-26 0,1 0 15,-1 0 1,2 0-1,-2 0 1,1 0 0,-1 0 15,1 0-15,-1 0 15,1 0-31,-1 0 15,0 0 1,1 0 0,-1 0-1,1 0 1,-1 0-16,-29-26 16,30 26-16,-1 0 15,1 0 16,-1 0-15,-29-27-16,30 27 16,-1 0-1,0 0 17,-29-26-32,31 26 31,-2 0-16,-29-26-15,30 26 16,-30-27 15,29 27-31,-29-26 32,30 26-32,-30-27 31,29 27-16,-29-26 1,0-1 0,30 27-1,-30-26 1,0-1 15,0 1-15,29 26 15,-29-27-31,0 1 31,0 0 1,0-1-1,0 1 16,0-1-16,0 1 0,0-1 0,0 1 16,0-1-15,0 1 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07.9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1 644 24575,'526'0'0,"-518"0"0,0-1 0,1 0 0,-1-1 0,0 0 0,0 0 0,0-1 0,0 0 0,0 0 0,0 0 0,-1-1 0,0-1 0,0 1 0,10-9 0,13-7 0,-21 15 0,1 0 0,-1 1 0,1 0 0,17-3 0,-19 5 0,-1 0 0,1-1 0,0 1 0,-1-2 0,0 1 0,0-1 0,0 0 0,0 0 0,10-9 0,47-61 0,-8 7 0,-50 61 0,-1 0 0,-1-1 0,1 0 0,-1 1 0,0-1 0,-1 0 0,1-1 0,-2 1 0,1-1 0,2-12 0,9-23 0,-10 37 0,0-1 0,0 1 0,1 0 0,0 0 0,0 0 0,0 1 0,0-1 0,1 2 0,0-1 0,0 0 0,9-4 0,25-20 0,-33 23 0,2 1 0,-1 0 0,1 0 0,0 1 0,0 0 0,0 1 0,0 0 0,0 0 0,1 1 0,14-1 0,48-16 0,-49 12 0,0 1 0,1 0 0,0 2 0,27-2 0,40-7 0,-39-1 0,-39 10 0,0 0 0,0 0 0,1 2 0,23-3 0,-14 5-110,-8-1-141,0 0 0,-1 1 0,1 1 0,24 5 0,-26-2-6575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1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1 163 24575,'3'0'0,"5"-3"0,2-6 0,1 0 0,4-2 0,1-4 0,3-2 0,-2-1 0,-1 1 0,0 1 0,-2 0 0,0 1 0,1 5 0,-5 3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5.4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24575,'0'0'0,"4"0"0,4 0 0,1 3 0,2 2 0,0 3 0,1 0 0,-1 3 0,1-1 0,-2 1 0,-2 3 0,0-1 0,3-3 0,0-4-8191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10.2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1519 187 0,'0'-27'47,"-29"27"-16,-1 0 16,0 0-16,30-26-15,-29 26-16,-1 0 31,0 0-15,0-28-1,1 28 1,-2 0-16,2 0 16,29-26-16,-31 26 15,2 0 1,-1 0-16,1 0 16,29-27-16,-31 27 0,2 0 15,0 0 1,-2 0-16,2 0 15,29-27-15,-31 27 16,2 0 0,-1 0-1,0 0 1,0 0-16,1 0 16,-2 0-1,31-26-15,-29 26 0,-1 0 16,0 0-1,1 0-15,-1 0 16,0 0 0,0 0-16,1 0 15,-2 0-15,2 0 16,-1 0 0,0 0-1,0 0 1,1 0 15,-1 0 16,0 0-31,30 26-16,-29-26 31,29 27 0,-31-27-15,31 27-1,-29-27-15,-1 0 32,30 26-17,-30-26 16,30 28-31,-30-28 32,30 26-17,-29-26 17,29 27-32,0-1 31,-31-26-16,31 28 1,0-2 15,0 1 1,0 0-17,0 0 16,-29-27-15,29 26 0,0 1 15,0 0 0,0-1-15,0 2-1,0-2 17,0 1-1,0 0-15,29-27-1,-29 27 1,0-1-1,31-26-15,-31 27 16,29-27 15,-29 27-15,30-27 0,-30 27-1,30-27 16,0 0 1,-30 26-32,29-26 15,2 0 1,-31 27 0,29-27-16,1 0 15,0 0 1,-1 0-1,1 0 1,0 0 0,-30 27-16,30-27 15,-1 0 1,2 0 0,-2 0-1,1 0-15,0 0 16,0 0 15,-1 0-15,1 0-16,0 0 15,-1 0 1,2 0 15,-2 0-15,1 0-1,0 0 1,0 0 0,-1 0 15,2 0-15,-2 0-1,2 0 1,-2 0-1,0 0 1,2 0 15,-2 0-15,1 0 0,-30-27-1,29 27 1,2 0-1,-2 0 1,2 0 15,-31-27-31,29 27 16,1 0 15,-30-26-15,30 26-1,0 0 17,-30-27-32,29 27 31,-29-27-31,30 27 31,-30-27-31,0 1 31,30 26-31,-30-27 32,29 27-17,-29-27 1,0 0 15,0 1-15,31 26-1,-31-28 1,0 2 15,0-1 1,0 0-1,29 27-16,-29-26 1,0-1 62,0 0-15,0 0-16,-29 27-1,29-26-46,0-2 63,-31 28-47,2 0 46,29-26-15,-30 26-16,0 0 0,1 0 79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0.3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106 0 0,'0'27'47,"0"-1"-16,0 0 0,0 1-15,0-1-1,0 1 1,0-1 0,0 1-1,0-1 1,0 1-16,-26-27 16,26 26-16,0 1 15,0-1 1,0 0-16,0 1 15,0-1 1,0 1 0,0-1-16,0 1 15,0-1 1,0 1-16,0-1 16,0 1-16,0-1 15,0 1-15,0-1 16,-27-26-16,27 26 15,0 1-15,0-1 16,0 1 0,0-1-1,0 1-15,0-1 16,0 1 0,0-1-16,0 1 15,0-1-15,0 1 16,0-1-1,0 0-15,0 1 16,0-1 0,-26-26-16,26 27 0,0-1 15,0 1 1,0-1 0,0 1-1,0-1-15,0 1 16,0-1-1,0 0-15,0 1 16,0-1 0,0 1-1,0-1-15,0 1 16,0-1 0,-27-26-16,27 27 0,0-1 15,0 1-15,0-1 16,0 0-16,0 1 15,0-1-15,0 1 16,0-1 0,0 1-16,0-1 15,0 1-15,0-1 16,0 1-16,0-1 16,0 1-1,0-1-15,0 0 16,0 1-16,0-1 15,0 1 1,0-1 0,0 1-1,0-1-15,0 1 16,0-1-16,0 1 16,0-1-16,0 1 15,0-1-15,0 0 16,0 1-1,0-1 1,0 1-16,0-1 16,27-26-1,-27 27-15,0-1 16,0 1-16,0-1 16,0 1-1,0-1 1,26-26-16,-26 26 0,0 1 15,0-1 1,0 1 0,0-1-1,0 1 1,0-1-16,0 1 16,0-1-1,0 1 1,0-1-1,0 0 1,0 1-16,0-1 16,0 1-1,0-1-15,0 1 16,0-1 0,0 1-16,0-1 15,0 1 1,0-1-16,0 1 15,0-1 1,0 0-16,0 1 16,0-1-1,0 1-15,0-1 16,0 1 0,0-1-1,0 1 1,0-1-16,0 1 15,0-1 1,0 1-16,0-1 16,0 0-1,0 1 1,0-1-16,0 1 16,0-1-1,0 1 1,0-1-16,0 1 15,0-1 1,0 1 0,0-1-1,0 0 17,0 1-17,0-1 1,0 1-1,0-1 17,0 1-1,0-1 0,27-26 204,-27 27-220,0-1 32,0 1-16,0-1 16,0 0 16,0 1 30,26-27-61,-26 26-1,0 1 0,0-1 0,0 1 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5.8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0,'29'0'203,"1"0"-188,-2 0 17,2 0-17,-1 0 1,1 0-1,-2 0-15,2 0 16,-1 0 0,-1 0-1,2 0 1,-1 0 0,1 0-1,-2 0 1,2 0-1,-1 0 1,1 0-16,-2 0 16,2 0-1,-1 0 1,1 0 0,-2 26-16,1-26 15,1 0 1,-1 0-16,0 0 15,0 0 1,1 0-16,-1 0 16,0 0-1,0 0-15,1 27 16,-1-27 0,-1 0-16,2 0 15,-1 0 1,1 0-16,-2 0 15,2 0 1,-1 0 0,1 0-16,-2 0 15,2 0-15,-1 0 16,0 0-16,0 0 0,0 0 16,1 0-16,-1 0 15,0 0-15,0 0 0,1 0 16,-30 26-16,29-26 0,0 0 15,0 0-15,1 0 16,-1 0-16,-1 0 16,2 0-1,-1 0-15,1 0 16,-2 0 0,2 0-16,-1 0 15,1 0 1,-2 0-16,2 0 15,-1 0-15,1 0 16,-2 0 0,1 0-16,1 0 15,-2 0-15,2 0 16,-1 0-16,1 0 16,-2 0-16,2 0 15,-1 0-15,1 0 16,-2 0-16,1 0 15,1 0-15,-1 0 16,0 0-16,0 0 16,1 0-16,-1 0 15,0 0 1,0 0-16,1 0 16,-1 0-16,-1 0 15,2 0 1,-1 0-16,1 0 0,-2 0 15,2 0-15,-1 0 16,1 0-16,-2 0 16,2 0-16,-30-26 0,29 26 15,1 0-15,-2 0 16,1 0-16,1 0 16,-1 0-16,0 0 0,0 0 15,1 0-15,-1 0 16,0 0-1,0 0-15,1 0 16,-1 0-16,0 0 16,-29-27-16,29 27 0,0 0 15,1 0-15,-2 0 16,2 0-16,-1 0 16,1 0-16,-2 0 15,2 0-15,-1 0 16,1 0-1,-2 0-15,1 0 16,1 0-16,-2 0 0,2 0 16,-1 0-16,1 0 15,-1 0 1,0 0-16,0 0 16,1 0-16,-1 0 15,-1 0 1,2 0-16,-1 0 15,1 0 1,-2 0-16,2 0 16,-1 0-1,1 0-15,-2 0 16,2 0 0,-1 0-1,1 0 1,-2 0-16,1 0 15,1 0 1,-2 0 0,2 0-1,-1 0-15,1 0 16,-2 0 0,2 0-1,-1 0-15,1 0 16,-2 0-1,-28 27-15,30-27 0,-1 0 0,0 0 16,0 0-16,0 0 16,1 0-16,-1 0 15,0 0-15,0 0 16,1 0-16,-1 0 0,0 0 16,0 0-16,0 0 15,1 0-15,-2 0 16,2 0-16,-1 0 0,1 0 15,-2 0-15,2 0 16,-1 0-16,1 0 0,-2 0 16,1 0-16,1 0 0,-1 0 15,0 0 1,0 0-16,1 0 16,-1 0 15,0 0 31,0 0 16,1 0 344,-1 0-406,0 0 0,0 0-1,0 0 1,1 0-16,-2 0 15,2 0 1,-1 0-16,1-27 16,-2 27-16,2 0 15,-1 0-15,1 0 16,-2 0 0,2 0-16,-1 0 15,-1 0-15,2 0 16,-1 0-16,1 0 15,-2 0 1,2 0-16,-1 0 16,1 0-16,-2 0 15,2 0-15,-1 0 16,0 0-16,0 0 16,0 0-1,1 0-15,-1 0 16,0 0-1,0 0-15,1 0 16,-1 0-16,0 0 16,0 0-16,0 0 15,1 0 1,-2 0-16,2 0 16,-1 0-16,1 0 15,-2 0 1,2 0-1,-1 0 1,1 0 0,-2 0-1,2 0-15,-1 0 16,-29 27 0,29-27-16,0 0 0,0 0 15,1 0 1,-1 0 15,0 0 0,0 0 1,1 0 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1.4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2865 0,'29'0'125,"0"0"-109,-29-26-16,0-1 31,30 27-31,-1-26 16,1 26-1,-30-27-15,29 1 16,-29-1-1,30 27-15,-30-26 16,29 26-16,-29-26 16,30 26-16,-30-27 15,29 27-15,-29-26 0,30-2 16,-30 2 0,29 26-16,-29-27 15,30 27-15,-30-26 16,28 26-16,-28-27 0,0 1 15,29 26-15,-29-27 16,30 27-16,-30-26 0,29 26 16,-29-27-16,0 1 15,30 26-15,-30-26 0,29 26 0,-29-27 16,30 27-16,-30-26 0,0-2 16,29 28-16,-29-26 15,30 26-15,-30-27 0,0 1 16,29 26-16,-29-27 15,30 27-15,-30-26 0,29 26 16,-29-27-16,0 1 16,30 26-16,-30-26 0,29 26 15,-29-27-15,29 27 0,-29-26 0,0-1 16,30 27-16,-30-26 16,29 26-16,-29-28 0,30 28 15,-30-26-15,0-1 16,29 27-16,-29-26 0,30 26 15,-30-27-15,0 1 0,29 26 0,-29-26 16,30 26-16,-30-27 16,29 27-16,-29-26 0,0-1 15,30 27-15,-30-26 0,29 26 16,-29-27-16,29 27 16,-29-26-16,0-2 0,30 28 15,-30-26-15,29 26 16,-29-27-16,0 1 0,30 26 0,-30-27 15,28 27-15,-28-26 16,30 26-16,-30-26 0,0-1 16,29 27-16,-29-26 15,30-1-15,-30 1 16,29 26-16,-29-27 0,0 1 16,30 26-16,-30-28 15,29 28-15,-29-26 0,0-1 16,29 27-16,-29-26 15,30 26-15,-30-27 0,29 27 16,-29-26-16,0 0 16,30 26-16,-30-27 0,29 27 15,-29-26-15,30-1 0,-30 1 16,29 26-16,-29-27 16,30 27-16,-30-26 0,0-2 15,29 28-15,-29-26 0,30 26 16,-30-27-16,29 27 0,-29-26 15,30 26-15,-30-26 0,29 26 16,-29-27-16,29 1 16,-29-1-16,30 27 15,-30-26-15,29 26 0,-29-27 16,30 27-16,-30-26 0,29 26 16,-29-27-16,30 27 0,-30-26 15,29 26-15,-29-28 0,30 28 16,-30-26-16,29 26 15,-29-26-15,30 26 0,-30-27 0,28 27 16,-28-26-16,30 26 16,-30-27-16,29 27 0,-29-26 15,29 26-15,-29-27 16,30 27-16,-1-26 16,1 26-1,-30-27-15,29 27 16,-29-26-16,30 26 0,-1 0 15,-29-27-15,30 27 16,-30-26-16,29 26 16,1 0-16,-30-28 15,29 28-15,0 0 16,-29-26-16,30 26 16,-30-26-16,29 26 0,1 0 15,-1 0 1,-29-27-16,30 27 0,-1 0 15,-29-26 1,30 26-16,-1 0 16,1 0-1,-30-27 1,29 27-16,0 0 16,1 0-1,-1 0 1,1 0-1,-30-26-15,28 26 0,2 0 16,-1 0 0,1 0-1,-1 0-15,1 0 16,-1 0 0,1 0-1,-1 0-15,0 0 16,1 0-1,-1 0-15,1 0 16,-1 0 0,1 0-16,-1 0 15,1 0 1,-1 0-16,1 0 16,-1 0-1,1 0-15,-1 0 0,0 0 16,1 26-1,-1-26-15,1 0 16,-1 0-16,1 0 16,-30 27-16,29-27 0,1 0 15,-2 0-15,2 0 16,-1 0-16,-29 26 0,29-26 16,1 0-1,-1 0-15,-29 27 16,30-27-16,-1 0 15,1 0-15,-1 0 0,-29 26 16,30-26-16,-1 0 16,1 0-16,-30 26 0,29-26 15,0 0-15,1 0 16,-30 28-16,29-28 0,1 0 16,-1 0-16,-29 26 15,30-26-15,-1 0 0,1 0 16,-1 27-1,1-27-15,-1 0 16,-29 26 0,30-26-16,-1 0 15,-29 27-15,28-27 16,3 0-16,-31 26 16,28-26-16,2 0 15,-30 27-15,29-27 16,-29 26-1,30-26-15,-1 0 16,-29 27-16,30-27 16,-30 26-16,29-26 0,-29 27 15,30-27-15,-30 26 16,29-26-16,-29 26 16,30-26-16,-1 28 0,0-28 15,-29 26-15,30-26 16,-30 27-16,29-1 15,-29 1 17,30-27-32,-30 26 0,29-26 15,-29 27-15,30-27 16,-30 26-16,29-26 16,-29 27-16,30-27 15,-30 26-15,0 0 16,29-26-16,-29 27 15,30-27-15,-30 26 0,0 2 16,29-28-16,-29 26 16,0 1-16,29-27 15,-29 26-15,0 1 16,30-27-16,-30 26 0,0 1 16,29-1-1,-29 0-15,0 1 16,30-27-16,-30 26 0,0 1 15,29-27-15,-29 26 0,0 2 16,30-28 0,-30 26-16,0 1 0,28-27 15,-28 26-15,0 1 0,31-27 16,-31 26-16,0 1 16,0-1-16,28-26 0,-28 26 15,0 1-15,30-27 16,-30 26-16,0 1 0,0-1 15,29-26-15,-29 28 0,0-2 16,0 1-16,29-27 16,-29 26-16,0 1 0,30-27 15,-30 26-15,0 1 0,0-1 16,29-26-16,-29 26 0,0 1 16,0-1-16,30-26 15,-30 27-15,0-1 0,0 2 16,29-28-16,-29 26 0,0 1 15,0-1-15,30-26 0,-30 27 0,0-1 16,0 0-16,29-26 16,-29 27-16,0-1 15,0 1-15,30-27 0,-30 26 16,0 1-16,0-1 16,29-26-16,-29 28 0,0-2 15,30 1 1,-30-1-16,0 0 15,29-26-15,-29 27 16,0-1-16,30-26 16,-30 27-16,0-1 15,29-26-15,-29 27 16,0-1 0,29-26-16,-29 27 15,30-27 1,-30 26-16,0 2 15,29-28-15,-29 26 16,30-26 0,-30 27-16,0-1 15,29-26 1,-29 26 0,30-26-1,-30 27-15,29-27 16,-29 26-16,30-26 31,-30 27-31,29-27 31,-29 26-31,30-26 32,-30 27-17,29-27 1,-29 26-1,30-26 1,-30 27 0,29-27-16,-29 26 31,28-26-31,2 0 31,-30 28-31,29-28 16,-29 26-1,30-26-15,-1 0 32,-29 27-32,30-27 15,-1 0 1,-29 26-16,30-26 16,-1 0-1,-29 26 1,30-26-1,-1 0 1,-29 27 0,29-27-16,1 0 15,-1 0 1,1 26 0,-1-26-1,1 0 1,-1 0 15,1 0 16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5.84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476 930 0,'0'26'125,"31"-26"-125,-31 27 16,0 0-1,29-27-15,-29 27 16,0-1-16,0 1 15,30-27-15,-30 26 16,0 0 0,0 1-16,30-27 15,-30 26-15,0 2 16,0-2 0,30-26-16,-30 27 0,0-1 15,0 1 1,0-1-16,29-26 15,-29 27-15,0-1 16,0 1 0,0 0-1,31-27 1,-31 26-16,0 1 16,0-1-1,0 1 1,0-1-1,0 1 17,0 0-17,0 0 17,29-27-32,-29 26 31,0 1 0,0-1 328,0 0-327,0 1-1,0-1 360,0 2-360,0-2 0,31-26-15,-31 27-1,0-1 17,0 1 14</inkml:trace>
  <inkml:trace contextRef="#ctx0" brushRef="#br0" timeOffset="1332">0 79 0,'0'27'47,"0"0"-31,0 0-1,0-1 1,0 0-16,0 1 16,0-1-1,0 1 1,0-1-16,0 2 16,0-2-1,0 1 1,0-1 15</inkml:trace>
  <inkml:trace contextRef="#ctx0" brushRef="#br0" timeOffset="3046">179 133 0,'0'-27'110,"0"0"-64,29 27-46,2-26 32,-2 26-17,1 0 17,0 0-17,0 0 48,-30 26-32,0 1-15,0 0-1,0 0-15,0-1 16,0 0-1,0 1 1,-30-27 0,30 26-1,-30-26-15,0 27 16,30-1 15,-29-26-31,29 28 375,-31-28-359,31 26 15,-29 1 16,58-27 156,-29-27-187,31 27-1,-2 0 17,1 0-17,0 0 1,-30 27-16,30-27 15,-30 26 1,29-26-16,2 0 47,-31 27-31,29-27 62</inkml:trace>
  <inkml:trace contextRef="#ctx0" brushRef="#br0" timeOffset="3488">686 399 0</inkml:trace>
  <inkml:trace contextRef="#ctx0" brushRef="#br0" timeOffset="4877">1043 186 0,'-29'0'109,"-2"0"-93,2 0 0,-2 0-1,2 0 1,-1 0 0,0 0-1,1 0 16,-1 0 16,30-27 125,30 27-172,-30-26 16,29 26-16,-29-27 15,30 27-15,0 0 16,-30-27-16,29 27 16,-29-26-16,31 26 15,-31-27 1,29 27-16,2 0 16,-31-26-1,29 26 16,1 0 94,-30 26-109,0 1 0,0-1-16,0 1 15,0 0 1,0-1-16,0 1 16,0-1-1,0 1-15,0-1 16,0 1-1,0-1 1,0 2 0</inkml:trace>
  <inkml:trace contextRef="#ctx0" brushRef="#br0" timeOffset="5934">1222 53 0,'29'0'31,"2"0"-16,-2 0-15,1 0 16,0 0 0,0 0-1,-1 0-15,2 0 16,-2 0 0,1 0-1,-30-27 1,30 27-16,-1 0 15,-29 27 110,0-1-109,0 1-16,-29-27 16,29 27-16,0-1 15,-30-26-15,30 27 0,0-1 16,-30-26-16,30 27 0,0-1 16,-29-26-1,29 27-15,0-1 16,0 2 78,-31-28-94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54.97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2152 0,'0'-27'94,"29"27"-78,-29-26-1,28 26 1,-28-27-1,28 27-15,-28-26 16,28 26 0,-28-28-16,0 2 15,29 26-15,-29-27 16,28 27 0,-28-26-1,28 0 1,-28-1-1,28 27-15,-28-26 16,29 26 0,-29-27-16,0 1 15,28 26-15,-28-28 16,27 28 0,-27-26-16,29 26 15,-29-27-15,0 1 16,28 26-1,-28-27-15,29 27 16,-29-26-16,28 26 31,-28-27-31,0 1 16,28 26 0,-28-26-16,28 26 15,-28-28-15,29 2 31,-29-1-15,28 27-16,-28-26 16,28 26-1,-28-27-15,0 1 16,28 26 0,-28-27-16,28 27 15,-28-26-15,0-1 16,29 27-1,-29-27-15,0 1 32,27 26-32,-27-27 0,0 1 15,29 26 1,-29-27-16,28 27 16,-28-26-16,0-1 31,29 27-16,-29-26-15,0-1 16,28 27 0,-28-27-1,28 27 1,-28-27-16,0 1 31,28 26-31,-28-26 31,29 26-15,-29-27 0,0 1 46,28 26-62,-28-27 266,28 27-47</inkml:trace>
  <inkml:trace contextRef="#ctx0" brushRef="#br0" timeOffset="1809">650 186 0,'0'-27'0,"0"1"31,0-2 0,0 2 1,27 26-17,-27-27 1,29 27 0,-1 0-1,-28-26 1,29 26-16,-1 0 31,0 0-15,0 0-1,1 0 17,-1 0-17,-28 26 1,0 1-1,28-27-15,-28 26 32,0 2-17,28-28-15,-28 26 16,0 1 0,0-1-1,0 1 1,0-1-16,-28-26 15,28 27-15,-28-1 16,0-26 0,-1 27-1,29 0-15,-28-27 0,28 26 16,-28-26-16,0 0 31,-1 0-15,29 27-1,-28-27-15,-1 0 32,58 0 124,-1 0-125,1 0-15,-1 0-16,0 0 15,0 0-15,1 0 16,-1 0 0,0 0-16,-28 26 15,28-26-15,0 0 16,-28 27-16,29-27 16,-2 0-1,-27 26 1,29-26-1,-1 0 17</inkml:trace>
  <inkml:trace contextRef="#ctx0" brushRef="#br0" timeOffset="3374">1384 79 0,'-29'0'16,"1"0"15,-1 0-15,2 0-1,-1 0 17,28 26-17,0 2 17,0-2-17,0 1 16,0-1-15,28-26 0,-28 27-1,27-27-15,2 0 16,-1 0 0,-28 26-16,29-26 0,-2 0 15,2 0-15,-29 27 16,28-27-16,1 0 15,-1 0 1,-28 26-16,28-26 47,-28 27-31,0 0 15,0-1-16,0 1 17,-28-27-17,28 26-15,-28-26 16,-1 0 0,1 0-1,28 27-15,-29-27 16,2 0-1,-2 0 32,29-27-31,0 1 0,0-1-1,0 1 16,0-1 1,29 27-32,-2 0 15,-27-27-15,29 27 16,-1 0 0,-28-26-16,29 26 0,-29-27 15,28 27-15,-28-26 16,28 26-16,-28-27 15,28 27 1,-28-26 0,0-1-1,0 1 1,0-2 15,-28 2-15,0 26 15,28-27-31,-28 27 16,-1 0-1,29-26-15,-28 26 16,-1 0 0,2 0-1</inkml:trace>
  <inkml:trace contextRef="#ctx0" brushRef="#br0" timeOffset="5001">1920 105 0,'-28'0'63,"0"0"-48,-1 0 1,1 0 15,-1 0-15,29 28-16,0-2 31,-27-26-31,27 27 31,0-1-15,0 1 15,27-27-31,2 0 16,-29 26-16,28-26 15,1 0 1,-29 27-16,28-27 0,0 0 16,0 0-16,-28 26 15,29-26-15,-1 0 16,-28 26-16,27-26 15,2 0 1,-29 28-16,28-28 16,-28 26-1,0 1 17,0-1-1,0 1-16,-28-27 17,-1 0-17,2 0 1,-1 0 0,-1 0-1,1 0 1,0 0-1,28-27 32,0 1-15,0-1-17,28 27-15,-28-26 16,28 26-1,-28-28-15,29 28 16,-29-26-16,28 26 0,-28-26 0,27-1 16,-27 1-1,29 26-15,-29-27 16,28 27-16,-28-26 16,0-1-1,0 1 32,0-2-31,-28 28 15,28-26-31,-29 26 16,2 0 15,-1 0 0,-1 0-15,1 0-1</inkml:trace>
  <inkml:trace contextRef="#ctx0" brushRef="#br0" timeOffset="5427">2428 0 0</inkml:trace>
  <inkml:trace contextRef="#ctx0" brushRef="#br0" timeOffset="7138">2823 52 0,'-28'0'47,"28"27"-32,-29-27-15,2 0 16,27 26-16,-29 2 15,29-2 17,-28-26-32,28 27 15,-28-27-15,28 26 16,-28-26-16,28 27 16,-28-27-1,28 26 1,-29-26-16,1 0 31,28 27-31,-29-27 16,29 26-16,-27-26 15,27 27 1,-29-27 0,29 27-1,-28-27-15,28 26 16,-29-26-16,29 27 15,-27-27-15,27 26 32,-29-26-32,29 27 15,-28-27 1,28 26 62,-28-26-31</inkml:trace>
  <inkml:trace contextRef="#ctx0" brushRef="#br0" timeOffset="7533">2795 478 0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4.20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399 379 0,'0'-27'94,"-36"27"-94,-1 0 15,37-27 1,-35 27 0,35-27-16,-37 27 15,37-28-15,-36 28 16,36-26-16,-37 26 0,37-28 16,-36 28-16,-1 0 15,37-27-15,-35 27 16,35-26-16,-37 26 15,37-28 1,-36 28 0,36-26-1</inkml:trace>
  <inkml:trace contextRef="#ctx0" brushRef="#br0" timeOffset="958">399 352 0,'37'0'141,"-37"-27"-110,36 27-15,-36-27-16,0-1 31,35 28-31,-35-26 16,37 26-1,-37-28-15,0 1 16,0 1-1,36 26-15,-36-28 16,0 2 0,37 26-16,-37-28 15,0 1 32,36 27-16,-36-27-15,0 0 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6.65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0 450 0,'0'-26'94,"0"-1"-94,0 1 16,0-1-1,0 1 1,0 0-16,0-1 16,0 1-16,0-1 15,0 1-15,27 26 0,-27-27 16,0 1-16,0-1 16,0 1-1,0-1 1,0 1 15,0-1-15</inkml:trace>
  <inkml:trace contextRef="#ctx0" brushRef="#br0" timeOffset="973">80 477 0,'-27'0'47,"54"0"0,-1 0-32,1 0-15,-1 0 16,-26-27-16,27 27 16,-1 0-16,0 0 15,-26-26-15,27 26 0,-1 0 16,1 0-16,-1-27 15,1 27 1,-1 0 0,-26-26-1,27 26 1,-1 0 15,1 0 79,-27-27-95,26 27 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B40F-FBAB-499D-86A2-AAF8F9A8A594}">
  <dimension ref="A2:R66"/>
  <sheetViews>
    <sheetView topLeftCell="A35" workbookViewId="0">
      <selection activeCell="S52" sqref="S52"/>
    </sheetView>
  </sheetViews>
  <sheetFormatPr defaultColWidth="8.85546875" defaultRowHeight="15" x14ac:dyDescent="0.25"/>
  <sheetData>
    <row r="2" spans="9:9" x14ac:dyDescent="0.25">
      <c r="I2" s="2" t="s">
        <v>0</v>
      </c>
    </row>
    <row r="3" spans="9:9" x14ac:dyDescent="0.25">
      <c r="I3" s="2" t="s">
        <v>10</v>
      </c>
    </row>
    <row r="5" spans="9:9" x14ac:dyDescent="0.25">
      <c r="I5" s="2" t="s">
        <v>3</v>
      </c>
    </row>
    <row r="6" spans="9:9" x14ac:dyDescent="0.25">
      <c r="I6" s="1" t="s">
        <v>1</v>
      </c>
    </row>
    <row r="7" spans="9:9" x14ac:dyDescent="0.25">
      <c r="I7" s="1" t="s">
        <v>2</v>
      </c>
    </row>
    <row r="8" spans="9:9" x14ac:dyDescent="0.25">
      <c r="I8" s="1" t="s">
        <v>7</v>
      </c>
    </row>
    <row r="9" spans="9:9" x14ac:dyDescent="0.25">
      <c r="I9" s="1">
        <f>146.41 + 266.2 + 242 + 330 + 300</f>
        <v>1284.6100000000001</v>
      </c>
    </row>
    <row r="12" spans="9:9" x14ac:dyDescent="0.25">
      <c r="I12" s="2" t="s">
        <v>4</v>
      </c>
    </row>
    <row r="13" spans="9:9" x14ac:dyDescent="0.25">
      <c r="I13" s="1" t="s">
        <v>5</v>
      </c>
    </row>
    <row r="14" spans="9:9" x14ac:dyDescent="0.25">
      <c r="I14" s="1" t="s">
        <v>6</v>
      </c>
    </row>
    <row r="15" spans="9:9" x14ac:dyDescent="0.25">
      <c r="I15">
        <f xml:space="preserve"> 292.82 + 605 + 300</f>
        <v>1197.82</v>
      </c>
    </row>
    <row r="17" spans="1:9" x14ac:dyDescent="0.25">
      <c r="I17" t="s">
        <v>8</v>
      </c>
    </row>
    <row r="18" spans="1:9" x14ac:dyDescent="0.25">
      <c r="I18" t="s">
        <v>9</v>
      </c>
    </row>
    <row r="20" spans="1:9" x14ac:dyDescent="0.25">
      <c r="I20" s="2" t="s">
        <v>11</v>
      </c>
    </row>
    <row r="22" spans="1:9" x14ac:dyDescent="0.25">
      <c r="A22" s="2" t="s">
        <v>17</v>
      </c>
      <c r="I22" s="2" t="s">
        <v>3</v>
      </c>
    </row>
    <row r="23" spans="1:9" x14ac:dyDescent="0.25">
      <c r="A23" t="s">
        <v>18</v>
      </c>
      <c r="I23" s="1" t="s">
        <v>12</v>
      </c>
    </row>
    <row r="24" spans="1:9" x14ac:dyDescent="0.25">
      <c r="A24" t="s">
        <v>19</v>
      </c>
      <c r="I24" s="1" t="s">
        <v>13</v>
      </c>
    </row>
    <row r="25" spans="1:9" x14ac:dyDescent="0.25">
      <c r="I25" s="1" t="s">
        <v>14</v>
      </c>
    </row>
    <row r="26" spans="1:9" x14ac:dyDescent="0.25">
      <c r="A26" s="2" t="s">
        <v>10</v>
      </c>
      <c r="D26" s="2" t="s">
        <v>11</v>
      </c>
      <c r="I26" s="1">
        <f xml:space="preserve"> 87.72 + 153.89 + 135 + 177.62 + 155.81</f>
        <v>710.04</v>
      </c>
    </row>
    <row r="27" spans="1:9" x14ac:dyDescent="0.25">
      <c r="A27" s="2" t="s">
        <v>22</v>
      </c>
      <c r="D27" s="2" t="s">
        <v>22</v>
      </c>
    </row>
    <row r="28" spans="1:9" x14ac:dyDescent="0.25">
      <c r="A28" s="1" t="s">
        <v>20</v>
      </c>
      <c r="D28" s="1" t="s">
        <v>26</v>
      </c>
      <c r="I28" s="2" t="s">
        <v>4</v>
      </c>
    </row>
    <row r="29" spans="1:9" x14ac:dyDescent="0.25">
      <c r="A29" s="1" t="s">
        <v>21</v>
      </c>
      <c r="D29" s="1" t="s">
        <v>27</v>
      </c>
      <c r="I29" s="1" t="s">
        <v>15</v>
      </c>
    </row>
    <row r="30" spans="1:9" x14ac:dyDescent="0.25">
      <c r="A30" s="1">
        <f xml:space="preserve"> 100 * 6.7424</f>
        <v>674.24</v>
      </c>
      <c r="D30" s="1">
        <f xml:space="preserve"> 100 * 3.3522</f>
        <v>335.21999999999997</v>
      </c>
      <c r="I30" s="1" t="s">
        <v>16</v>
      </c>
    </row>
    <row r="31" spans="1:9" x14ac:dyDescent="0.25">
      <c r="I31" s="1">
        <f>175.44 + 337.49 + 155.81</f>
        <v>668.74</v>
      </c>
    </row>
    <row r="32" spans="1:9" x14ac:dyDescent="0.25">
      <c r="A32" s="2" t="s">
        <v>23</v>
      </c>
      <c r="D32" s="2" t="s">
        <v>23</v>
      </c>
    </row>
    <row r="33" spans="1:11" x14ac:dyDescent="0.25">
      <c r="A33" s="1" t="s">
        <v>24</v>
      </c>
      <c r="D33" s="1" t="s">
        <v>28</v>
      </c>
      <c r="I33" t="s">
        <v>8</v>
      </c>
    </row>
    <row r="34" spans="1:11" x14ac:dyDescent="0.25">
      <c r="A34" s="1" t="s">
        <v>25</v>
      </c>
      <c r="D34" s="1" t="s">
        <v>29</v>
      </c>
      <c r="I34" t="s">
        <v>9</v>
      </c>
    </row>
    <row r="35" spans="1:11" x14ac:dyDescent="0.25">
      <c r="A35" s="1">
        <f xml:space="preserve"> 300 * 6.7424</f>
        <v>2022.72</v>
      </c>
      <c r="D35" s="1">
        <f xml:space="preserve"> 300 * 3.3522</f>
        <v>1005.66</v>
      </c>
    </row>
    <row r="38" spans="1:11" x14ac:dyDescent="0.25">
      <c r="A38" s="2" t="s">
        <v>30</v>
      </c>
    </row>
    <row r="39" spans="1:11" x14ac:dyDescent="0.25">
      <c r="A39" s="2" t="s">
        <v>31</v>
      </c>
      <c r="K39" s="55" t="s">
        <v>44</v>
      </c>
    </row>
    <row r="40" spans="1:11" x14ac:dyDescent="0.25">
      <c r="A40" s="2" t="s">
        <v>32</v>
      </c>
      <c r="K40" s="55" t="s">
        <v>45</v>
      </c>
    </row>
    <row r="42" spans="1:11" x14ac:dyDescent="0.25">
      <c r="A42" s="54" t="s">
        <v>33</v>
      </c>
      <c r="K42" s="54" t="s">
        <v>46</v>
      </c>
    </row>
    <row r="43" spans="1:11" x14ac:dyDescent="0.25">
      <c r="A43" s="54" t="s">
        <v>34</v>
      </c>
      <c r="K43" s="54" t="s">
        <v>47</v>
      </c>
    </row>
    <row r="44" spans="1:11" x14ac:dyDescent="0.25">
      <c r="A44" s="54" t="s">
        <v>35</v>
      </c>
      <c r="K44" s="54" t="s">
        <v>48</v>
      </c>
    </row>
    <row r="45" spans="1:11" x14ac:dyDescent="0.25">
      <c r="A45" s="54" t="s">
        <v>36</v>
      </c>
      <c r="K45" s="54" t="s">
        <v>49</v>
      </c>
    </row>
    <row r="46" spans="1:11" x14ac:dyDescent="0.25">
      <c r="A46" s="54" t="s">
        <v>37</v>
      </c>
      <c r="K46" s="54" t="s">
        <v>50</v>
      </c>
    </row>
    <row r="47" spans="1:11" x14ac:dyDescent="0.25">
      <c r="A47" s="54" t="s">
        <v>38</v>
      </c>
      <c r="K47" s="54" t="s">
        <v>51</v>
      </c>
    </row>
    <row r="48" spans="1:11" x14ac:dyDescent="0.25">
      <c r="A48" s="54" t="s">
        <v>39</v>
      </c>
      <c r="K48" s="54" t="s">
        <v>52</v>
      </c>
    </row>
    <row r="49" spans="1:18" x14ac:dyDescent="0.25">
      <c r="A49" s="54" t="s">
        <v>40</v>
      </c>
      <c r="K49" s="54" t="s">
        <v>53</v>
      </c>
    </row>
    <row r="50" spans="1:18" x14ac:dyDescent="0.25">
      <c r="A50" s="54" t="s">
        <v>41</v>
      </c>
      <c r="K50" s="54" t="s">
        <v>54</v>
      </c>
    </row>
    <row r="51" spans="1:18" x14ac:dyDescent="0.25">
      <c r="A51" s="54" t="s">
        <v>42</v>
      </c>
      <c r="K51" s="57" t="s">
        <v>580</v>
      </c>
      <c r="L51" s="57"/>
      <c r="M51" s="57"/>
      <c r="N51" s="57"/>
      <c r="O51" s="57"/>
      <c r="P51" s="57"/>
      <c r="Q51" s="57"/>
      <c r="R51" s="57"/>
    </row>
    <row r="52" spans="1:18" x14ac:dyDescent="0.25">
      <c r="A52" s="54" t="s">
        <v>43</v>
      </c>
      <c r="K52" s="54" t="s">
        <v>581</v>
      </c>
    </row>
    <row r="66" spans="1:1" x14ac:dyDescent="0.25">
      <c r="A66" s="56"/>
    </row>
  </sheetData>
  <mergeCells count="1">
    <mergeCell ref="K51:R5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E3BF-2343-4E74-BD4B-2C0869754C2D}">
  <dimension ref="B2:I49"/>
  <sheetViews>
    <sheetView workbookViewId="0">
      <selection activeCell="H67" sqref="H66:H67"/>
    </sheetView>
  </sheetViews>
  <sheetFormatPr defaultColWidth="8.85546875" defaultRowHeight="15" x14ac:dyDescent="0.25"/>
  <sheetData>
    <row r="2" spans="2:9" x14ac:dyDescent="0.25">
      <c r="B2" s="2" t="s">
        <v>17</v>
      </c>
      <c r="I2" s="2" t="s">
        <v>0</v>
      </c>
    </row>
    <row r="4" spans="2:9" x14ac:dyDescent="0.25">
      <c r="B4" t="s">
        <v>378</v>
      </c>
      <c r="I4" s="2" t="s">
        <v>346</v>
      </c>
    </row>
    <row r="5" spans="2:9" x14ac:dyDescent="0.25">
      <c r="I5" t="s">
        <v>347</v>
      </c>
    </row>
    <row r="6" spans="2:9" x14ac:dyDescent="0.25">
      <c r="B6" s="2" t="s">
        <v>372</v>
      </c>
    </row>
    <row r="7" spans="2:9" x14ac:dyDescent="0.25">
      <c r="I7" s="2" t="s">
        <v>348</v>
      </c>
    </row>
    <row r="8" spans="2:9" x14ac:dyDescent="0.25">
      <c r="B8" t="s">
        <v>377</v>
      </c>
      <c r="I8" s="1" t="s">
        <v>349</v>
      </c>
    </row>
    <row r="9" spans="2:9" x14ac:dyDescent="0.25">
      <c r="B9" t="s">
        <v>375</v>
      </c>
      <c r="I9" s="1" t="s">
        <v>350</v>
      </c>
    </row>
    <row r="10" spans="2:9" x14ac:dyDescent="0.25">
      <c r="I10" s="1" t="s">
        <v>351</v>
      </c>
    </row>
    <row r="11" spans="2:9" x14ac:dyDescent="0.25">
      <c r="B11" t="s">
        <v>376</v>
      </c>
    </row>
    <row r="12" spans="2:9" x14ac:dyDescent="0.25">
      <c r="I12" s="2" t="s">
        <v>352</v>
      </c>
    </row>
    <row r="13" spans="2:9" x14ac:dyDescent="0.25">
      <c r="B13" s="2" t="s">
        <v>373</v>
      </c>
      <c r="I13" t="s">
        <v>353</v>
      </c>
    </row>
    <row r="15" spans="2:9" x14ac:dyDescent="0.25">
      <c r="B15" s="1" t="s">
        <v>374</v>
      </c>
      <c r="I15" s="1" t="s">
        <v>354</v>
      </c>
    </row>
    <row r="18" spans="2:9" x14ac:dyDescent="0.25">
      <c r="B18" s="2" t="s">
        <v>379</v>
      </c>
      <c r="I18" s="2" t="s">
        <v>370</v>
      </c>
    </row>
    <row r="20" spans="2:9" x14ac:dyDescent="0.25">
      <c r="B20" s="2" t="s">
        <v>380</v>
      </c>
      <c r="I20" s="2" t="s">
        <v>355</v>
      </c>
    </row>
    <row r="21" spans="2:9" x14ac:dyDescent="0.25">
      <c r="B21" s="1" t="s">
        <v>381</v>
      </c>
      <c r="I21" t="s">
        <v>356</v>
      </c>
    </row>
    <row r="23" spans="2:9" x14ac:dyDescent="0.25">
      <c r="B23" s="2" t="s">
        <v>385</v>
      </c>
      <c r="I23" s="2" t="s">
        <v>357</v>
      </c>
    </row>
    <row r="24" spans="2:9" x14ac:dyDescent="0.25">
      <c r="I24" t="s">
        <v>358</v>
      </c>
    </row>
    <row r="25" spans="2:9" x14ac:dyDescent="0.25">
      <c r="B25" s="2" t="s">
        <v>382</v>
      </c>
    </row>
    <row r="26" spans="2:9" x14ac:dyDescent="0.25">
      <c r="B26" t="s">
        <v>383</v>
      </c>
      <c r="I26" s="2" t="s">
        <v>359</v>
      </c>
    </row>
    <row r="27" spans="2:9" x14ac:dyDescent="0.25">
      <c r="I27" t="s">
        <v>360</v>
      </c>
    </row>
    <row r="28" spans="2:9" x14ac:dyDescent="0.25">
      <c r="B28" s="1" t="s">
        <v>384</v>
      </c>
    </row>
    <row r="29" spans="2:9" x14ac:dyDescent="0.25">
      <c r="I29" s="2" t="s">
        <v>361</v>
      </c>
    </row>
    <row r="30" spans="2:9" x14ac:dyDescent="0.25">
      <c r="B30" t="s">
        <v>386</v>
      </c>
    </row>
    <row r="31" spans="2:9" x14ac:dyDescent="0.25">
      <c r="I31" s="1" t="s">
        <v>362</v>
      </c>
    </row>
    <row r="34" spans="2:9" x14ac:dyDescent="0.25">
      <c r="B34" s="2" t="s">
        <v>387</v>
      </c>
      <c r="I34" s="2" t="s">
        <v>371</v>
      </c>
    </row>
    <row r="36" spans="2:9" x14ac:dyDescent="0.25">
      <c r="B36" t="s">
        <v>388</v>
      </c>
      <c r="I36" s="2" t="s">
        <v>363</v>
      </c>
    </row>
    <row r="38" spans="2:9" x14ac:dyDescent="0.25">
      <c r="B38" t="s">
        <v>389</v>
      </c>
      <c r="I38" s="2" t="s">
        <v>364</v>
      </c>
    </row>
    <row r="39" spans="2:9" x14ac:dyDescent="0.25">
      <c r="B39" t="s">
        <v>390</v>
      </c>
    </row>
    <row r="40" spans="2:9" x14ac:dyDescent="0.25">
      <c r="I40" s="2" t="s">
        <v>365</v>
      </c>
    </row>
    <row r="41" spans="2:9" x14ac:dyDescent="0.25">
      <c r="B41" t="s">
        <v>391</v>
      </c>
      <c r="I41" s="1" t="s">
        <v>366</v>
      </c>
    </row>
    <row r="42" spans="2:9" x14ac:dyDescent="0.25">
      <c r="B42" s="1" t="s">
        <v>392</v>
      </c>
    </row>
    <row r="43" spans="2:9" x14ac:dyDescent="0.25">
      <c r="I43" s="2" t="s">
        <v>367</v>
      </c>
    </row>
    <row r="44" spans="2:9" x14ac:dyDescent="0.25">
      <c r="B44" t="s">
        <v>393</v>
      </c>
      <c r="I44" s="2" t="s">
        <v>368</v>
      </c>
    </row>
    <row r="46" spans="2:9" x14ac:dyDescent="0.25">
      <c r="B46" t="s">
        <v>394</v>
      </c>
      <c r="I46" s="2" t="s">
        <v>369</v>
      </c>
    </row>
    <row r="48" spans="2:9" x14ac:dyDescent="0.25">
      <c r="B48" t="s">
        <v>395</v>
      </c>
      <c r="I48" s="2">
        <f xml:space="preserve"> (110 - 3 - 30 - 20) / (30)</f>
        <v>1.9</v>
      </c>
    </row>
    <row r="49" spans="2:2" x14ac:dyDescent="0.25">
      <c r="B49" s="1" t="s">
        <v>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2DCF-F2C8-1A4D-BC9A-EFBCE1ECAC1F}">
  <dimension ref="A3:L61"/>
  <sheetViews>
    <sheetView topLeftCell="A31" zoomScale="145" zoomScaleNormal="147" workbookViewId="0">
      <selection activeCell="B46" sqref="B46"/>
    </sheetView>
  </sheetViews>
  <sheetFormatPr defaultColWidth="10.85546875" defaultRowHeight="15" x14ac:dyDescent="0.25"/>
  <cols>
    <col min="1" max="1" width="10.85546875" style="40"/>
    <col min="2" max="2" width="13.42578125" style="40" bestFit="1" customWidth="1"/>
    <col min="3" max="4" width="12.5703125" style="40" bestFit="1" customWidth="1"/>
    <col min="5" max="5" width="13.85546875" style="40" bestFit="1" customWidth="1"/>
    <col min="6" max="16384" width="10.85546875" style="40"/>
  </cols>
  <sheetData>
    <row r="3" spans="7:12" x14ac:dyDescent="0.25">
      <c r="G3" s="42" t="s">
        <v>397</v>
      </c>
    </row>
    <row r="4" spans="7:12" x14ac:dyDescent="0.25">
      <c r="G4" s="42" t="s">
        <v>398</v>
      </c>
    </row>
    <row r="6" spans="7:12" x14ac:dyDescent="0.25">
      <c r="G6" s="42" t="s">
        <v>399</v>
      </c>
    </row>
    <row r="8" spans="7:12" x14ac:dyDescent="0.25">
      <c r="G8" s="42" t="s">
        <v>400</v>
      </c>
    </row>
    <row r="9" spans="7:12" x14ac:dyDescent="0.25">
      <c r="G9" s="41" t="s">
        <v>401</v>
      </c>
      <c r="L9" s="42" t="s">
        <v>428</v>
      </c>
    </row>
    <row r="10" spans="7:12" x14ac:dyDescent="0.25">
      <c r="G10" s="41" t="s">
        <v>402</v>
      </c>
      <c r="L10" s="42" t="s">
        <v>429</v>
      </c>
    </row>
    <row r="11" spans="7:12" x14ac:dyDescent="0.25">
      <c r="G11" s="41" t="s">
        <v>403</v>
      </c>
    </row>
    <row r="13" spans="7:12" x14ac:dyDescent="0.25">
      <c r="G13" s="42" t="s">
        <v>404</v>
      </c>
    </row>
    <row r="14" spans="7:12" x14ac:dyDescent="0.25">
      <c r="G14" s="40" t="s">
        <v>405</v>
      </c>
    </row>
    <row r="16" spans="7:12" x14ac:dyDescent="0.25">
      <c r="G16" s="40" t="s">
        <v>406</v>
      </c>
    </row>
    <row r="17" spans="7:7" x14ac:dyDescent="0.25">
      <c r="G17" s="40" t="s">
        <v>407</v>
      </c>
    </row>
    <row r="18" spans="7:7" x14ac:dyDescent="0.25">
      <c r="G18" s="41" t="s">
        <v>408</v>
      </c>
    </row>
    <row r="21" spans="7:7" x14ac:dyDescent="0.25">
      <c r="G21" s="42" t="s">
        <v>409</v>
      </c>
    </row>
    <row r="23" spans="7:7" x14ac:dyDescent="0.25">
      <c r="G23" s="42" t="s">
        <v>400</v>
      </c>
    </row>
    <row r="24" spans="7:7" x14ac:dyDescent="0.25">
      <c r="G24" s="41" t="s">
        <v>410</v>
      </c>
    </row>
    <row r="25" spans="7:7" x14ac:dyDescent="0.25">
      <c r="G25" s="41" t="s">
        <v>430</v>
      </c>
    </row>
    <row r="26" spans="7:7" x14ac:dyDescent="0.25">
      <c r="G26" s="41" t="s">
        <v>411</v>
      </c>
    </row>
    <row r="27" spans="7:7" x14ac:dyDescent="0.25">
      <c r="G27" s="41" t="s">
        <v>412</v>
      </c>
    </row>
    <row r="34" spans="1:7" x14ac:dyDescent="0.25">
      <c r="A34" s="42" t="s">
        <v>413</v>
      </c>
      <c r="G34" s="42" t="s">
        <v>426</v>
      </c>
    </row>
    <row r="35" spans="1:7" x14ac:dyDescent="0.25">
      <c r="A35" s="42" t="s">
        <v>414</v>
      </c>
      <c r="G35" s="42" t="s">
        <v>427</v>
      </c>
    </row>
    <row r="37" spans="1:7" x14ac:dyDescent="0.25">
      <c r="B37" s="42" t="s">
        <v>58</v>
      </c>
      <c r="C37" s="42" t="s">
        <v>59</v>
      </c>
      <c r="D37" s="42" t="s">
        <v>60</v>
      </c>
      <c r="E37" s="42" t="s">
        <v>61</v>
      </c>
    </row>
    <row r="38" spans="1:7" x14ac:dyDescent="0.25">
      <c r="A38" s="40" t="s">
        <v>415</v>
      </c>
      <c r="B38" s="40">
        <v>800000</v>
      </c>
      <c r="C38" s="40">
        <v>900000</v>
      </c>
      <c r="D38" s="40">
        <v>1000000</v>
      </c>
      <c r="E38" s="40">
        <v>1100000</v>
      </c>
    </row>
    <row r="39" spans="1:7" x14ac:dyDescent="0.25">
      <c r="A39" s="42" t="s">
        <v>106</v>
      </c>
      <c r="B39" s="43">
        <f>10*B38</f>
        <v>8000000</v>
      </c>
      <c r="C39" s="40">
        <f>10.4*C38</f>
        <v>9360000</v>
      </c>
      <c r="D39" s="40">
        <f>10.816*D38</f>
        <v>10816000</v>
      </c>
      <c r="E39" s="40">
        <f>11.2484*E38</f>
        <v>12373240</v>
      </c>
    </row>
    <row r="40" spans="1:7" x14ac:dyDescent="0.25">
      <c r="A40" s="42" t="s">
        <v>416</v>
      </c>
      <c r="B40" s="40">
        <f>3.5*B38</f>
        <v>2800000</v>
      </c>
      <c r="C40" s="40">
        <f>(3.5*1.01)*C38</f>
        <v>3181500</v>
      </c>
      <c r="D40" s="40">
        <f>(3.535*1.01)*D38</f>
        <v>3570350.0000000005</v>
      </c>
      <c r="E40" s="40">
        <f>(3.5705*1.01)*E38</f>
        <v>3966825.5</v>
      </c>
    </row>
    <row r="41" spans="1:7" x14ac:dyDescent="0.25">
      <c r="A41" s="42" t="s">
        <v>417</v>
      </c>
      <c r="B41" s="40">
        <f>2*B38</f>
        <v>1600000</v>
      </c>
      <c r="C41" s="40">
        <f>(2*1.05)*C38</f>
        <v>1890000</v>
      </c>
      <c r="D41" s="40">
        <f>(2*(1.05+0.05))*D38</f>
        <v>2200000</v>
      </c>
      <c r="E41" s="40">
        <f>(2*(1.05+0.05+0.05))*E38</f>
        <v>2530000.0000000005</v>
      </c>
    </row>
    <row r="42" spans="1:7" x14ac:dyDescent="0.25">
      <c r="A42" s="42" t="s">
        <v>418</v>
      </c>
      <c r="B42" s="40">
        <f>450000-125000</f>
        <v>325000</v>
      </c>
      <c r="C42" s="40">
        <f>B42*1.03</f>
        <v>334750</v>
      </c>
      <c r="D42" s="40">
        <f>C42*1.03</f>
        <v>344792.5</v>
      </c>
      <c r="E42" s="40">
        <f>D42*1.03</f>
        <v>355136.27500000002</v>
      </c>
    </row>
    <row r="45" spans="1:7" x14ac:dyDescent="0.25">
      <c r="B45" s="42" t="s">
        <v>58</v>
      </c>
      <c r="C45" s="42" t="s">
        <v>59</v>
      </c>
      <c r="D45" s="42" t="s">
        <v>60</v>
      </c>
      <c r="E45" s="42" t="s">
        <v>61</v>
      </c>
    </row>
    <row r="46" spans="1:7" x14ac:dyDescent="0.25">
      <c r="A46" s="42" t="s">
        <v>68</v>
      </c>
      <c r="B46" s="43">
        <f>B39-B40-B41-B42</f>
        <v>3275000</v>
      </c>
      <c r="C46" s="43">
        <f t="shared" ref="C46:E46" si="0">C39-C40-C41-C42</f>
        <v>3953750</v>
      </c>
      <c r="D46" s="43">
        <f t="shared" si="0"/>
        <v>4700857.5</v>
      </c>
      <c r="E46" s="43">
        <f t="shared" si="0"/>
        <v>5521278.2249999996</v>
      </c>
    </row>
    <row r="47" spans="1:7" x14ac:dyDescent="0.25">
      <c r="A47" s="42" t="s">
        <v>420</v>
      </c>
      <c r="B47" s="40">
        <f>0.25*9500000</f>
        <v>2375000</v>
      </c>
      <c r="C47" s="40">
        <f>B47*0.75</f>
        <v>1781250</v>
      </c>
      <c r="D47" s="40">
        <f>C47*0.75</f>
        <v>1335937.5</v>
      </c>
      <c r="E47" s="44">
        <f>D47*0.75+(0.25*E46)</f>
        <v>2382272.6812499999</v>
      </c>
    </row>
    <row r="48" spans="1:7" x14ac:dyDescent="0.25">
      <c r="A48" s="42" t="s">
        <v>419</v>
      </c>
      <c r="B48" s="43">
        <f>B46-B47</f>
        <v>900000</v>
      </c>
      <c r="C48" s="43">
        <f t="shared" ref="C48:E48" si="1">C46-C47</f>
        <v>2172500</v>
      </c>
      <c r="D48" s="43">
        <f t="shared" si="1"/>
        <v>3364920</v>
      </c>
      <c r="E48" s="43">
        <f t="shared" si="1"/>
        <v>3139005.5437499997</v>
      </c>
    </row>
    <row r="49" spans="1:7" x14ac:dyDescent="0.25">
      <c r="A49" s="42" t="s">
        <v>130</v>
      </c>
      <c r="B49" s="45">
        <f>(0.2*B48)</f>
        <v>180000</v>
      </c>
      <c r="C49" s="45">
        <f t="shared" ref="C49:E49" si="2">(0.2*C48)</f>
        <v>434500</v>
      </c>
      <c r="D49" s="45">
        <f t="shared" si="2"/>
        <v>672984</v>
      </c>
      <c r="E49" s="45">
        <f t="shared" si="2"/>
        <v>627801.10875000001</v>
      </c>
    </row>
    <row r="52" spans="1:7" x14ac:dyDescent="0.25">
      <c r="B52" s="42" t="s">
        <v>58</v>
      </c>
      <c r="C52" s="42" t="s">
        <v>59</v>
      </c>
      <c r="D52" s="42" t="s">
        <v>60</v>
      </c>
      <c r="E52" s="42" t="s">
        <v>61</v>
      </c>
    </row>
    <row r="53" spans="1:7" x14ac:dyDescent="0.25">
      <c r="A53" s="42" t="s">
        <v>68</v>
      </c>
      <c r="B53" s="43">
        <f>B46-B49</f>
        <v>3095000</v>
      </c>
      <c r="C53" s="43">
        <f t="shared" ref="C53:D53" si="3">C46-C49</f>
        <v>3519250</v>
      </c>
      <c r="D53" s="43">
        <f t="shared" si="3"/>
        <v>4027873.5</v>
      </c>
      <c r="E53" s="43">
        <f>E46-E49</f>
        <v>4893477.11625</v>
      </c>
    </row>
    <row r="54" spans="1:7" x14ac:dyDescent="0.25">
      <c r="A54" s="42" t="s">
        <v>421</v>
      </c>
      <c r="E54" s="44">
        <v>1375000</v>
      </c>
      <c r="G54" s="42" t="s">
        <v>431</v>
      </c>
    </row>
    <row r="55" spans="1:7" x14ac:dyDescent="0.25">
      <c r="A55" s="42" t="s">
        <v>422</v>
      </c>
      <c r="B55" s="43">
        <f>B53-B54</f>
        <v>3095000</v>
      </c>
      <c r="C55" s="43">
        <f t="shared" ref="C55:D55" si="4">C53-C54</f>
        <v>3519250</v>
      </c>
      <c r="D55" s="43">
        <f t="shared" si="4"/>
        <v>4027873.5</v>
      </c>
      <c r="E55" s="43">
        <f>E53+E54</f>
        <v>6268477.11625</v>
      </c>
      <c r="G55" s="40" t="s">
        <v>432</v>
      </c>
    </row>
    <row r="56" spans="1:7" x14ac:dyDescent="0.25">
      <c r="A56" s="42" t="s">
        <v>423</v>
      </c>
      <c r="B56" s="40">
        <f>1/(1+0.11)^1</f>
        <v>0.9009009009009008</v>
      </c>
      <c r="C56" s="40">
        <f>1/(1+0.11)^2</f>
        <v>0.8116224332440547</v>
      </c>
      <c r="D56" s="40">
        <f>1/(1+0.11)^3</f>
        <v>0.73119138130095018</v>
      </c>
      <c r="E56" s="40">
        <f>1/(1+0.11)^4</f>
        <v>0.65873097414500015</v>
      </c>
    </row>
    <row r="57" spans="1:7" x14ac:dyDescent="0.25">
      <c r="A57" s="42" t="s">
        <v>424</v>
      </c>
      <c r="B57" s="44">
        <f>B55*B56</f>
        <v>2788288.2882882878</v>
      </c>
      <c r="C57" s="44">
        <f t="shared" ref="C57:E57" si="5">C55*C56</f>
        <v>2856302.2481941395</v>
      </c>
      <c r="D57" s="44">
        <f t="shared" si="5"/>
        <v>2945146.3881704928</v>
      </c>
      <c r="E57" s="44">
        <f t="shared" si="5"/>
        <v>4129240.037193004</v>
      </c>
      <c r="G57" s="40" t="s">
        <v>433</v>
      </c>
    </row>
    <row r="58" spans="1:7" x14ac:dyDescent="0.25">
      <c r="G58" s="40" t="s">
        <v>434</v>
      </c>
    </row>
    <row r="59" spans="1:7" x14ac:dyDescent="0.25">
      <c r="A59" s="42" t="s">
        <v>425</v>
      </c>
      <c r="B59" s="44">
        <f>B57+C57+D57+E57</f>
        <v>12718976.961845923</v>
      </c>
    </row>
    <row r="60" spans="1:7" x14ac:dyDescent="0.25">
      <c r="A60" s="42" t="s">
        <v>115</v>
      </c>
      <c r="B60" s="43">
        <v>9500000</v>
      </c>
    </row>
    <row r="61" spans="1:7" x14ac:dyDescent="0.25">
      <c r="A61" s="42" t="s">
        <v>88</v>
      </c>
      <c r="B61" s="44">
        <f>B59-B60</f>
        <v>3218976.9618459232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FBCE-DA46-4952-8AAA-B3F9ED31A3BE}">
  <dimension ref="A2:S113"/>
  <sheetViews>
    <sheetView topLeftCell="A75" zoomScale="94" workbookViewId="0">
      <selection activeCell="H98" sqref="H98"/>
    </sheetView>
  </sheetViews>
  <sheetFormatPr defaultRowHeight="13.5" x14ac:dyDescent="0.25"/>
  <cols>
    <col min="1" max="3" width="9.140625" style="12"/>
    <col min="4" max="4" width="15.28515625" style="12" bestFit="1" customWidth="1"/>
    <col min="5" max="10" width="9.140625" style="12"/>
    <col min="11" max="11" width="15.28515625" style="12" bestFit="1" customWidth="1"/>
    <col min="12" max="16384" width="9.140625" style="12"/>
  </cols>
  <sheetData>
    <row r="2" spans="1:13" x14ac:dyDescent="0.25">
      <c r="A2" s="46" t="s">
        <v>435</v>
      </c>
    </row>
    <row r="4" spans="1:13" x14ac:dyDescent="0.25">
      <c r="A4" s="12" t="s">
        <v>436</v>
      </c>
    </row>
    <row r="5" spans="1:13" x14ac:dyDescent="0.25">
      <c r="A5" s="12" t="s">
        <v>437</v>
      </c>
    </row>
    <row r="6" spans="1:13" x14ac:dyDescent="0.25">
      <c r="A6" s="12" t="s">
        <v>438</v>
      </c>
    </row>
    <row r="7" spans="1:13" x14ac:dyDescent="0.25">
      <c r="A7" s="12" t="s">
        <v>439</v>
      </c>
    </row>
    <row r="8" spans="1:13" x14ac:dyDescent="0.25">
      <c r="A8" s="12" t="s">
        <v>440</v>
      </c>
    </row>
    <row r="10" spans="1:13" x14ac:dyDescent="0.25">
      <c r="A10" s="47" t="s">
        <v>441</v>
      </c>
      <c r="G10" s="47" t="s">
        <v>443</v>
      </c>
      <c r="M10" s="47" t="s">
        <v>450</v>
      </c>
    </row>
    <row r="11" spans="1:13" x14ac:dyDescent="0.25">
      <c r="A11" s="47" t="s">
        <v>442</v>
      </c>
      <c r="M11" s="47" t="s">
        <v>451</v>
      </c>
    </row>
    <row r="12" spans="1:13" x14ac:dyDescent="0.25">
      <c r="G12" s="12" t="s">
        <v>464</v>
      </c>
      <c r="M12" s="47" t="s">
        <v>452</v>
      </c>
    </row>
    <row r="13" spans="1:13" x14ac:dyDescent="0.25">
      <c r="A13" s="47" t="s">
        <v>463</v>
      </c>
      <c r="G13" s="48" t="s">
        <v>465</v>
      </c>
      <c r="M13" s="47" t="s">
        <v>453</v>
      </c>
    </row>
    <row r="14" spans="1:13" x14ac:dyDescent="0.25">
      <c r="M14" s="47" t="s">
        <v>454</v>
      </c>
    </row>
    <row r="15" spans="1:13" x14ac:dyDescent="0.25">
      <c r="A15" s="12" t="s">
        <v>457</v>
      </c>
      <c r="M15" s="47" t="s">
        <v>455</v>
      </c>
    </row>
    <row r="16" spans="1:13" x14ac:dyDescent="0.25">
      <c r="A16" s="48" t="s">
        <v>458</v>
      </c>
      <c r="G16" s="47" t="s">
        <v>444</v>
      </c>
      <c r="M16" s="47" t="s">
        <v>456</v>
      </c>
    </row>
    <row r="17" spans="1:19" x14ac:dyDescent="0.25">
      <c r="G17" s="47" t="s">
        <v>445</v>
      </c>
    </row>
    <row r="18" spans="1:19" x14ac:dyDescent="0.25">
      <c r="A18" s="12" t="s">
        <v>459</v>
      </c>
      <c r="D18" s="12">
        <f>90</f>
        <v>90</v>
      </c>
      <c r="G18" s="47" t="s">
        <v>446</v>
      </c>
      <c r="M18" s="46" t="s">
        <v>507</v>
      </c>
    </row>
    <row r="19" spans="1:19" x14ac:dyDescent="0.25">
      <c r="A19" s="49" t="s">
        <v>460</v>
      </c>
      <c r="B19" s="49"/>
      <c r="D19" s="49">
        <f>-15</f>
        <v>-15</v>
      </c>
      <c r="G19" s="47" t="s">
        <v>447</v>
      </c>
    </row>
    <row r="20" spans="1:19" x14ac:dyDescent="0.25">
      <c r="A20" s="47" t="s">
        <v>461</v>
      </c>
      <c r="B20" s="47"/>
      <c r="C20" s="47"/>
      <c r="D20" s="47">
        <f>D18+D19</f>
        <v>75</v>
      </c>
      <c r="G20" s="47" t="s">
        <v>448</v>
      </c>
      <c r="M20" s="47" t="s">
        <v>486</v>
      </c>
      <c r="N20" s="47"/>
      <c r="O20" s="47" t="s">
        <v>134</v>
      </c>
      <c r="P20" s="47" t="s">
        <v>487</v>
      </c>
      <c r="Q20" s="47" t="s">
        <v>488</v>
      </c>
      <c r="R20" s="47"/>
      <c r="S20" s="47" t="s">
        <v>424</v>
      </c>
    </row>
    <row r="21" spans="1:19" x14ac:dyDescent="0.25">
      <c r="G21" s="47" t="s">
        <v>449</v>
      </c>
      <c r="M21" s="12" t="s">
        <v>489</v>
      </c>
      <c r="O21" s="12" t="s">
        <v>493</v>
      </c>
      <c r="P21" s="12" t="s">
        <v>495</v>
      </c>
      <c r="Q21" s="12" t="s">
        <v>497</v>
      </c>
      <c r="S21" s="48" t="s">
        <v>500</v>
      </c>
    </row>
    <row r="22" spans="1:19" x14ac:dyDescent="0.25">
      <c r="A22" s="47" t="s">
        <v>462</v>
      </c>
      <c r="B22" s="47"/>
      <c r="C22" s="47"/>
      <c r="D22" s="50">
        <f>D20*1000000</f>
        <v>75000000</v>
      </c>
      <c r="M22" s="12" t="s">
        <v>490</v>
      </c>
      <c r="O22" s="12" t="s">
        <v>494</v>
      </c>
      <c r="P22" s="12" t="s">
        <v>496</v>
      </c>
      <c r="Q22" s="12" t="s">
        <v>498</v>
      </c>
      <c r="S22" s="48" t="s">
        <v>499</v>
      </c>
    </row>
    <row r="23" spans="1:19" x14ac:dyDescent="0.25">
      <c r="G23" s="12" t="s">
        <v>466</v>
      </c>
      <c r="M23" s="47" t="s">
        <v>491</v>
      </c>
      <c r="S23" s="48" t="s">
        <v>501</v>
      </c>
    </row>
    <row r="24" spans="1:19" x14ac:dyDescent="0.25">
      <c r="G24" s="12" t="s">
        <v>467</v>
      </c>
    </row>
    <row r="25" spans="1:19" x14ac:dyDescent="0.25">
      <c r="G25" s="12" t="s">
        <v>468</v>
      </c>
      <c r="M25" s="47" t="s">
        <v>492</v>
      </c>
      <c r="S25" s="48" t="s">
        <v>502</v>
      </c>
    </row>
    <row r="26" spans="1:19" x14ac:dyDescent="0.25">
      <c r="G26" s="12" t="s">
        <v>469</v>
      </c>
    </row>
    <row r="27" spans="1:19" x14ac:dyDescent="0.25">
      <c r="M27" s="47" t="s">
        <v>503</v>
      </c>
    </row>
    <row r="28" spans="1:19" x14ac:dyDescent="0.25">
      <c r="G28" s="12" t="s">
        <v>470</v>
      </c>
      <c r="M28" s="12" t="s">
        <v>504</v>
      </c>
      <c r="Q28" s="47" t="s">
        <v>515</v>
      </c>
    </row>
    <row r="29" spans="1:19" x14ac:dyDescent="0.25">
      <c r="G29" s="12" t="s">
        <v>471</v>
      </c>
      <c r="Q29" s="47" t="s">
        <v>516</v>
      </c>
    </row>
    <row r="30" spans="1:19" x14ac:dyDescent="0.25">
      <c r="G30" s="12" t="s">
        <v>472</v>
      </c>
      <c r="M30" s="47" t="s">
        <v>505</v>
      </c>
    </row>
    <row r="31" spans="1:19" x14ac:dyDescent="0.25">
      <c r="G31" s="12" t="s">
        <v>473</v>
      </c>
      <c r="M31" s="12" t="s">
        <v>506</v>
      </c>
    </row>
    <row r="33" spans="1:19" x14ac:dyDescent="0.25">
      <c r="G33" s="12" t="s">
        <v>474</v>
      </c>
    </row>
    <row r="34" spans="1:19" x14ac:dyDescent="0.25">
      <c r="G34" s="12" t="s">
        <v>475</v>
      </c>
      <c r="M34" s="46" t="s">
        <v>508</v>
      </c>
    </row>
    <row r="35" spans="1:19" x14ac:dyDescent="0.25">
      <c r="G35" s="12" t="s">
        <v>476</v>
      </c>
    </row>
    <row r="36" spans="1:19" x14ac:dyDescent="0.25">
      <c r="M36" s="47" t="s">
        <v>486</v>
      </c>
      <c r="N36" s="47"/>
      <c r="O36" s="47" t="s">
        <v>134</v>
      </c>
      <c r="P36" s="47" t="s">
        <v>487</v>
      </c>
      <c r="Q36" s="47" t="s">
        <v>488</v>
      </c>
      <c r="R36" s="47"/>
      <c r="S36" s="47" t="s">
        <v>424</v>
      </c>
    </row>
    <row r="37" spans="1:19" x14ac:dyDescent="0.25">
      <c r="G37" s="12" t="s">
        <v>477</v>
      </c>
      <c r="M37" s="12" t="s">
        <v>487</v>
      </c>
      <c r="O37" s="12" t="s">
        <v>509</v>
      </c>
      <c r="P37" s="12" t="s">
        <v>495</v>
      </c>
      <c r="Q37" s="12" t="s">
        <v>510</v>
      </c>
      <c r="S37" s="48" t="s">
        <v>511</v>
      </c>
    </row>
    <row r="38" spans="1:19" x14ac:dyDescent="0.25">
      <c r="G38" s="12" t="s">
        <v>478</v>
      </c>
      <c r="M38" s="47" t="s">
        <v>491</v>
      </c>
      <c r="S38" s="48" t="s">
        <v>501</v>
      </c>
    </row>
    <row r="39" spans="1:19" x14ac:dyDescent="0.25">
      <c r="G39" s="12" t="s">
        <v>479</v>
      </c>
    </row>
    <row r="40" spans="1:19" x14ac:dyDescent="0.25">
      <c r="G40" s="12" t="s">
        <v>480</v>
      </c>
      <c r="M40" s="47" t="s">
        <v>492</v>
      </c>
      <c r="S40" s="48" t="s">
        <v>512</v>
      </c>
    </row>
    <row r="41" spans="1:19" x14ac:dyDescent="0.25">
      <c r="G41" s="12" t="s">
        <v>481</v>
      </c>
    </row>
    <row r="42" spans="1:19" x14ac:dyDescent="0.25">
      <c r="M42" s="47" t="s">
        <v>503</v>
      </c>
    </row>
    <row r="43" spans="1:19" x14ac:dyDescent="0.25">
      <c r="G43" s="12" t="s">
        <v>482</v>
      </c>
      <c r="M43" s="12" t="s">
        <v>513</v>
      </c>
      <c r="Q43" s="47" t="s">
        <v>515</v>
      </c>
    </row>
    <row r="44" spans="1:19" x14ac:dyDescent="0.25">
      <c r="G44" s="12" t="s">
        <v>483</v>
      </c>
      <c r="Q44" s="47" t="s">
        <v>516</v>
      </c>
    </row>
    <row r="45" spans="1:19" x14ac:dyDescent="0.25">
      <c r="G45" s="12" t="s">
        <v>484</v>
      </c>
      <c r="M45" s="47" t="s">
        <v>505</v>
      </c>
    </row>
    <row r="46" spans="1:19" x14ac:dyDescent="0.25">
      <c r="G46" s="12" t="s">
        <v>485</v>
      </c>
      <c r="M46" s="12" t="s">
        <v>514</v>
      </c>
    </row>
    <row r="48" spans="1:19" x14ac:dyDescent="0.25">
      <c r="A48" s="47" t="s">
        <v>517</v>
      </c>
    </row>
    <row r="50" spans="1:8" x14ac:dyDescent="0.25">
      <c r="A50" s="12" t="s">
        <v>518</v>
      </c>
    </row>
    <row r="51" spans="1:8" x14ac:dyDescent="0.25">
      <c r="A51" s="12" t="s">
        <v>519</v>
      </c>
    </row>
    <row r="52" spans="1:8" x14ac:dyDescent="0.25">
      <c r="A52" s="12" t="s">
        <v>520</v>
      </c>
    </row>
    <row r="53" spans="1:8" x14ac:dyDescent="0.25">
      <c r="A53" s="12" t="s">
        <v>521</v>
      </c>
    </row>
    <row r="54" spans="1:8" x14ac:dyDescent="0.25">
      <c r="A54" s="12" t="s">
        <v>522</v>
      </c>
    </row>
    <row r="55" spans="1:8" x14ac:dyDescent="0.25">
      <c r="A55" s="12" t="s">
        <v>523</v>
      </c>
    </row>
    <row r="56" spans="1:8" x14ac:dyDescent="0.25">
      <c r="A56" s="12" t="s">
        <v>524</v>
      </c>
    </row>
    <row r="57" spans="1:8" x14ac:dyDescent="0.25">
      <c r="A57" s="12" t="s">
        <v>525</v>
      </c>
    </row>
    <row r="58" spans="1:8" x14ac:dyDescent="0.25">
      <c r="A58" s="12" t="s">
        <v>526</v>
      </c>
    </row>
    <row r="59" spans="1:8" x14ac:dyDescent="0.25">
      <c r="A59" s="12" t="s">
        <v>527</v>
      </c>
    </row>
    <row r="60" spans="1:8" x14ac:dyDescent="0.25">
      <c r="A60" s="12" t="s">
        <v>528</v>
      </c>
    </row>
    <row r="61" spans="1:8" x14ac:dyDescent="0.25">
      <c r="A61" s="12" t="s">
        <v>529</v>
      </c>
    </row>
    <row r="63" spans="1:8" x14ac:dyDescent="0.25">
      <c r="A63" s="47" t="s">
        <v>530</v>
      </c>
      <c r="H63" s="47" t="s">
        <v>531</v>
      </c>
    </row>
    <row r="64" spans="1:8" x14ac:dyDescent="0.25">
      <c r="H64" s="47" t="s">
        <v>532</v>
      </c>
    </row>
    <row r="65" spans="1:12" x14ac:dyDescent="0.25">
      <c r="A65" s="47" t="s">
        <v>533</v>
      </c>
    </row>
    <row r="66" spans="1:12" x14ac:dyDescent="0.25">
      <c r="A66" s="12" t="s">
        <v>534</v>
      </c>
      <c r="H66" s="12" t="s">
        <v>536</v>
      </c>
      <c r="J66" s="12" t="s">
        <v>543</v>
      </c>
    </row>
    <row r="67" spans="1:12" x14ac:dyDescent="0.25">
      <c r="A67" s="12" t="s">
        <v>535</v>
      </c>
      <c r="H67" s="12" t="s">
        <v>536</v>
      </c>
      <c r="J67" s="12" t="s">
        <v>544</v>
      </c>
      <c r="L67" s="51">
        <v>100566</v>
      </c>
    </row>
    <row r="69" spans="1:12" x14ac:dyDescent="0.25">
      <c r="A69" s="47" t="s">
        <v>536</v>
      </c>
      <c r="C69" s="12" t="s">
        <v>539</v>
      </c>
      <c r="E69" s="51">
        <v>30000</v>
      </c>
      <c r="H69" s="12" t="s">
        <v>542</v>
      </c>
      <c r="J69" s="48" t="s">
        <v>545</v>
      </c>
    </row>
    <row r="70" spans="1:12" x14ac:dyDescent="0.25">
      <c r="A70" s="47" t="s">
        <v>537</v>
      </c>
      <c r="C70" s="12" t="s">
        <v>540</v>
      </c>
      <c r="E70" s="51">
        <v>-40000</v>
      </c>
      <c r="H70" s="12" t="s">
        <v>542</v>
      </c>
      <c r="J70" s="48" t="s">
        <v>546</v>
      </c>
      <c r="L70" s="48" t="s">
        <v>549</v>
      </c>
    </row>
    <row r="71" spans="1:12" x14ac:dyDescent="0.25">
      <c r="A71" s="47" t="s">
        <v>538</v>
      </c>
      <c r="C71" s="12" t="s">
        <v>541</v>
      </c>
      <c r="E71" s="51">
        <v>30000</v>
      </c>
    </row>
    <row r="72" spans="1:12" x14ac:dyDescent="0.25">
      <c r="H72" s="12" t="s">
        <v>538</v>
      </c>
      <c r="J72" s="12" t="s">
        <v>547</v>
      </c>
    </row>
    <row r="73" spans="1:12" x14ac:dyDescent="0.25">
      <c r="H73" s="12" t="s">
        <v>538</v>
      </c>
      <c r="J73" s="12" t="s">
        <v>548</v>
      </c>
      <c r="L73" s="48" t="s">
        <v>550</v>
      </c>
    </row>
    <row r="76" spans="1:12" x14ac:dyDescent="0.25">
      <c r="A76" s="47" t="s">
        <v>551</v>
      </c>
    </row>
    <row r="78" spans="1:12" x14ac:dyDescent="0.25">
      <c r="A78" s="12" t="s">
        <v>552</v>
      </c>
    </row>
    <row r="79" spans="1:12" x14ac:dyDescent="0.25">
      <c r="A79" s="12" t="s">
        <v>583</v>
      </c>
    </row>
    <row r="81" spans="1:8" x14ac:dyDescent="0.25">
      <c r="A81" s="47" t="s">
        <v>553</v>
      </c>
      <c r="B81" s="47"/>
      <c r="C81" s="47" t="s">
        <v>564</v>
      </c>
      <c r="D81" s="47"/>
      <c r="E81" s="47" t="s">
        <v>565</v>
      </c>
    </row>
    <row r="82" spans="1:8" x14ac:dyDescent="0.25">
      <c r="A82" s="12" t="s">
        <v>554</v>
      </c>
      <c r="C82" s="12">
        <v>560</v>
      </c>
      <c r="E82" s="12">
        <v>3000</v>
      </c>
    </row>
    <row r="83" spans="1:8" x14ac:dyDescent="0.25">
      <c r="A83" s="12" t="s">
        <v>555</v>
      </c>
      <c r="C83" s="12">
        <v>550</v>
      </c>
      <c r="E83" s="12">
        <v>2400</v>
      </c>
    </row>
    <row r="84" spans="1:8" x14ac:dyDescent="0.25">
      <c r="A84" s="12" t="s">
        <v>556</v>
      </c>
      <c r="C84" s="12">
        <v>600</v>
      </c>
      <c r="E84" s="12">
        <v>2500</v>
      </c>
    </row>
    <row r="85" spans="1:8" x14ac:dyDescent="0.25">
      <c r="A85" s="12" t="s">
        <v>557</v>
      </c>
      <c r="C85" s="12">
        <v>500</v>
      </c>
      <c r="E85" s="12">
        <v>2000</v>
      </c>
    </row>
    <row r="86" spans="1:8" x14ac:dyDescent="0.25">
      <c r="A86" s="12" t="s">
        <v>558</v>
      </c>
      <c r="C86" s="12">
        <v>450</v>
      </c>
      <c r="E86" s="12">
        <v>1850</v>
      </c>
    </row>
    <row r="87" spans="1:8" x14ac:dyDescent="0.25">
      <c r="A87" s="12" t="s">
        <v>559</v>
      </c>
      <c r="C87" s="12">
        <v>400</v>
      </c>
      <c r="E87" s="12">
        <v>1700</v>
      </c>
    </row>
    <row r="88" spans="1:8" x14ac:dyDescent="0.25">
      <c r="A88" s="12" t="s">
        <v>560</v>
      </c>
      <c r="C88" s="12">
        <v>250</v>
      </c>
      <c r="E88" s="12">
        <v>1300</v>
      </c>
    </row>
    <row r="89" spans="1:8" x14ac:dyDescent="0.25">
      <c r="A89" s="12" t="s">
        <v>561</v>
      </c>
      <c r="C89" s="12">
        <v>170</v>
      </c>
      <c r="E89" s="12">
        <v>1500</v>
      </c>
    </row>
    <row r="90" spans="1:8" x14ac:dyDescent="0.25">
      <c r="A90" s="12" t="s">
        <v>562</v>
      </c>
      <c r="C90" s="12">
        <v>130</v>
      </c>
      <c r="E90" s="12">
        <v>1300</v>
      </c>
    </row>
    <row r="91" spans="1:8" x14ac:dyDescent="0.25">
      <c r="A91" s="12" t="s">
        <v>563</v>
      </c>
      <c r="C91" s="12">
        <v>125</v>
      </c>
      <c r="E91" s="12">
        <v>1000</v>
      </c>
    </row>
    <row r="93" spans="1:8" x14ac:dyDescent="0.25">
      <c r="A93" s="47" t="s">
        <v>566</v>
      </c>
      <c r="H93" s="47" t="s">
        <v>568</v>
      </c>
    </row>
    <row r="94" spans="1:8" x14ac:dyDescent="0.25">
      <c r="A94" s="47" t="s">
        <v>567</v>
      </c>
      <c r="H94" s="47" t="s">
        <v>569</v>
      </c>
    </row>
    <row r="96" spans="1:8" x14ac:dyDescent="0.25">
      <c r="A96" s="12" t="s">
        <v>571</v>
      </c>
      <c r="H96" s="47" t="s">
        <v>585</v>
      </c>
    </row>
    <row r="97" spans="1:8" x14ac:dyDescent="0.25">
      <c r="A97" s="12" t="s">
        <v>570</v>
      </c>
    </row>
    <row r="98" spans="1:8" x14ac:dyDescent="0.25">
      <c r="H98" s="12" t="s">
        <v>586</v>
      </c>
    </row>
    <row r="99" spans="1:8" x14ac:dyDescent="0.25">
      <c r="A99" s="47" t="s">
        <v>572</v>
      </c>
      <c r="H99" s="12" t="s">
        <v>587</v>
      </c>
    </row>
    <row r="100" spans="1:8" x14ac:dyDescent="0.25">
      <c r="A100" s="53" t="s">
        <v>582</v>
      </c>
      <c r="C100" s="48" t="s">
        <v>575</v>
      </c>
      <c r="H100" s="12" t="s">
        <v>588</v>
      </c>
    </row>
    <row r="101" spans="1:8" x14ac:dyDescent="0.25">
      <c r="A101" s="52">
        <v>600</v>
      </c>
      <c r="H101" s="12" t="s">
        <v>589</v>
      </c>
    </row>
    <row r="102" spans="1:8" x14ac:dyDescent="0.25">
      <c r="H102" s="12" t="s">
        <v>590</v>
      </c>
    </row>
    <row r="103" spans="1:8" x14ac:dyDescent="0.25">
      <c r="H103" s="12" t="s">
        <v>591</v>
      </c>
    </row>
    <row r="104" spans="1:8" x14ac:dyDescent="0.25">
      <c r="A104" s="47" t="s">
        <v>573</v>
      </c>
    </row>
    <row r="105" spans="1:8" x14ac:dyDescent="0.25">
      <c r="A105" s="53" t="s">
        <v>576</v>
      </c>
      <c r="C105" s="48" t="s">
        <v>577</v>
      </c>
    </row>
    <row r="106" spans="1:8" x14ac:dyDescent="0.25">
      <c r="A106" s="52">
        <v>450</v>
      </c>
      <c r="H106" s="47" t="s">
        <v>592</v>
      </c>
    </row>
    <row r="108" spans="1:8" x14ac:dyDescent="0.25">
      <c r="H108" s="12" t="s">
        <v>593</v>
      </c>
    </row>
    <row r="109" spans="1:8" x14ac:dyDescent="0.25">
      <c r="A109" s="47" t="s">
        <v>574</v>
      </c>
      <c r="H109" s="12" t="s">
        <v>594</v>
      </c>
    </row>
    <row r="110" spans="1:8" x14ac:dyDescent="0.25">
      <c r="A110" s="53" t="s">
        <v>578</v>
      </c>
      <c r="C110" s="48" t="s">
        <v>579</v>
      </c>
      <c r="H110" s="12" t="s">
        <v>595</v>
      </c>
    </row>
    <row r="111" spans="1:8" x14ac:dyDescent="0.25">
      <c r="A111" s="52">
        <v>125</v>
      </c>
      <c r="H111" s="12" t="s">
        <v>596</v>
      </c>
    </row>
    <row r="112" spans="1:8" x14ac:dyDescent="0.25">
      <c r="H112" s="12" t="s">
        <v>597</v>
      </c>
    </row>
    <row r="113" spans="1:8" x14ac:dyDescent="0.25">
      <c r="A113" s="47" t="s">
        <v>584</v>
      </c>
      <c r="H113" s="12" t="s">
        <v>598</v>
      </c>
    </row>
  </sheetData>
  <phoneticPr fontId="4" type="noConversion"/>
  <pageMargins left="0.7" right="0.7" top="0.75" bottom="0.75" header="0.3" footer="0.3"/>
  <ignoredErrors>
    <ignoredError sqref="L70 L7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A832-9894-4ABA-AAA1-2D8560FD071C}">
  <dimension ref="A2:E60"/>
  <sheetViews>
    <sheetView tabSelected="1" workbookViewId="0">
      <selection activeCell="K8" sqref="K8"/>
    </sheetView>
  </sheetViews>
  <sheetFormatPr defaultRowHeight="15" x14ac:dyDescent="0.25"/>
  <sheetData>
    <row r="2" spans="1:5" x14ac:dyDescent="0.25">
      <c r="A2" s="2" t="s">
        <v>435</v>
      </c>
    </row>
    <row r="4" spans="1:5" x14ac:dyDescent="0.25">
      <c r="A4" t="s">
        <v>605</v>
      </c>
    </row>
    <row r="5" spans="1:5" x14ac:dyDescent="0.25">
      <c r="A5" t="s">
        <v>606</v>
      </c>
    </row>
    <row r="8" spans="1:5" x14ac:dyDescent="0.25">
      <c r="C8" t="s">
        <v>607</v>
      </c>
      <c r="D8" t="s">
        <v>608</v>
      </c>
      <c r="E8" t="s">
        <v>609</v>
      </c>
    </row>
    <row r="9" spans="1:5" x14ac:dyDescent="0.25">
      <c r="A9" t="s">
        <v>610</v>
      </c>
      <c r="C9" s="23">
        <v>0.15</v>
      </c>
      <c r="D9" s="23">
        <v>0.14000000000000001</v>
      </c>
      <c r="E9" s="23">
        <v>0.11</v>
      </c>
    </row>
    <row r="10" spans="1:5" x14ac:dyDescent="0.25">
      <c r="A10" t="s">
        <v>611</v>
      </c>
      <c r="C10">
        <v>1.6</v>
      </c>
      <c r="D10">
        <v>1.2</v>
      </c>
      <c r="E10">
        <v>1</v>
      </c>
    </row>
    <row r="12" spans="1:5" x14ac:dyDescent="0.25">
      <c r="A12" t="s">
        <v>612</v>
      </c>
    </row>
    <row r="13" spans="1:5" x14ac:dyDescent="0.25">
      <c r="A13" t="s">
        <v>613</v>
      </c>
    </row>
    <row r="15" spans="1:5" x14ac:dyDescent="0.25">
      <c r="A15" t="s">
        <v>614</v>
      </c>
    </row>
    <row r="16" spans="1:5" x14ac:dyDescent="0.25">
      <c r="A16" t="s">
        <v>615</v>
      </c>
    </row>
    <row r="19" spans="1:1" x14ac:dyDescent="0.25">
      <c r="A19" s="2" t="s">
        <v>616</v>
      </c>
    </row>
    <row r="21" spans="1:1" x14ac:dyDescent="0.25">
      <c r="A21" t="s">
        <v>600</v>
      </c>
    </row>
    <row r="22" spans="1:1" x14ac:dyDescent="0.25">
      <c r="A22" t="s">
        <v>599</v>
      </c>
    </row>
    <row r="23" spans="1:1" x14ac:dyDescent="0.25">
      <c r="A23" t="s">
        <v>601</v>
      </c>
    </row>
    <row r="25" spans="1:1" x14ac:dyDescent="0.25">
      <c r="A25" t="s">
        <v>604</v>
      </c>
    </row>
    <row r="26" spans="1:1" x14ac:dyDescent="0.25">
      <c r="A26" t="s">
        <v>603</v>
      </c>
    </row>
    <row r="27" spans="1:1" x14ac:dyDescent="0.25">
      <c r="A27" t="s">
        <v>602</v>
      </c>
    </row>
    <row r="29" spans="1:1" x14ac:dyDescent="0.25">
      <c r="A29" t="s">
        <v>618</v>
      </c>
    </row>
    <row r="30" spans="1:1" x14ac:dyDescent="0.25">
      <c r="A30" s="2" t="s">
        <v>622</v>
      </c>
    </row>
    <row r="32" spans="1:1" x14ac:dyDescent="0.25">
      <c r="A32" t="s">
        <v>621</v>
      </c>
    </row>
    <row r="33" spans="1:1" x14ac:dyDescent="0.25">
      <c r="A33" s="2" t="s">
        <v>617</v>
      </c>
    </row>
    <row r="35" spans="1:1" x14ac:dyDescent="0.25">
      <c r="A35" t="s">
        <v>620</v>
      </c>
    </row>
    <row r="36" spans="1:1" x14ac:dyDescent="0.25">
      <c r="A36" t="s">
        <v>619</v>
      </c>
    </row>
    <row r="56" spans="1:1" x14ac:dyDescent="0.25">
      <c r="A56" t="s">
        <v>623</v>
      </c>
    </row>
    <row r="58" spans="1:1" x14ac:dyDescent="0.25">
      <c r="A58" t="s">
        <v>624</v>
      </c>
    </row>
    <row r="60" spans="1:1" x14ac:dyDescent="0.25">
      <c r="A60" t="s">
        <v>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E11A-F8A1-4847-BD72-253A00C08179}">
  <dimension ref="A1:R52"/>
  <sheetViews>
    <sheetView zoomScaleNormal="100" workbookViewId="0">
      <selection activeCell="L40" sqref="L40"/>
    </sheetView>
  </sheetViews>
  <sheetFormatPr defaultColWidth="8.85546875" defaultRowHeight="15" x14ac:dyDescent="0.25"/>
  <cols>
    <col min="1" max="1" width="10.42578125" customWidth="1"/>
    <col min="2" max="2" width="10.140625" bestFit="1" customWidth="1"/>
    <col min="7" max="7" width="10.140625" bestFit="1" customWidth="1"/>
    <col min="11" max="12" width="10" bestFit="1" customWidth="1"/>
    <col min="16" max="16" width="10.140625" bestFit="1" customWidth="1"/>
  </cols>
  <sheetData>
    <row r="1" spans="1:12" x14ac:dyDescent="0.25">
      <c r="J1" s="2" t="s">
        <v>55</v>
      </c>
    </row>
    <row r="3" spans="1:12" x14ac:dyDescent="0.25">
      <c r="J3" t="s">
        <v>57</v>
      </c>
      <c r="K3" s="4">
        <v>-600000</v>
      </c>
      <c r="L3" s="4">
        <f>K3</f>
        <v>-600000</v>
      </c>
    </row>
    <row r="4" spans="1:12" x14ac:dyDescent="0.25">
      <c r="J4" t="s">
        <v>58</v>
      </c>
      <c r="K4" s="4">
        <v>175000</v>
      </c>
      <c r="L4" s="4">
        <f>L3+K4</f>
        <v>-425000</v>
      </c>
    </row>
    <row r="5" spans="1:12" x14ac:dyDescent="0.25">
      <c r="J5" t="s">
        <v>59</v>
      </c>
      <c r="K5" s="4">
        <v>175000</v>
      </c>
      <c r="L5" s="4">
        <f>L4+K5</f>
        <v>-250000</v>
      </c>
    </row>
    <row r="6" spans="1:12" x14ac:dyDescent="0.25">
      <c r="J6" t="s">
        <v>60</v>
      </c>
      <c r="K6" s="4">
        <v>175000</v>
      </c>
      <c r="L6" s="4">
        <f>L5+K6</f>
        <v>-75000</v>
      </c>
    </row>
    <row r="7" spans="1:12" x14ac:dyDescent="0.25">
      <c r="J7" t="s">
        <v>61</v>
      </c>
      <c r="K7" s="4">
        <v>175000</v>
      </c>
      <c r="L7" s="4">
        <f>L6+K7</f>
        <v>100000</v>
      </c>
    </row>
    <row r="9" spans="1:12" x14ac:dyDescent="0.25">
      <c r="J9" t="s">
        <v>62</v>
      </c>
    </row>
    <row r="10" spans="1:12" x14ac:dyDescent="0.25">
      <c r="J10" t="s">
        <v>63</v>
      </c>
    </row>
    <row r="13" spans="1:12" x14ac:dyDescent="0.25">
      <c r="J13" s="2" t="s">
        <v>56</v>
      </c>
    </row>
    <row r="15" spans="1:12" x14ac:dyDescent="0.25">
      <c r="J15" t="s">
        <v>57</v>
      </c>
      <c r="K15" s="4">
        <v>-500000</v>
      </c>
      <c r="L15">
        <f>K15</f>
        <v>-500000</v>
      </c>
    </row>
    <row r="16" spans="1:12" x14ac:dyDescent="0.25">
      <c r="A16" s="2" t="s">
        <v>77</v>
      </c>
      <c r="F16" s="2" t="s">
        <v>79</v>
      </c>
      <c r="J16" t="s">
        <v>58</v>
      </c>
      <c r="K16" s="4">
        <v>175000</v>
      </c>
      <c r="L16" s="4">
        <f>L15+K16</f>
        <v>-325000</v>
      </c>
    </row>
    <row r="17" spans="1:18" x14ac:dyDescent="0.25">
      <c r="J17" t="s">
        <v>59</v>
      </c>
      <c r="K17" s="4">
        <v>175000</v>
      </c>
      <c r="L17" s="4">
        <f>L16+K17</f>
        <v>-150000</v>
      </c>
    </row>
    <row r="18" spans="1:18" x14ac:dyDescent="0.25">
      <c r="A18" s="2" t="s">
        <v>67</v>
      </c>
      <c r="B18" s="2" t="s">
        <v>68</v>
      </c>
      <c r="C18" s="2" t="s">
        <v>69</v>
      </c>
      <c r="D18" s="2" t="s">
        <v>70</v>
      </c>
      <c r="F18" s="2" t="s">
        <v>67</v>
      </c>
      <c r="G18" s="2" t="s">
        <v>68</v>
      </c>
      <c r="H18" s="2" t="s">
        <v>69</v>
      </c>
      <c r="I18" s="2" t="s">
        <v>70</v>
      </c>
      <c r="J18" t="s">
        <v>60</v>
      </c>
      <c r="K18" s="4">
        <v>175000</v>
      </c>
      <c r="L18" s="4">
        <f>L17+K18</f>
        <v>25000</v>
      </c>
    </row>
    <row r="19" spans="1:18" x14ac:dyDescent="0.25">
      <c r="A19" t="s">
        <v>57</v>
      </c>
      <c r="B19" s="4">
        <v>-600000</v>
      </c>
      <c r="C19">
        <v>1</v>
      </c>
      <c r="D19">
        <f>B19*C19</f>
        <v>-600000</v>
      </c>
      <c r="F19" t="s">
        <v>57</v>
      </c>
      <c r="G19" s="4">
        <v>-500000</v>
      </c>
      <c r="H19">
        <v>1</v>
      </c>
      <c r="I19">
        <f>G19*H19</f>
        <v>-500000</v>
      </c>
    </row>
    <row r="20" spans="1:18" x14ac:dyDescent="0.25">
      <c r="A20" t="s">
        <v>78</v>
      </c>
      <c r="B20" s="4">
        <v>175000</v>
      </c>
      <c r="C20">
        <v>3.161</v>
      </c>
      <c r="D20">
        <f t="shared" ref="D20:D21" si="0">B20*C20</f>
        <v>553175</v>
      </c>
      <c r="F20" t="s">
        <v>80</v>
      </c>
      <c r="G20" s="4">
        <v>175000</v>
      </c>
      <c r="H20">
        <v>2.4359999999999999</v>
      </c>
      <c r="I20">
        <f t="shared" ref="I20:I21" si="1">G20*H20</f>
        <v>426300</v>
      </c>
      <c r="J20" t="s">
        <v>64</v>
      </c>
    </row>
    <row r="21" spans="1:18" x14ac:dyDescent="0.25">
      <c r="A21" t="s">
        <v>74</v>
      </c>
      <c r="B21" s="4">
        <v>225000</v>
      </c>
      <c r="C21" s="6">
        <v>0.16800000000000001</v>
      </c>
      <c r="D21" s="6">
        <f t="shared" si="0"/>
        <v>37800</v>
      </c>
      <c r="F21" t="s">
        <v>72</v>
      </c>
      <c r="G21" s="4">
        <v>185000</v>
      </c>
      <c r="H21" s="6">
        <v>0.20699999999999999</v>
      </c>
      <c r="I21" s="6">
        <f t="shared" si="1"/>
        <v>38295</v>
      </c>
      <c r="J21" t="s">
        <v>65</v>
      </c>
    </row>
    <row r="22" spans="1:18" x14ac:dyDescent="0.25">
      <c r="C22" s="2" t="s">
        <v>75</v>
      </c>
      <c r="D22" s="2">
        <f>SUM(D19:D21)</f>
        <v>-9025</v>
      </c>
      <c r="H22" s="2" t="s">
        <v>81</v>
      </c>
      <c r="I22" s="2">
        <f>SUM(I19:I21)</f>
        <v>-35405</v>
      </c>
    </row>
    <row r="24" spans="1:18" x14ac:dyDescent="0.25">
      <c r="J24" s="2" t="s">
        <v>66</v>
      </c>
      <c r="O24" s="2" t="s">
        <v>76</v>
      </c>
    </row>
    <row r="26" spans="1:18" x14ac:dyDescent="0.25">
      <c r="J26" s="2" t="s">
        <v>67</v>
      </c>
      <c r="K26" s="2" t="s">
        <v>68</v>
      </c>
      <c r="L26" s="2" t="s">
        <v>69</v>
      </c>
      <c r="M26" s="2" t="s">
        <v>70</v>
      </c>
      <c r="O26" s="2" t="s">
        <v>67</v>
      </c>
      <c r="P26" s="2" t="s">
        <v>68</v>
      </c>
      <c r="Q26" s="2" t="s">
        <v>69</v>
      </c>
      <c r="R26" s="2" t="s">
        <v>70</v>
      </c>
    </row>
    <row r="27" spans="1:18" x14ac:dyDescent="0.25">
      <c r="J27" t="s">
        <v>57</v>
      </c>
      <c r="K27" s="5">
        <v>-600000</v>
      </c>
      <c r="L27">
        <v>1</v>
      </c>
      <c r="M27" s="4">
        <v>-600000</v>
      </c>
      <c r="O27" t="s">
        <v>57</v>
      </c>
      <c r="P27" s="4">
        <v>-500000</v>
      </c>
      <c r="Q27">
        <v>1</v>
      </c>
      <c r="R27">
        <f>P27*Q27</f>
        <v>-500000</v>
      </c>
    </row>
    <row r="28" spans="1:18" x14ac:dyDescent="0.25">
      <c r="J28" t="s">
        <v>58</v>
      </c>
      <c r="K28" s="5">
        <v>175000</v>
      </c>
      <c r="L28">
        <v>0.89500000000000002</v>
      </c>
      <c r="M28">
        <f>K28*L28</f>
        <v>156625</v>
      </c>
      <c r="O28" t="s">
        <v>58</v>
      </c>
      <c r="P28" s="4">
        <v>175000</v>
      </c>
      <c r="Q28">
        <v>0.89500000000000002</v>
      </c>
      <c r="R28">
        <f t="shared" ref="R28:R33" si="2">P28*Q28</f>
        <v>156625</v>
      </c>
    </row>
    <row r="29" spans="1:18" x14ac:dyDescent="0.25">
      <c r="J29" t="s">
        <v>59</v>
      </c>
      <c r="K29" s="5">
        <v>175000</v>
      </c>
      <c r="L29">
        <v>0.79700000000000004</v>
      </c>
      <c r="M29">
        <f t="shared" ref="M29:M35" si="3">K29*L29</f>
        <v>139475</v>
      </c>
      <c r="O29" t="s">
        <v>59</v>
      </c>
      <c r="P29" s="4">
        <v>175000</v>
      </c>
      <c r="Q29">
        <v>0.79700000000000004</v>
      </c>
      <c r="R29">
        <f t="shared" si="2"/>
        <v>139475</v>
      </c>
    </row>
    <row r="30" spans="1:18" x14ac:dyDescent="0.25">
      <c r="A30" s="2" t="s">
        <v>11</v>
      </c>
      <c r="J30" t="s">
        <v>60</v>
      </c>
      <c r="K30" s="5">
        <v>175000</v>
      </c>
      <c r="L30">
        <v>0.71199999999999997</v>
      </c>
      <c r="M30">
        <f t="shared" si="3"/>
        <v>124600</v>
      </c>
      <c r="O30" t="s">
        <v>60</v>
      </c>
      <c r="P30" s="4">
        <v>175000</v>
      </c>
      <c r="Q30">
        <v>0.71199999999999997</v>
      </c>
      <c r="R30">
        <f t="shared" si="2"/>
        <v>124600</v>
      </c>
    </row>
    <row r="31" spans="1:18" x14ac:dyDescent="0.25">
      <c r="J31" t="s">
        <v>61</v>
      </c>
      <c r="K31" s="5">
        <v>175000</v>
      </c>
      <c r="L31">
        <v>0.63600000000000001</v>
      </c>
      <c r="M31">
        <f t="shared" si="3"/>
        <v>111300</v>
      </c>
      <c r="O31" t="s">
        <v>61</v>
      </c>
      <c r="P31" s="4">
        <v>175000</v>
      </c>
      <c r="Q31">
        <v>0.63600000000000001</v>
      </c>
      <c r="R31">
        <f t="shared" si="2"/>
        <v>111300</v>
      </c>
    </row>
    <row r="32" spans="1:18" x14ac:dyDescent="0.25">
      <c r="A32" t="s">
        <v>82</v>
      </c>
      <c r="J32" t="s">
        <v>71</v>
      </c>
      <c r="K32" s="5">
        <v>175000</v>
      </c>
      <c r="L32">
        <v>0.56699999999999995</v>
      </c>
      <c r="M32">
        <f t="shared" si="3"/>
        <v>99224.999999999985</v>
      </c>
      <c r="O32" t="s">
        <v>71</v>
      </c>
      <c r="P32" s="4">
        <v>175000</v>
      </c>
      <c r="Q32">
        <v>0.56699999999999995</v>
      </c>
      <c r="R32">
        <f t="shared" si="2"/>
        <v>99224.999999999985</v>
      </c>
    </row>
    <row r="33" spans="1:18" x14ac:dyDescent="0.25">
      <c r="A33" t="s">
        <v>83</v>
      </c>
      <c r="J33" t="s">
        <v>72</v>
      </c>
      <c r="K33" s="5">
        <v>175000</v>
      </c>
      <c r="L33">
        <v>0.50700000000000001</v>
      </c>
      <c r="M33">
        <f t="shared" si="3"/>
        <v>88725</v>
      </c>
      <c r="O33" t="s">
        <v>72</v>
      </c>
      <c r="P33" s="4">
        <v>185000</v>
      </c>
      <c r="Q33" s="6">
        <v>0.50700000000000001</v>
      </c>
      <c r="R33" s="6">
        <f t="shared" si="2"/>
        <v>93795</v>
      </c>
    </row>
    <row r="34" spans="1:18" x14ac:dyDescent="0.25">
      <c r="A34" t="s">
        <v>84</v>
      </c>
      <c r="J34" t="s">
        <v>73</v>
      </c>
      <c r="K34" s="5">
        <v>175000</v>
      </c>
      <c r="L34">
        <v>0.45200000000000001</v>
      </c>
      <c r="M34">
        <f t="shared" si="3"/>
        <v>79100</v>
      </c>
      <c r="Q34" t="s">
        <v>75</v>
      </c>
      <c r="R34">
        <f>SUM(R27:R33)</f>
        <v>225020</v>
      </c>
    </row>
    <row r="35" spans="1:18" x14ac:dyDescent="0.25">
      <c r="J35" t="s">
        <v>74</v>
      </c>
      <c r="K35" s="5">
        <v>225000</v>
      </c>
      <c r="L35" s="6">
        <v>0.40400000000000003</v>
      </c>
      <c r="M35" s="6">
        <f t="shared" si="3"/>
        <v>90900</v>
      </c>
    </row>
    <row r="36" spans="1:18" x14ac:dyDescent="0.25">
      <c r="A36" s="8"/>
      <c r="B36" s="9" t="s">
        <v>87</v>
      </c>
      <c r="C36" s="9" t="s">
        <v>88</v>
      </c>
      <c r="D36" s="9" t="s">
        <v>89</v>
      </c>
      <c r="L36" t="s">
        <v>75</v>
      </c>
      <c r="M36" s="4">
        <f>SUM(M27:M35)</f>
        <v>289950</v>
      </c>
    </row>
    <row r="37" spans="1:18" x14ac:dyDescent="0.25">
      <c r="A37" s="9" t="s">
        <v>85</v>
      </c>
      <c r="B37" s="8" t="s">
        <v>90</v>
      </c>
      <c r="C37" s="10">
        <v>289600</v>
      </c>
      <c r="D37" s="11">
        <v>0.24610000000000001</v>
      </c>
    </row>
    <row r="38" spans="1:18" x14ac:dyDescent="0.25">
      <c r="A38" s="9" t="s">
        <v>86</v>
      </c>
      <c r="B38" s="8" t="s">
        <v>91</v>
      </c>
      <c r="C38" s="10">
        <v>224670</v>
      </c>
      <c r="D38" s="11">
        <v>0.27550000000000002</v>
      </c>
    </row>
    <row r="40" spans="1:18" x14ac:dyDescent="0.25">
      <c r="A40" t="s">
        <v>103</v>
      </c>
    </row>
    <row r="41" spans="1:18" x14ac:dyDescent="0.25">
      <c r="A41" t="s">
        <v>92</v>
      </c>
    </row>
    <row r="42" spans="1:18" x14ac:dyDescent="0.25">
      <c r="A42" t="s">
        <v>93</v>
      </c>
    </row>
    <row r="44" spans="1:18" x14ac:dyDescent="0.25">
      <c r="A44" t="s">
        <v>94</v>
      </c>
    </row>
    <row r="45" spans="1:18" x14ac:dyDescent="0.25">
      <c r="A45" t="s">
        <v>95</v>
      </c>
    </row>
    <row r="46" spans="1:18" x14ac:dyDescent="0.25">
      <c r="A46" t="s">
        <v>96</v>
      </c>
    </row>
    <row r="47" spans="1:18" x14ac:dyDescent="0.25">
      <c r="A47" t="s">
        <v>97</v>
      </c>
    </row>
    <row r="48" spans="1:18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</sheetData>
  <phoneticPr fontId="4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C31C-6C70-435D-B4F5-3228FA19894A}">
  <dimension ref="J2:W65"/>
  <sheetViews>
    <sheetView topLeftCell="F1" zoomScaleNormal="100" workbookViewId="0">
      <selection activeCell="L21" sqref="L21"/>
    </sheetView>
  </sheetViews>
  <sheetFormatPr defaultColWidth="8.85546875" defaultRowHeight="15" x14ac:dyDescent="0.25"/>
  <sheetData>
    <row r="2" spans="10:22" x14ac:dyDescent="0.25">
      <c r="J2" s="2" t="s">
        <v>0</v>
      </c>
    </row>
    <row r="4" spans="10:22" x14ac:dyDescent="0.25">
      <c r="J4" t="s">
        <v>104</v>
      </c>
      <c r="Q4" t="s">
        <v>127</v>
      </c>
    </row>
    <row r="6" spans="10:22" ht="15.75" thickBot="1" x14ac:dyDescent="0.3">
      <c r="J6" s="60" t="s">
        <v>105</v>
      </c>
      <c r="K6" s="60"/>
      <c r="L6" s="60"/>
      <c r="M6" s="60"/>
      <c r="Q6" s="60" t="s">
        <v>130</v>
      </c>
      <c r="R6" s="60"/>
      <c r="S6" s="60"/>
      <c r="T6" s="60"/>
      <c r="U6" s="60"/>
      <c r="V6" s="60"/>
    </row>
    <row r="7" spans="10:22" x14ac:dyDescent="0.25">
      <c r="J7" t="s">
        <v>106</v>
      </c>
      <c r="L7" s="4">
        <v>120000</v>
      </c>
      <c r="S7" s="2" t="s">
        <v>58</v>
      </c>
      <c r="T7" s="2" t="s">
        <v>59</v>
      </c>
      <c r="U7" s="2" t="s">
        <v>60</v>
      </c>
      <c r="V7" s="2" t="s">
        <v>61</v>
      </c>
    </row>
    <row r="8" spans="10:22" x14ac:dyDescent="0.25">
      <c r="J8" t="s">
        <v>107</v>
      </c>
      <c r="L8" s="4">
        <v>-30000</v>
      </c>
      <c r="Q8" s="2" t="s">
        <v>68</v>
      </c>
      <c r="S8" s="4">
        <v>55000</v>
      </c>
      <c r="T8" s="4">
        <v>55000</v>
      </c>
      <c r="U8" s="4">
        <v>55000</v>
      </c>
      <c r="V8" s="4">
        <v>55000</v>
      </c>
    </row>
    <row r="9" spans="10:22" x14ac:dyDescent="0.25">
      <c r="J9" t="s">
        <v>108</v>
      </c>
      <c r="L9" s="4">
        <v>-15000</v>
      </c>
      <c r="Q9" s="2" t="s">
        <v>128</v>
      </c>
      <c r="S9" s="4">
        <f>-L22</f>
        <v>-15000</v>
      </c>
      <c r="T9">
        <f>-L25</f>
        <v>-11250</v>
      </c>
      <c r="U9">
        <f>-L28</f>
        <v>-8437.5</v>
      </c>
      <c r="V9" s="4">
        <f>L32</f>
        <v>2687.5</v>
      </c>
    </row>
    <row r="10" spans="10:22" x14ac:dyDescent="0.25">
      <c r="J10" t="s">
        <v>109</v>
      </c>
      <c r="L10" s="13">
        <v>-20000</v>
      </c>
      <c r="Q10" s="62" t="s">
        <v>131</v>
      </c>
      <c r="R10" s="62"/>
    </row>
    <row r="11" spans="10:22" x14ac:dyDescent="0.25">
      <c r="L11" s="4">
        <f>SUM(L7:L10)</f>
        <v>55000</v>
      </c>
      <c r="Q11" s="62"/>
      <c r="R11" s="62"/>
      <c r="S11" s="4">
        <f>S8+S9</f>
        <v>40000</v>
      </c>
      <c r="T11" s="4">
        <f t="shared" ref="T11:V11" si="0">T8+T9</f>
        <v>43750</v>
      </c>
      <c r="U11" s="4">
        <f t="shared" si="0"/>
        <v>46562.5</v>
      </c>
      <c r="V11" s="4">
        <f t="shared" si="0"/>
        <v>57687.5</v>
      </c>
    </row>
    <row r="12" spans="10:22" x14ac:dyDescent="0.25">
      <c r="Q12" s="2"/>
    </row>
    <row r="13" spans="10:22" x14ac:dyDescent="0.25">
      <c r="J13" t="s">
        <v>110</v>
      </c>
      <c r="Q13" s="2" t="s">
        <v>129</v>
      </c>
      <c r="S13">
        <f>S11*(30/100)</f>
        <v>12000</v>
      </c>
      <c r="T13">
        <f t="shared" ref="T13:V13" si="1">T11*(30/100)</f>
        <v>13125</v>
      </c>
      <c r="U13">
        <f t="shared" si="1"/>
        <v>13968.75</v>
      </c>
      <c r="V13">
        <f t="shared" si="1"/>
        <v>17306.25</v>
      </c>
    </row>
    <row r="14" spans="10:22" x14ac:dyDescent="0.25">
      <c r="J14" t="s">
        <v>111</v>
      </c>
    </row>
    <row r="16" spans="10:22" x14ac:dyDescent="0.25">
      <c r="J16" t="s">
        <v>112</v>
      </c>
      <c r="Q16" t="s">
        <v>132</v>
      </c>
    </row>
    <row r="17" spans="10:23" x14ac:dyDescent="0.25">
      <c r="J17" t="s">
        <v>113</v>
      </c>
    </row>
    <row r="18" spans="10:23" ht="15.75" thickBot="1" x14ac:dyDescent="0.3">
      <c r="J18" t="s">
        <v>114</v>
      </c>
      <c r="Q18" s="60" t="s">
        <v>133</v>
      </c>
      <c r="R18" s="60"/>
      <c r="S18" s="60"/>
      <c r="T18" s="60"/>
      <c r="U18" s="60"/>
      <c r="V18" s="60"/>
      <c r="W18" s="60"/>
    </row>
    <row r="19" spans="10:23" x14ac:dyDescent="0.25">
      <c r="Q19" s="2" t="s">
        <v>134</v>
      </c>
      <c r="R19" s="16"/>
      <c r="S19" s="17">
        <v>0</v>
      </c>
      <c r="T19" s="17">
        <v>1</v>
      </c>
      <c r="U19" s="17">
        <v>2</v>
      </c>
      <c r="V19" s="17">
        <v>3</v>
      </c>
      <c r="W19" s="17">
        <v>4</v>
      </c>
    </row>
    <row r="20" spans="10:23" ht="15.75" thickBot="1" x14ac:dyDescent="0.3">
      <c r="L20" s="60" t="s">
        <v>121</v>
      </c>
      <c r="M20" s="60"/>
      <c r="N20" s="60"/>
      <c r="Q20" s="2" t="s">
        <v>135</v>
      </c>
      <c r="R20" s="15"/>
      <c r="S20" s="4">
        <v>-60000</v>
      </c>
      <c r="W20" s="4">
        <v>28000</v>
      </c>
    </row>
    <row r="21" spans="10:23" x14ac:dyDescent="0.25">
      <c r="J21" t="s">
        <v>115</v>
      </c>
      <c r="L21" s="4">
        <v>60000</v>
      </c>
      <c r="Q21" s="2" t="s">
        <v>136</v>
      </c>
      <c r="R21" s="15"/>
      <c r="S21" s="4">
        <v>-10000</v>
      </c>
      <c r="W21" s="4">
        <v>10000</v>
      </c>
    </row>
    <row r="22" spans="10:23" x14ac:dyDescent="0.25">
      <c r="J22" t="s">
        <v>116</v>
      </c>
      <c r="L22" s="13">
        <v>15000</v>
      </c>
      <c r="M22" s="6"/>
      <c r="N22" s="1" t="s">
        <v>122</v>
      </c>
      <c r="Q22" s="2" t="s">
        <v>68</v>
      </c>
      <c r="R22" s="15"/>
      <c r="T22" s="4">
        <v>55000</v>
      </c>
      <c r="U22" s="4">
        <v>55000</v>
      </c>
      <c r="V22" s="4">
        <v>55000</v>
      </c>
      <c r="W22" s="4">
        <v>55000</v>
      </c>
    </row>
    <row r="23" spans="10:23" ht="15.75" thickBot="1" x14ac:dyDescent="0.3">
      <c r="J23" t="s">
        <v>117</v>
      </c>
      <c r="L23" s="4">
        <f>L21-L22</f>
        <v>45000</v>
      </c>
      <c r="Q23" s="2" t="s">
        <v>130</v>
      </c>
      <c r="R23" s="15"/>
      <c r="S23" s="20"/>
      <c r="T23" s="21">
        <v>-12000</v>
      </c>
      <c r="U23" s="18">
        <v>-13125</v>
      </c>
      <c r="V23" s="18">
        <f>-U13</f>
        <v>-13968.75</v>
      </c>
      <c r="W23" s="18">
        <f>-V13</f>
        <v>-17306.25</v>
      </c>
    </row>
    <row r="24" spans="10:23" x14ac:dyDescent="0.25">
      <c r="Q24" s="2" t="s">
        <v>137</v>
      </c>
      <c r="R24" s="15"/>
      <c r="S24" s="4">
        <f>SUM(S20:S23)</f>
        <v>-70000</v>
      </c>
      <c r="T24" s="4">
        <f t="shared" ref="T24:W24" si="2">SUM(T20:T23)</f>
        <v>43000</v>
      </c>
      <c r="U24" s="4">
        <f t="shared" si="2"/>
        <v>41875</v>
      </c>
      <c r="V24" s="4">
        <f t="shared" si="2"/>
        <v>41031.25</v>
      </c>
      <c r="W24" s="4">
        <f t="shared" si="2"/>
        <v>75693.75</v>
      </c>
    </row>
    <row r="25" spans="10:23" ht="15.75" thickBot="1" x14ac:dyDescent="0.3">
      <c r="J25" t="s">
        <v>118</v>
      </c>
      <c r="L25" s="6">
        <f>L23*(25/100)</f>
        <v>11250</v>
      </c>
      <c r="M25" s="6"/>
      <c r="N25" t="s">
        <v>123</v>
      </c>
      <c r="Q25" s="2" t="s">
        <v>138</v>
      </c>
      <c r="R25" s="15"/>
      <c r="S25" s="20">
        <v>1</v>
      </c>
      <c r="T25" s="18">
        <v>0.89300000000000002</v>
      </c>
      <c r="U25" s="18">
        <v>0.79700000000000004</v>
      </c>
      <c r="V25" s="18">
        <v>0.71199999999999997</v>
      </c>
      <c r="W25" s="19">
        <v>0.63600000000000001</v>
      </c>
    </row>
    <row r="26" spans="10:23" x14ac:dyDescent="0.25">
      <c r="J26" t="s">
        <v>117</v>
      </c>
      <c r="L26" s="4">
        <f>L23-L25</f>
        <v>33750</v>
      </c>
      <c r="Q26" s="2" t="s">
        <v>139</v>
      </c>
      <c r="R26" s="15"/>
      <c r="S26">
        <f>S24*S25</f>
        <v>-70000</v>
      </c>
      <c r="T26">
        <f t="shared" ref="T26:W26" si="3">T24*T25</f>
        <v>38399</v>
      </c>
      <c r="U26">
        <f t="shared" si="3"/>
        <v>33374.375</v>
      </c>
      <c r="V26">
        <f t="shared" si="3"/>
        <v>29214.25</v>
      </c>
      <c r="W26">
        <f t="shared" si="3"/>
        <v>48141.224999999999</v>
      </c>
    </row>
    <row r="27" spans="10:23" ht="15.75" thickBot="1" x14ac:dyDescent="0.3"/>
    <row r="28" spans="10:23" ht="15.75" thickBot="1" x14ac:dyDescent="0.3">
      <c r="J28" t="s">
        <v>119</v>
      </c>
      <c r="L28" s="6">
        <f>L26*(25/100)</f>
        <v>8437.5</v>
      </c>
      <c r="M28" s="6"/>
      <c r="N28" t="s">
        <v>125</v>
      </c>
      <c r="Q28" s="58" t="s">
        <v>88</v>
      </c>
      <c r="R28" s="59"/>
      <c r="S28" s="22">
        <f>SUM(S26:W26)</f>
        <v>79128.850000000006</v>
      </c>
    </row>
    <row r="29" spans="10:23" x14ac:dyDescent="0.25">
      <c r="J29" t="s">
        <v>117</v>
      </c>
      <c r="L29" s="4">
        <f>L26-L28</f>
        <v>25312.5</v>
      </c>
    </row>
    <row r="30" spans="10:23" x14ac:dyDescent="0.25">
      <c r="Q30" s="12" t="s">
        <v>140</v>
      </c>
    </row>
    <row r="31" spans="10:23" x14ac:dyDescent="0.25">
      <c r="J31" t="s">
        <v>124</v>
      </c>
      <c r="L31" s="13">
        <v>28000</v>
      </c>
      <c r="M31" s="6"/>
      <c r="N31" t="s">
        <v>126</v>
      </c>
      <c r="Q31" s="12" t="s">
        <v>141</v>
      </c>
    </row>
    <row r="32" spans="10:23" x14ac:dyDescent="0.25">
      <c r="J32" s="2" t="s">
        <v>120</v>
      </c>
      <c r="K32" s="2"/>
      <c r="L32" s="14">
        <f>L31-L29</f>
        <v>2687.5</v>
      </c>
      <c r="Q32" s="12" t="s">
        <v>142</v>
      </c>
    </row>
    <row r="33" spans="10:23" x14ac:dyDescent="0.25">
      <c r="Q33" s="12" t="s">
        <v>143</v>
      </c>
    </row>
    <row r="34" spans="10:23" x14ac:dyDescent="0.25">
      <c r="Q34" s="12" t="s">
        <v>144</v>
      </c>
    </row>
    <row r="35" spans="10:23" ht="15.75" x14ac:dyDescent="0.25">
      <c r="Q35" s="3"/>
    </row>
    <row r="36" spans="10:23" x14ac:dyDescent="0.25">
      <c r="J36" s="2" t="s">
        <v>17</v>
      </c>
      <c r="Q36" t="s">
        <v>152</v>
      </c>
    </row>
    <row r="37" spans="10:23" x14ac:dyDescent="0.25">
      <c r="Q37" t="s">
        <v>153</v>
      </c>
    </row>
    <row r="38" spans="10:23" x14ac:dyDescent="0.25">
      <c r="J38" t="s">
        <v>145</v>
      </c>
    </row>
    <row r="39" spans="10:23" x14ac:dyDescent="0.25">
      <c r="J39" t="s">
        <v>146</v>
      </c>
    </row>
    <row r="40" spans="10:23" x14ac:dyDescent="0.25">
      <c r="J40" t="s">
        <v>147</v>
      </c>
    </row>
    <row r="42" spans="10:23" ht="15.75" thickBot="1" x14ac:dyDescent="0.3">
      <c r="J42" s="60" t="s">
        <v>88</v>
      </c>
      <c r="K42" s="60"/>
      <c r="N42" t="s">
        <v>149</v>
      </c>
    </row>
    <row r="43" spans="10:23" x14ac:dyDescent="0.25">
      <c r="J43" s="23">
        <v>0.1</v>
      </c>
      <c r="K43">
        <v>-144</v>
      </c>
      <c r="N43" t="s">
        <v>150</v>
      </c>
    </row>
    <row r="44" spans="10:23" x14ac:dyDescent="0.25">
      <c r="J44" s="23">
        <v>0.2</v>
      </c>
      <c r="K44">
        <v>438</v>
      </c>
      <c r="N44" t="s">
        <v>151</v>
      </c>
    </row>
    <row r="45" spans="10:23" x14ac:dyDescent="0.25">
      <c r="J45" s="24">
        <v>0.25</v>
      </c>
      <c r="K45" s="2">
        <v>646</v>
      </c>
      <c r="L45" s="61" t="s">
        <v>148</v>
      </c>
      <c r="M45" s="61"/>
      <c r="Q45" t="s">
        <v>154</v>
      </c>
    </row>
    <row r="46" spans="10:23" x14ac:dyDescent="0.25">
      <c r="J46" s="23">
        <v>0.3</v>
      </c>
      <c r="K46">
        <v>813.6</v>
      </c>
      <c r="Q46" t="s">
        <v>155</v>
      </c>
    </row>
    <row r="47" spans="10:23" x14ac:dyDescent="0.25">
      <c r="J47" s="23">
        <v>0.6</v>
      </c>
      <c r="K47">
        <v>1270</v>
      </c>
      <c r="W47" t="s">
        <v>156</v>
      </c>
    </row>
    <row r="48" spans="10:23" x14ac:dyDescent="0.25">
      <c r="J48" s="23">
        <v>1.5</v>
      </c>
      <c r="K48">
        <v>902</v>
      </c>
      <c r="V48" s="1"/>
      <c r="W48" s="25" t="s">
        <v>157</v>
      </c>
    </row>
    <row r="49" spans="10:23" x14ac:dyDescent="0.25">
      <c r="J49" s="23">
        <v>2</v>
      </c>
      <c r="K49">
        <v>520</v>
      </c>
    </row>
    <row r="50" spans="10:23" x14ac:dyDescent="0.25">
      <c r="J50" s="23">
        <v>3</v>
      </c>
      <c r="K50">
        <v>-74</v>
      </c>
    </row>
    <row r="52" spans="10:23" x14ac:dyDescent="0.25">
      <c r="J52" t="s">
        <v>161</v>
      </c>
    </row>
    <row r="53" spans="10:23" x14ac:dyDescent="0.25">
      <c r="J53" t="s">
        <v>162</v>
      </c>
      <c r="W53" t="s">
        <v>158</v>
      </c>
    </row>
    <row r="54" spans="10:23" x14ac:dyDescent="0.25">
      <c r="J54" t="s">
        <v>163</v>
      </c>
      <c r="W54" t="s">
        <v>159</v>
      </c>
    </row>
    <row r="55" spans="10:23" x14ac:dyDescent="0.25">
      <c r="W55" t="s">
        <v>160</v>
      </c>
    </row>
    <row r="56" spans="10:23" ht="15.75" thickBot="1" x14ac:dyDescent="0.3">
      <c r="J56" s="60" t="s">
        <v>88</v>
      </c>
      <c r="K56" s="60"/>
    </row>
    <row r="57" spans="10:23" x14ac:dyDescent="0.25">
      <c r="J57" s="23">
        <v>0.1</v>
      </c>
      <c r="K57">
        <v>-314</v>
      </c>
    </row>
    <row r="58" spans="10:23" x14ac:dyDescent="0.25">
      <c r="J58" s="23">
        <v>0.2</v>
      </c>
      <c r="K58">
        <v>-222</v>
      </c>
    </row>
    <row r="59" spans="10:23" x14ac:dyDescent="0.25">
      <c r="J59" s="24">
        <v>0.25</v>
      </c>
      <c r="K59" s="2">
        <v>-200</v>
      </c>
      <c r="L59" s="61" t="s">
        <v>164</v>
      </c>
      <c r="M59" s="61"/>
    </row>
    <row r="60" spans="10:23" x14ac:dyDescent="0.25">
      <c r="J60" s="23">
        <v>0.3</v>
      </c>
      <c r="K60">
        <v>-189</v>
      </c>
    </row>
    <row r="61" spans="10:23" x14ac:dyDescent="0.25">
      <c r="J61" s="23">
        <v>0.4</v>
      </c>
      <c r="K61">
        <v>-193</v>
      </c>
    </row>
    <row r="63" spans="10:23" x14ac:dyDescent="0.25">
      <c r="J63" t="s">
        <v>165</v>
      </c>
    </row>
    <row r="64" spans="10:23" x14ac:dyDescent="0.25">
      <c r="J64" t="s">
        <v>166</v>
      </c>
    </row>
    <row r="65" spans="10:10" x14ac:dyDescent="0.25">
      <c r="J65" t="s">
        <v>167</v>
      </c>
    </row>
  </sheetData>
  <mergeCells count="10">
    <mergeCell ref="J6:M6"/>
    <mergeCell ref="L20:N20"/>
    <mergeCell ref="Q6:V6"/>
    <mergeCell ref="Q10:R11"/>
    <mergeCell ref="Q18:W18"/>
    <mergeCell ref="Q28:R28"/>
    <mergeCell ref="J42:K42"/>
    <mergeCell ref="L45:M45"/>
    <mergeCell ref="J56:K56"/>
    <mergeCell ref="L59:M59"/>
  </mergeCells>
  <pageMargins left="0.7" right="0.7" top="0.75" bottom="0.75" header="0.3" footer="0.3"/>
  <ignoredErrors>
    <ignoredError sqref="S24:W2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5ABB-07F7-4815-BFEB-0187F45BC072}">
  <dimension ref="A1:R60"/>
  <sheetViews>
    <sheetView workbookViewId="0">
      <selection activeCell="C60" sqref="C60"/>
    </sheetView>
  </sheetViews>
  <sheetFormatPr defaultColWidth="8.85546875" defaultRowHeight="15" x14ac:dyDescent="0.25"/>
  <cols>
    <col min="11" max="11" width="10.42578125" bestFit="1" customWidth="1"/>
    <col min="13" max="13" width="10.140625" bestFit="1" customWidth="1"/>
  </cols>
  <sheetData>
    <row r="1" spans="10:18" x14ac:dyDescent="0.25">
      <c r="J1" s="2" t="s">
        <v>0</v>
      </c>
    </row>
    <row r="3" spans="10:18" x14ac:dyDescent="0.25">
      <c r="J3" s="2" t="s">
        <v>168</v>
      </c>
      <c r="O3" t="s">
        <v>176</v>
      </c>
    </row>
    <row r="4" spans="10:18" x14ac:dyDescent="0.25">
      <c r="O4" t="s">
        <v>177</v>
      </c>
    </row>
    <row r="5" spans="10:18" x14ac:dyDescent="0.25">
      <c r="J5" t="s">
        <v>134</v>
      </c>
      <c r="L5">
        <v>0</v>
      </c>
      <c r="M5">
        <v>1</v>
      </c>
      <c r="O5" t="s">
        <v>178</v>
      </c>
    </row>
    <row r="6" spans="10:18" x14ac:dyDescent="0.25">
      <c r="J6" t="s">
        <v>115</v>
      </c>
      <c r="L6" s="4">
        <v>-12000</v>
      </c>
      <c r="O6" t="s">
        <v>179</v>
      </c>
    </row>
    <row r="7" spans="10:18" x14ac:dyDescent="0.25">
      <c r="J7" t="s">
        <v>169</v>
      </c>
      <c r="M7" s="4">
        <v>-5000</v>
      </c>
      <c r="O7" t="s">
        <v>180</v>
      </c>
    </row>
    <row r="8" spans="10:18" x14ac:dyDescent="0.25">
      <c r="J8" t="s">
        <v>170</v>
      </c>
      <c r="M8" s="4">
        <v>7000</v>
      </c>
      <c r="O8" t="s">
        <v>181</v>
      </c>
    </row>
    <row r="9" spans="10:18" x14ac:dyDescent="0.25">
      <c r="J9" t="s">
        <v>68</v>
      </c>
      <c r="L9" s="4">
        <f>SUM(L6:L8)</f>
        <v>-12000</v>
      </c>
      <c r="M9" s="4">
        <f>SUM(M6:M8)</f>
        <v>2000</v>
      </c>
    </row>
    <row r="10" spans="10:18" x14ac:dyDescent="0.25">
      <c r="O10" s="2" t="s">
        <v>182</v>
      </c>
    </row>
    <row r="11" spans="10:18" x14ac:dyDescent="0.25">
      <c r="J11" t="s">
        <v>171</v>
      </c>
    </row>
    <row r="12" spans="10:18" x14ac:dyDescent="0.25">
      <c r="O12" t="s">
        <v>183</v>
      </c>
      <c r="R12" t="s">
        <v>187</v>
      </c>
    </row>
    <row r="13" spans="10:18" x14ac:dyDescent="0.25">
      <c r="O13" t="s">
        <v>184</v>
      </c>
      <c r="R13" t="s">
        <v>186</v>
      </c>
    </row>
    <row r="14" spans="10:18" x14ac:dyDescent="0.25">
      <c r="J14" s="2" t="s">
        <v>172</v>
      </c>
      <c r="O14" t="s">
        <v>185</v>
      </c>
      <c r="R14" t="s">
        <v>188</v>
      </c>
    </row>
    <row r="16" spans="10:18" x14ac:dyDescent="0.25">
      <c r="J16" t="s">
        <v>134</v>
      </c>
      <c r="L16">
        <v>0</v>
      </c>
      <c r="M16">
        <v>1</v>
      </c>
      <c r="N16">
        <v>2</v>
      </c>
      <c r="P16" s="2" t="s">
        <v>189</v>
      </c>
    </row>
    <row r="17" spans="10:16" x14ac:dyDescent="0.25">
      <c r="J17" t="s">
        <v>115</v>
      </c>
      <c r="L17" s="4">
        <v>-12000</v>
      </c>
      <c r="P17" s="2" t="s">
        <v>190</v>
      </c>
    </row>
    <row r="18" spans="10:16" x14ac:dyDescent="0.25">
      <c r="J18" t="s">
        <v>169</v>
      </c>
      <c r="M18" s="4">
        <v>-5000</v>
      </c>
      <c r="N18" s="4">
        <v>-6000</v>
      </c>
    </row>
    <row r="19" spans="10:16" x14ac:dyDescent="0.25">
      <c r="J19" t="s">
        <v>170</v>
      </c>
      <c r="M19" s="4"/>
      <c r="N19" s="4">
        <v>6000</v>
      </c>
    </row>
    <row r="20" spans="10:16" x14ac:dyDescent="0.25">
      <c r="J20" t="s">
        <v>68</v>
      </c>
      <c r="L20" s="4">
        <f>SUM(L17:L19)</f>
        <v>-12000</v>
      </c>
      <c r="M20" s="4">
        <f t="shared" ref="M20:N20" si="0">SUM(M17:M19)</f>
        <v>-5000</v>
      </c>
      <c r="N20" s="4">
        <f t="shared" si="0"/>
        <v>0</v>
      </c>
    </row>
    <row r="22" spans="10:16" x14ac:dyDescent="0.25">
      <c r="J22" t="s">
        <v>173</v>
      </c>
    </row>
    <row r="25" spans="10:16" x14ac:dyDescent="0.25">
      <c r="J25" s="2" t="s">
        <v>174</v>
      </c>
    </row>
    <row r="27" spans="10:16" x14ac:dyDescent="0.25">
      <c r="J27" t="s">
        <v>134</v>
      </c>
      <c r="L27">
        <v>0</v>
      </c>
      <c r="M27">
        <v>1</v>
      </c>
      <c r="N27">
        <v>2</v>
      </c>
      <c r="O27">
        <v>3</v>
      </c>
    </row>
    <row r="28" spans="10:16" x14ac:dyDescent="0.25">
      <c r="J28" t="s">
        <v>115</v>
      </c>
      <c r="L28" s="4">
        <v>-12000</v>
      </c>
    </row>
    <row r="29" spans="10:16" x14ac:dyDescent="0.25">
      <c r="J29" t="s">
        <v>169</v>
      </c>
      <c r="M29" s="4">
        <v>-5000</v>
      </c>
      <c r="N29" s="4">
        <v>-6000</v>
      </c>
      <c r="O29" s="4">
        <v>-8000</v>
      </c>
    </row>
    <row r="30" spans="10:16" x14ac:dyDescent="0.25">
      <c r="J30" t="s">
        <v>170</v>
      </c>
      <c r="M30" s="4"/>
      <c r="N30" s="4"/>
      <c r="O30" s="4">
        <v>3000</v>
      </c>
    </row>
    <row r="31" spans="10:16" x14ac:dyDescent="0.25">
      <c r="J31" t="s">
        <v>68</v>
      </c>
      <c r="L31" s="4">
        <f>SUM(L28:L30)</f>
        <v>-12000</v>
      </c>
      <c r="M31" s="4">
        <f t="shared" ref="M31" si="1">SUM(M28:M30)</f>
        <v>-5000</v>
      </c>
      <c r="N31" s="4">
        <f t="shared" ref="N31:O31" si="2">SUM(N28:N30)</f>
        <v>-6000</v>
      </c>
      <c r="O31" s="4">
        <f t="shared" si="2"/>
        <v>-5000</v>
      </c>
    </row>
    <row r="33" spans="10:16" x14ac:dyDescent="0.25">
      <c r="J33" t="s">
        <v>175</v>
      </c>
    </row>
    <row r="36" spans="10:16" x14ac:dyDescent="0.25">
      <c r="J36" s="2" t="s">
        <v>191</v>
      </c>
    </row>
    <row r="38" spans="10:16" x14ac:dyDescent="0.25">
      <c r="J38" t="s">
        <v>192</v>
      </c>
    </row>
    <row r="39" spans="10:16" x14ac:dyDescent="0.25">
      <c r="J39" t="s">
        <v>193</v>
      </c>
    </row>
    <row r="42" spans="10:16" x14ac:dyDescent="0.25">
      <c r="J42" s="2" t="s">
        <v>194</v>
      </c>
      <c r="K42" s="2" t="s">
        <v>195</v>
      </c>
      <c r="L42" s="2" t="s">
        <v>88</v>
      </c>
      <c r="M42" s="2" t="s">
        <v>196</v>
      </c>
      <c r="N42" s="2" t="s">
        <v>197</v>
      </c>
      <c r="P42" s="2" t="s">
        <v>203</v>
      </c>
    </row>
    <row r="43" spans="10:16" x14ac:dyDescent="0.25">
      <c r="J43" s="2" t="s">
        <v>198</v>
      </c>
      <c r="K43" s="4">
        <v>1100000</v>
      </c>
      <c r="L43" s="4">
        <v>80000</v>
      </c>
      <c r="M43" s="4">
        <f>K43+L43</f>
        <v>1180000</v>
      </c>
      <c r="N43">
        <f>M43/K43</f>
        <v>1.0727272727272728</v>
      </c>
      <c r="P43">
        <v>1</v>
      </c>
    </row>
    <row r="44" spans="10:16" x14ac:dyDescent="0.25">
      <c r="J44" s="2" t="s">
        <v>199</v>
      </c>
      <c r="K44" s="4">
        <v>1500000</v>
      </c>
      <c r="L44" s="4">
        <v>100000</v>
      </c>
      <c r="M44" s="4">
        <f t="shared" ref="M44:M47" si="3">K44+L44</f>
        <v>1600000</v>
      </c>
      <c r="N44">
        <f t="shared" ref="N44:N47" si="4">M44/K44</f>
        <v>1.0666666666666667</v>
      </c>
      <c r="P44" s="26" t="s">
        <v>204</v>
      </c>
    </row>
    <row r="45" spans="10:16" x14ac:dyDescent="0.25">
      <c r="J45" s="2" t="s">
        <v>200</v>
      </c>
      <c r="K45" s="4">
        <v>2800000</v>
      </c>
      <c r="L45" s="4">
        <v>150000</v>
      </c>
      <c r="M45" s="4">
        <f t="shared" si="3"/>
        <v>2950000</v>
      </c>
      <c r="N45">
        <f t="shared" si="4"/>
        <v>1.0535714285714286</v>
      </c>
      <c r="P45">
        <v>4</v>
      </c>
    </row>
    <row r="46" spans="10:16" x14ac:dyDescent="0.25">
      <c r="J46" s="2" t="s">
        <v>201</v>
      </c>
      <c r="K46" s="4">
        <v>2200000</v>
      </c>
      <c r="L46" s="4">
        <v>140000</v>
      </c>
      <c r="M46" s="4">
        <f t="shared" si="3"/>
        <v>2340000</v>
      </c>
      <c r="N46">
        <f t="shared" si="4"/>
        <v>1.0636363636363637</v>
      </c>
      <c r="P46">
        <v>2</v>
      </c>
    </row>
    <row r="47" spans="10:16" x14ac:dyDescent="0.25">
      <c r="J47" s="2" t="s">
        <v>202</v>
      </c>
      <c r="K47" s="4">
        <v>1900000</v>
      </c>
      <c r="L47" s="4">
        <v>110000</v>
      </c>
      <c r="M47" s="4">
        <f t="shared" si="3"/>
        <v>2010000</v>
      </c>
      <c r="N47">
        <f t="shared" si="4"/>
        <v>1.0578947368421052</v>
      </c>
      <c r="P47">
        <v>3</v>
      </c>
    </row>
    <row r="49" spans="1:14" x14ac:dyDescent="0.25">
      <c r="J49" s="2" t="s">
        <v>194</v>
      </c>
      <c r="K49" s="2" t="s">
        <v>205</v>
      </c>
      <c r="L49" s="2" t="s">
        <v>88</v>
      </c>
      <c r="N49" t="s">
        <v>208</v>
      </c>
    </row>
    <row r="50" spans="1:14" x14ac:dyDescent="0.25">
      <c r="J50" s="2" t="s">
        <v>198</v>
      </c>
      <c r="K50" s="4">
        <v>1100000</v>
      </c>
      <c r="L50" s="4">
        <f>L43</f>
        <v>80000</v>
      </c>
      <c r="N50" t="s">
        <v>209</v>
      </c>
    </row>
    <row r="51" spans="1:14" x14ac:dyDescent="0.25">
      <c r="J51" s="2" t="s">
        <v>201</v>
      </c>
      <c r="K51" s="4">
        <v>2200000</v>
      </c>
      <c r="L51" s="4">
        <f>L46</f>
        <v>140000</v>
      </c>
      <c r="N51" t="s">
        <v>210</v>
      </c>
    </row>
    <row r="52" spans="1:14" x14ac:dyDescent="0.25">
      <c r="A52" s="2" t="s">
        <v>214</v>
      </c>
      <c r="J52" s="27" t="s">
        <v>202</v>
      </c>
      <c r="K52" s="13">
        <v>1700000</v>
      </c>
      <c r="L52" s="13">
        <v>98417</v>
      </c>
      <c r="M52" s="28" t="s">
        <v>207</v>
      </c>
      <c r="N52" t="s">
        <v>211</v>
      </c>
    </row>
    <row r="53" spans="1:14" x14ac:dyDescent="0.25">
      <c r="J53" s="2" t="s">
        <v>206</v>
      </c>
      <c r="K53" s="4">
        <f>SUM(K50:K52)</f>
        <v>5000000</v>
      </c>
      <c r="L53" s="4">
        <f>SUM(L50:L52)</f>
        <v>318417</v>
      </c>
      <c r="N53" t="s">
        <v>212</v>
      </c>
    </row>
    <row r="54" spans="1:14" x14ac:dyDescent="0.25">
      <c r="A54" t="s">
        <v>215</v>
      </c>
      <c r="N54" t="s">
        <v>213</v>
      </c>
    </row>
    <row r="55" spans="1:14" x14ac:dyDescent="0.25">
      <c r="A55" t="s">
        <v>216</v>
      </c>
    </row>
    <row r="56" spans="1:14" x14ac:dyDescent="0.25">
      <c r="A56" t="s">
        <v>217</v>
      </c>
    </row>
    <row r="57" spans="1:14" x14ac:dyDescent="0.25">
      <c r="A57" t="s">
        <v>218</v>
      </c>
    </row>
    <row r="58" spans="1:14" x14ac:dyDescent="0.25">
      <c r="A58" t="s">
        <v>219</v>
      </c>
    </row>
    <row r="59" spans="1:14" x14ac:dyDescent="0.25">
      <c r="A59" t="s">
        <v>220</v>
      </c>
    </row>
    <row r="60" spans="1:14" x14ac:dyDescent="0.25">
      <c r="A60" t="s">
        <v>221</v>
      </c>
    </row>
  </sheetData>
  <pageMargins left="0.7" right="0.7" top="0.75" bottom="0.75" header="0.3" footer="0.3"/>
  <ignoredErrors>
    <ignoredError sqref="L9 L20:N20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F94D-5AAC-4688-A956-C09DCFDA096E}">
  <dimension ref="J2:V41"/>
  <sheetViews>
    <sheetView workbookViewId="0">
      <selection activeCell="J41" sqref="J41"/>
    </sheetView>
  </sheetViews>
  <sheetFormatPr defaultColWidth="8.85546875" defaultRowHeight="15" x14ac:dyDescent="0.25"/>
  <sheetData>
    <row r="2" spans="10:22" x14ac:dyDescent="0.25">
      <c r="J2" s="2" t="s">
        <v>0</v>
      </c>
    </row>
    <row r="4" spans="10:22" x14ac:dyDescent="0.25">
      <c r="J4" s="2" t="s">
        <v>226</v>
      </c>
      <c r="Q4" s="2" t="s">
        <v>227</v>
      </c>
    </row>
    <row r="6" spans="10:22" x14ac:dyDescent="0.25">
      <c r="J6" s="37"/>
      <c r="K6" s="36"/>
      <c r="L6" s="9" t="s">
        <v>57</v>
      </c>
      <c r="M6" s="9" t="s">
        <v>58</v>
      </c>
      <c r="N6" s="9" t="s">
        <v>59</v>
      </c>
      <c r="O6" s="9" t="s">
        <v>60</v>
      </c>
      <c r="Q6" s="37"/>
      <c r="R6" s="36"/>
      <c r="S6" s="9" t="s">
        <v>57</v>
      </c>
      <c r="T6" s="9" t="s">
        <v>58</v>
      </c>
      <c r="U6" s="9" t="s">
        <v>59</v>
      </c>
      <c r="V6" s="9" t="s">
        <v>60</v>
      </c>
    </row>
    <row r="7" spans="10:22" x14ac:dyDescent="0.25">
      <c r="J7" s="30" t="s">
        <v>195</v>
      </c>
      <c r="K7" s="15"/>
      <c r="L7" s="4">
        <v>-70000</v>
      </c>
      <c r="O7" s="15"/>
      <c r="Q7" s="30" t="s">
        <v>195</v>
      </c>
      <c r="R7" s="15"/>
      <c r="S7" s="4">
        <v>-70000</v>
      </c>
      <c r="V7" s="15"/>
    </row>
    <row r="8" spans="10:22" x14ac:dyDescent="0.25">
      <c r="J8" s="30" t="s">
        <v>136</v>
      </c>
      <c r="K8" s="15"/>
      <c r="L8" s="4">
        <v>-20000</v>
      </c>
      <c r="O8" s="31">
        <v>20000</v>
      </c>
      <c r="Q8" s="30" t="s">
        <v>136</v>
      </c>
      <c r="R8" s="15"/>
      <c r="S8" s="4">
        <v>-20000</v>
      </c>
      <c r="V8" s="31">
        <v>20000</v>
      </c>
    </row>
    <row r="9" spans="10:22" x14ac:dyDescent="0.25">
      <c r="J9" s="30" t="s">
        <v>106</v>
      </c>
      <c r="K9" s="15"/>
      <c r="M9" s="4">
        <v>171000</v>
      </c>
      <c r="N9" s="4">
        <v>171000</v>
      </c>
      <c r="O9" s="31">
        <v>171000</v>
      </c>
      <c r="Q9" s="30" t="s">
        <v>106</v>
      </c>
      <c r="R9" s="15"/>
      <c r="T9" s="4">
        <v>205000</v>
      </c>
      <c r="U9" s="4">
        <v>205000</v>
      </c>
      <c r="V9" s="4">
        <v>205000</v>
      </c>
    </row>
    <row r="10" spans="10:22" x14ac:dyDescent="0.25">
      <c r="J10" s="30" t="s">
        <v>222</v>
      </c>
      <c r="K10" s="15"/>
      <c r="M10" s="4">
        <v>-54000</v>
      </c>
      <c r="N10" s="4">
        <v>-54000</v>
      </c>
      <c r="O10" s="31">
        <v>-54000</v>
      </c>
      <c r="Q10" s="30" t="s">
        <v>222</v>
      </c>
      <c r="R10" s="15"/>
      <c r="T10" s="4">
        <v>-50000</v>
      </c>
      <c r="U10" s="4">
        <v>-50000</v>
      </c>
      <c r="V10" s="4">
        <v>-50000</v>
      </c>
    </row>
    <row r="11" spans="10:22" x14ac:dyDescent="0.25">
      <c r="J11" s="30" t="s">
        <v>223</v>
      </c>
      <c r="K11" s="15"/>
      <c r="M11" s="4">
        <v>-80000</v>
      </c>
      <c r="N11" s="4">
        <v>-80000</v>
      </c>
      <c r="O11" s="31">
        <v>-80000</v>
      </c>
      <c r="Q11" s="30" t="s">
        <v>223</v>
      </c>
      <c r="R11" s="15"/>
      <c r="T11" s="4">
        <v>-75000</v>
      </c>
      <c r="U11" s="4">
        <v>-75000</v>
      </c>
      <c r="V11" s="4">
        <v>-75000</v>
      </c>
    </row>
    <row r="12" spans="10:22" x14ac:dyDescent="0.25">
      <c r="J12" s="30" t="s">
        <v>224</v>
      </c>
      <c r="K12" s="15"/>
      <c r="L12" s="6"/>
      <c r="M12" s="13">
        <v>-8000</v>
      </c>
      <c r="N12" s="13">
        <v>-8000</v>
      </c>
      <c r="O12" s="32">
        <v>-8000</v>
      </c>
      <c r="Q12" s="30" t="s">
        <v>224</v>
      </c>
      <c r="R12" s="15"/>
      <c r="S12" s="6"/>
      <c r="T12" s="13">
        <v>-6000</v>
      </c>
      <c r="U12" s="13">
        <v>-6000</v>
      </c>
      <c r="V12" s="13">
        <v>-6000</v>
      </c>
    </row>
    <row r="13" spans="10:22" x14ac:dyDescent="0.25">
      <c r="J13" s="30" t="s">
        <v>68</v>
      </c>
      <c r="K13" s="15"/>
      <c r="L13" s="4">
        <f>SUM(L7:L12)</f>
        <v>-90000</v>
      </c>
      <c r="M13" s="4">
        <f t="shared" ref="M13:N13" si="0">SUM(M7:M12)</f>
        <v>29000</v>
      </c>
      <c r="N13" s="4">
        <f t="shared" si="0"/>
        <v>29000</v>
      </c>
      <c r="O13" s="31">
        <f>SUM(O7:O12)</f>
        <v>49000</v>
      </c>
      <c r="Q13" s="30" t="s">
        <v>68</v>
      </c>
      <c r="R13" s="15"/>
      <c r="S13" s="4">
        <f>SUM(S7:S12)</f>
        <v>-90000</v>
      </c>
      <c r="T13" s="4">
        <f t="shared" ref="T13" si="1">SUM(T7:T12)</f>
        <v>74000</v>
      </c>
      <c r="U13" s="4">
        <f t="shared" ref="U13" si="2">SUM(U7:U12)</f>
        <v>74000</v>
      </c>
      <c r="V13" s="31">
        <f>SUM(V7:V12)</f>
        <v>94000</v>
      </c>
    </row>
    <row r="14" spans="10:22" x14ac:dyDescent="0.25">
      <c r="J14" s="30" t="s">
        <v>138</v>
      </c>
      <c r="K14" s="15"/>
      <c r="L14" s="29">
        <v>1</v>
      </c>
      <c r="M14" s="29">
        <v>0.89300000000000002</v>
      </c>
      <c r="N14" s="29">
        <v>0.78300000000000003</v>
      </c>
      <c r="O14" s="33">
        <v>0.69299999999999995</v>
      </c>
      <c r="Q14" s="30" t="s">
        <v>138</v>
      </c>
      <c r="R14" s="15"/>
      <c r="S14" s="29">
        <v>1</v>
      </c>
      <c r="T14" s="29">
        <v>0.90900000000000003</v>
      </c>
      <c r="U14" s="29">
        <v>0.82599999999999996</v>
      </c>
      <c r="V14" s="33">
        <v>0.751</v>
      </c>
    </row>
    <row r="15" spans="10:22" x14ac:dyDescent="0.25">
      <c r="J15" s="30" t="s">
        <v>225</v>
      </c>
      <c r="K15" s="15"/>
      <c r="L15">
        <f>L13*L14</f>
        <v>-90000</v>
      </c>
      <c r="M15">
        <f t="shared" ref="M15:O15" si="3">M13*M14</f>
        <v>25897</v>
      </c>
      <c r="N15">
        <f t="shared" si="3"/>
        <v>22707</v>
      </c>
      <c r="O15" s="15">
        <f t="shared" si="3"/>
        <v>33957</v>
      </c>
      <c r="Q15" s="30" t="s">
        <v>225</v>
      </c>
      <c r="R15" s="15"/>
      <c r="S15">
        <f>S13*S14</f>
        <v>-90000</v>
      </c>
      <c r="T15">
        <f t="shared" ref="T15" si="4">T13*T14</f>
        <v>67266</v>
      </c>
      <c r="U15">
        <f t="shared" ref="U15" si="5">U13*U14</f>
        <v>61124</v>
      </c>
      <c r="V15" s="15">
        <f t="shared" ref="V15" si="6">V13*V14</f>
        <v>70594</v>
      </c>
    </row>
    <row r="16" spans="10:22" x14ac:dyDescent="0.25">
      <c r="J16" s="34" t="s">
        <v>88</v>
      </c>
      <c r="K16" s="35"/>
      <c r="L16" s="27">
        <f>SUM(L15:O15)</f>
        <v>-7439</v>
      </c>
      <c r="M16" s="6"/>
      <c r="N16" s="6"/>
      <c r="O16" s="35"/>
      <c r="Q16" s="34" t="s">
        <v>88</v>
      </c>
      <c r="R16" s="35"/>
      <c r="S16" s="27">
        <f>SUM(S15:V15)</f>
        <v>108984</v>
      </c>
      <c r="T16" s="6"/>
      <c r="U16" s="6"/>
      <c r="V16" s="35"/>
    </row>
    <row r="18" spans="10:14" x14ac:dyDescent="0.25">
      <c r="J18" s="2" t="s">
        <v>228</v>
      </c>
    </row>
    <row r="19" spans="10:14" x14ac:dyDescent="0.25">
      <c r="J19" s="2" t="s">
        <v>229</v>
      </c>
    </row>
    <row r="22" spans="10:14" x14ac:dyDescent="0.25">
      <c r="J22" s="2" t="s">
        <v>17</v>
      </c>
    </row>
    <row r="24" spans="10:14" x14ac:dyDescent="0.25">
      <c r="J24" s="2" t="s">
        <v>191</v>
      </c>
      <c r="N24" s="2" t="s">
        <v>214</v>
      </c>
    </row>
    <row r="26" spans="10:14" x14ac:dyDescent="0.25">
      <c r="J26" s="2" t="s">
        <v>230</v>
      </c>
      <c r="N26" s="2" t="s">
        <v>242</v>
      </c>
    </row>
    <row r="27" spans="10:14" x14ac:dyDescent="0.25">
      <c r="J27" t="s">
        <v>231</v>
      </c>
      <c r="N27" t="s">
        <v>243</v>
      </c>
    </row>
    <row r="28" spans="10:14" x14ac:dyDescent="0.25">
      <c r="J28" s="1" t="s">
        <v>232</v>
      </c>
    </row>
    <row r="29" spans="10:14" x14ac:dyDescent="0.25">
      <c r="N29" s="2" t="s">
        <v>244</v>
      </c>
    </row>
    <row r="30" spans="10:14" x14ac:dyDescent="0.25">
      <c r="J30" s="2" t="s">
        <v>233</v>
      </c>
    </row>
    <row r="31" spans="10:14" x14ac:dyDescent="0.25">
      <c r="J31" t="s">
        <v>234</v>
      </c>
    </row>
    <row r="32" spans="10:14" x14ac:dyDescent="0.25">
      <c r="J32" s="1" t="s">
        <v>235</v>
      </c>
    </row>
    <row r="34" spans="10:10" x14ac:dyDescent="0.25">
      <c r="J34" s="2" t="s">
        <v>236</v>
      </c>
    </row>
    <row r="35" spans="10:10" x14ac:dyDescent="0.25">
      <c r="J35" t="s">
        <v>237</v>
      </c>
    </row>
    <row r="36" spans="10:10" x14ac:dyDescent="0.25">
      <c r="J36" s="1" t="s">
        <v>238</v>
      </c>
    </row>
    <row r="38" spans="10:10" x14ac:dyDescent="0.25">
      <c r="J38" s="2" t="s">
        <v>239</v>
      </c>
    </row>
    <row r="39" spans="10:10" x14ac:dyDescent="0.25">
      <c r="J39" t="s">
        <v>240</v>
      </c>
    </row>
    <row r="40" spans="10:10" x14ac:dyDescent="0.25">
      <c r="J40" s="1" t="s">
        <v>241</v>
      </c>
    </row>
    <row r="41" spans="10:10" x14ac:dyDescent="0.25">
      <c r="J41" s="38">
        <v>141900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37A8-352F-4190-BAE3-F338DDB5DE48}">
  <dimension ref="A1:U49"/>
  <sheetViews>
    <sheetView workbookViewId="0">
      <selection activeCell="A50" sqref="A50"/>
    </sheetView>
  </sheetViews>
  <sheetFormatPr defaultColWidth="8.85546875" defaultRowHeight="15" x14ac:dyDescent="0.25"/>
  <sheetData>
    <row r="1" spans="10:21" x14ac:dyDescent="0.25">
      <c r="J1" s="2" t="s">
        <v>0</v>
      </c>
    </row>
    <row r="3" spans="10:21" x14ac:dyDescent="0.25">
      <c r="J3" s="2" t="s">
        <v>191</v>
      </c>
      <c r="S3" s="2" t="s">
        <v>214</v>
      </c>
    </row>
    <row r="5" spans="10:21" x14ac:dyDescent="0.25">
      <c r="J5" t="s">
        <v>245</v>
      </c>
      <c r="S5" s="39" t="s">
        <v>265</v>
      </c>
    </row>
    <row r="6" spans="10:21" x14ac:dyDescent="0.25">
      <c r="J6" t="s">
        <v>262</v>
      </c>
      <c r="S6" t="s">
        <v>266</v>
      </c>
    </row>
    <row r="7" spans="10:21" x14ac:dyDescent="0.25">
      <c r="J7" t="s">
        <v>246</v>
      </c>
      <c r="S7" s="1" t="s">
        <v>267</v>
      </c>
    </row>
    <row r="8" spans="10:21" x14ac:dyDescent="0.25">
      <c r="J8" t="s">
        <v>263</v>
      </c>
    </row>
    <row r="9" spans="10:21" x14ac:dyDescent="0.25">
      <c r="J9" t="s">
        <v>247</v>
      </c>
      <c r="S9" s="2" t="s">
        <v>268</v>
      </c>
    </row>
    <row r="10" spans="10:21" x14ac:dyDescent="0.25">
      <c r="S10" t="s">
        <v>269</v>
      </c>
    </row>
    <row r="11" spans="10:21" x14ac:dyDescent="0.25">
      <c r="J11" t="s">
        <v>248</v>
      </c>
    </row>
    <row r="12" spans="10:21" x14ac:dyDescent="0.25">
      <c r="J12" t="s">
        <v>249</v>
      </c>
      <c r="S12" s="2" t="s">
        <v>281</v>
      </c>
    </row>
    <row r="13" spans="10:21" x14ac:dyDescent="0.25">
      <c r="J13" t="s">
        <v>250</v>
      </c>
      <c r="S13" t="s">
        <v>282</v>
      </c>
    </row>
    <row r="14" spans="10:21" x14ac:dyDescent="0.25">
      <c r="J14" t="s">
        <v>251</v>
      </c>
      <c r="S14" s="25" t="s">
        <v>270</v>
      </c>
      <c r="T14" s="2" t="s">
        <v>271</v>
      </c>
      <c r="U14" s="2" t="s">
        <v>272</v>
      </c>
    </row>
    <row r="16" spans="10:21" x14ac:dyDescent="0.25">
      <c r="J16" t="s">
        <v>252</v>
      </c>
      <c r="S16" s="39" t="s">
        <v>273</v>
      </c>
    </row>
    <row r="17" spans="1:21" x14ac:dyDescent="0.25">
      <c r="J17" t="s">
        <v>253</v>
      </c>
      <c r="S17" t="s">
        <v>274</v>
      </c>
    </row>
    <row r="18" spans="1:21" x14ac:dyDescent="0.25">
      <c r="J18" t="s">
        <v>254</v>
      </c>
      <c r="S18" s="1" t="s">
        <v>275</v>
      </c>
    </row>
    <row r="19" spans="1:21" x14ac:dyDescent="0.25">
      <c r="J19" t="s">
        <v>255</v>
      </c>
    </row>
    <row r="20" spans="1:21" x14ac:dyDescent="0.25">
      <c r="J20" t="s">
        <v>256</v>
      </c>
      <c r="S20" s="2" t="s">
        <v>268</v>
      </c>
    </row>
    <row r="21" spans="1:21" x14ac:dyDescent="0.25">
      <c r="A21" s="2" t="s">
        <v>283</v>
      </c>
      <c r="J21" t="s">
        <v>257</v>
      </c>
      <c r="S21" t="s">
        <v>276</v>
      </c>
    </row>
    <row r="23" spans="1:21" x14ac:dyDescent="0.25">
      <c r="A23" s="2" t="s">
        <v>284</v>
      </c>
      <c r="J23" t="s">
        <v>264</v>
      </c>
      <c r="S23" s="2" t="s">
        <v>277</v>
      </c>
    </row>
    <row r="24" spans="1:21" x14ac:dyDescent="0.25">
      <c r="J24" t="s">
        <v>258</v>
      </c>
      <c r="S24" s="1" t="s">
        <v>278</v>
      </c>
    </row>
    <row r="25" spans="1:21" x14ac:dyDescent="0.25">
      <c r="A25" t="s">
        <v>285</v>
      </c>
      <c r="J25" t="s">
        <v>259</v>
      </c>
      <c r="S25" s="1" t="s">
        <v>279</v>
      </c>
      <c r="T25" t="s">
        <v>271</v>
      </c>
      <c r="U25" t="s">
        <v>280</v>
      </c>
    </row>
    <row r="26" spans="1:21" x14ac:dyDescent="0.25">
      <c r="J26" t="s">
        <v>260</v>
      </c>
    </row>
    <row r="27" spans="1:21" x14ac:dyDescent="0.25">
      <c r="A27" t="s">
        <v>286</v>
      </c>
      <c r="D27" s="7">
        <v>13510</v>
      </c>
    </row>
    <row r="28" spans="1:21" x14ac:dyDescent="0.25">
      <c r="A28" t="s">
        <v>287</v>
      </c>
      <c r="D28" s="7">
        <v>0</v>
      </c>
      <c r="J28" t="s">
        <v>261</v>
      </c>
    </row>
    <row r="29" spans="1:21" x14ac:dyDescent="0.25">
      <c r="A29" t="s">
        <v>206</v>
      </c>
      <c r="D29" s="7">
        <f>D27+D28</f>
        <v>13510</v>
      </c>
    </row>
    <row r="31" spans="1:21" x14ac:dyDescent="0.25">
      <c r="A31" s="2" t="s">
        <v>288</v>
      </c>
    </row>
    <row r="33" spans="1:5" x14ac:dyDescent="0.25">
      <c r="A33" t="s">
        <v>289</v>
      </c>
      <c r="D33" s="7">
        <v>11580</v>
      </c>
    </row>
    <row r="34" spans="1:5" x14ac:dyDescent="0.25">
      <c r="A34" t="s">
        <v>290</v>
      </c>
      <c r="D34" s="7">
        <v>1920</v>
      </c>
    </row>
    <row r="35" spans="1:5" x14ac:dyDescent="0.25">
      <c r="A35" t="s">
        <v>206</v>
      </c>
      <c r="D35" s="7">
        <f>D33+D34</f>
        <v>13500</v>
      </c>
    </row>
    <row r="37" spans="1:5" x14ac:dyDescent="0.25">
      <c r="A37" s="2" t="s">
        <v>291</v>
      </c>
    </row>
    <row r="39" spans="1:5" x14ac:dyDescent="0.25">
      <c r="A39" t="s">
        <v>292</v>
      </c>
    </row>
    <row r="41" spans="1:5" x14ac:dyDescent="0.25">
      <c r="A41" t="s">
        <v>293</v>
      </c>
      <c r="E41" s="7">
        <v>12545</v>
      </c>
    </row>
    <row r="42" spans="1:5" x14ac:dyDescent="0.25">
      <c r="A42" t="s">
        <v>294</v>
      </c>
      <c r="E42" s="7">
        <v>960</v>
      </c>
    </row>
    <row r="43" spans="1:5" x14ac:dyDescent="0.25">
      <c r="A43" t="s">
        <v>206</v>
      </c>
      <c r="E43" s="7">
        <f>E41+E42</f>
        <v>13505</v>
      </c>
    </row>
    <row r="45" spans="1:5" x14ac:dyDescent="0.25">
      <c r="A45" s="2" t="s">
        <v>295</v>
      </c>
    </row>
    <row r="47" spans="1:5" x14ac:dyDescent="0.25">
      <c r="A47" t="s">
        <v>296</v>
      </c>
      <c r="E47" s="7">
        <v>11580</v>
      </c>
    </row>
    <row r="48" spans="1:5" x14ac:dyDescent="0.25">
      <c r="A48" t="s">
        <v>297</v>
      </c>
      <c r="E48" s="7">
        <v>1500</v>
      </c>
    </row>
    <row r="49" spans="1:5" x14ac:dyDescent="0.25">
      <c r="A49" t="s">
        <v>206</v>
      </c>
      <c r="E49" s="7">
        <f>E47+E48</f>
        <v>13080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C0D6-DE22-4863-911B-B1950EFDAE4D}">
  <dimension ref="J2:R49"/>
  <sheetViews>
    <sheetView workbookViewId="0">
      <selection activeCell="J31" sqref="J31"/>
    </sheetView>
  </sheetViews>
  <sheetFormatPr defaultColWidth="8.85546875" defaultRowHeight="15" x14ac:dyDescent="0.25"/>
  <sheetData>
    <row r="2" spans="10:10" x14ac:dyDescent="0.25">
      <c r="J2" s="2" t="s">
        <v>0</v>
      </c>
    </row>
    <row r="4" spans="10:10" x14ac:dyDescent="0.25">
      <c r="J4" t="s">
        <v>298</v>
      </c>
    </row>
    <row r="5" spans="10:10" x14ac:dyDescent="0.25">
      <c r="J5" t="s">
        <v>299</v>
      </c>
    </row>
    <row r="8" spans="10:10" x14ac:dyDescent="0.25">
      <c r="J8" s="2" t="s">
        <v>17</v>
      </c>
    </row>
    <row r="10" spans="10:10" x14ac:dyDescent="0.25">
      <c r="J10" t="s">
        <v>300</v>
      </c>
    </row>
    <row r="11" spans="10:10" x14ac:dyDescent="0.25">
      <c r="J11" s="2" t="s">
        <v>301</v>
      </c>
    </row>
    <row r="12" spans="10:10" x14ac:dyDescent="0.25">
      <c r="J12" t="s">
        <v>302</v>
      </c>
    </row>
    <row r="13" spans="10:10" x14ac:dyDescent="0.25">
      <c r="J13" t="s">
        <v>303</v>
      </c>
    </row>
    <row r="16" spans="10:10" x14ac:dyDescent="0.25">
      <c r="J16" s="2" t="s">
        <v>30</v>
      </c>
    </row>
    <row r="17" spans="10:18" x14ac:dyDescent="0.25">
      <c r="J17" t="s">
        <v>304</v>
      </c>
    </row>
    <row r="19" spans="10:18" x14ac:dyDescent="0.25">
      <c r="J19" s="2" t="s">
        <v>305</v>
      </c>
      <c r="R19" s="2" t="s">
        <v>312</v>
      </c>
    </row>
    <row r="20" spans="10:18" x14ac:dyDescent="0.25">
      <c r="J20" t="s">
        <v>306</v>
      </c>
      <c r="R20" t="s">
        <v>313</v>
      </c>
    </row>
    <row r="21" spans="10:18" x14ac:dyDescent="0.25">
      <c r="J21" t="s">
        <v>307</v>
      </c>
      <c r="R21" t="s">
        <v>314</v>
      </c>
    </row>
    <row r="22" spans="10:18" x14ac:dyDescent="0.25">
      <c r="J22" t="s">
        <v>308</v>
      </c>
      <c r="R22" t="s">
        <v>315</v>
      </c>
    </row>
    <row r="23" spans="10:18" x14ac:dyDescent="0.25">
      <c r="J23" t="s">
        <v>309</v>
      </c>
      <c r="R23" t="s">
        <v>316</v>
      </c>
    </row>
    <row r="24" spans="10:18" x14ac:dyDescent="0.25">
      <c r="J24" t="s">
        <v>310</v>
      </c>
      <c r="R24" t="s">
        <v>317</v>
      </c>
    </row>
    <row r="25" spans="10:18" x14ac:dyDescent="0.25">
      <c r="J25" t="s">
        <v>311</v>
      </c>
      <c r="R25" t="s">
        <v>318</v>
      </c>
    </row>
    <row r="26" spans="10:18" x14ac:dyDescent="0.25">
      <c r="R26" t="s">
        <v>319</v>
      </c>
    </row>
    <row r="27" spans="10:18" x14ac:dyDescent="0.25">
      <c r="J27" t="s">
        <v>326</v>
      </c>
      <c r="R27" t="s">
        <v>320</v>
      </c>
    </row>
    <row r="28" spans="10:18" x14ac:dyDescent="0.25">
      <c r="J28" t="s">
        <v>327</v>
      </c>
      <c r="R28" t="s">
        <v>321</v>
      </c>
    </row>
    <row r="29" spans="10:18" x14ac:dyDescent="0.25">
      <c r="R29" t="s">
        <v>322</v>
      </c>
    </row>
    <row r="30" spans="10:18" x14ac:dyDescent="0.25">
      <c r="R30" t="s">
        <v>323</v>
      </c>
    </row>
    <row r="31" spans="10:18" x14ac:dyDescent="0.25">
      <c r="J31" s="2" t="s">
        <v>345</v>
      </c>
      <c r="R31" t="s">
        <v>324</v>
      </c>
    </row>
    <row r="32" spans="10:18" x14ac:dyDescent="0.25">
      <c r="J32" t="s">
        <v>343</v>
      </c>
      <c r="R32" t="s">
        <v>325</v>
      </c>
    </row>
    <row r="33" spans="10:10" x14ac:dyDescent="0.25">
      <c r="J33" t="s">
        <v>328</v>
      </c>
    </row>
    <row r="34" spans="10:10" x14ac:dyDescent="0.25">
      <c r="J34" t="s">
        <v>329</v>
      </c>
    </row>
    <row r="35" spans="10:10" x14ac:dyDescent="0.25">
      <c r="J35" t="s">
        <v>330</v>
      </c>
    </row>
    <row r="36" spans="10:10" x14ac:dyDescent="0.25">
      <c r="J36" t="s">
        <v>331</v>
      </c>
    </row>
    <row r="37" spans="10:10" x14ac:dyDescent="0.25">
      <c r="J37" t="s">
        <v>332</v>
      </c>
    </row>
    <row r="38" spans="10:10" x14ac:dyDescent="0.25">
      <c r="J38" t="s">
        <v>333</v>
      </c>
    </row>
    <row r="39" spans="10:10" x14ac:dyDescent="0.25">
      <c r="J39" t="s">
        <v>334</v>
      </c>
    </row>
    <row r="41" spans="10:10" x14ac:dyDescent="0.25">
      <c r="J41" t="s">
        <v>344</v>
      </c>
    </row>
    <row r="42" spans="10:10" x14ac:dyDescent="0.25">
      <c r="J42" t="s">
        <v>335</v>
      </c>
    </row>
    <row r="43" spans="10:10" x14ac:dyDescent="0.25">
      <c r="J43" t="s">
        <v>336</v>
      </c>
    </row>
    <row r="44" spans="10:10" x14ac:dyDescent="0.25">
      <c r="J44" t="s">
        <v>337</v>
      </c>
    </row>
    <row r="45" spans="10:10" x14ac:dyDescent="0.25">
      <c r="J45" t="s">
        <v>338</v>
      </c>
    </row>
    <row r="46" spans="10:10" x14ac:dyDescent="0.25">
      <c r="J46" t="s">
        <v>339</v>
      </c>
    </row>
    <row r="47" spans="10:10" x14ac:dyDescent="0.25">
      <c r="J47" t="s">
        <v>340</v>
      </c>
    </row>
    <row r="48" spans="10:10" x14ac:dyDescent="0.25">
      <c r="J48" t="s">
        <v>341</v>
      </c>
    </row>
    <row r="49" spans="10:10" x14ac:dyDescent="0.25">
      <c r="J49" t="s">
        <v>342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D7EC-627D-43ED-A6D3-0709D38067C3}">
  <dimension ref="A1"/>
  <sheetViews>
    <sheetView workbookViewId="0">
      <selection activeCell="J10" sqref="J10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2A0-73A3-4BDC-B0EE-BE066191A009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6C5FB1-8F9C-4831-826C-7C1683BB76AE}">
  <ds:schemaRefs>
    <ds:schemaRef ds:uri="http://purl.org/dc/elements/1.1/"/>
    <ds:schemaRef ds:uri="http://purl.org/dc/dcmitype/"/>
    <ds:schemaRef ds:uri="9ad45b7a-dbde-452b-a4a7-7cb6f25a272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c68bb02-cea7-47a7-8486-5fa5775c5400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F5FFC30-E5CB-4FF2-BD48-577C518BC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D7E961-E2C3-4250-962F-5198B7DAE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1 - Investment Appraisal</vt:lpstr>
      <vt:lpstr>Week 2 - Appraisal and Taxation</vt:lpstr>
      <vt:lpstr>Week 3 - Appraisal and Rations</vt:lpstr>
      <vt:lpstr>Week 4 - Investment Risk</vt:lpstr>
      <vt:lpstr>Week 5 - Issuing Shares</vt:lpstr>
      <vt:lpstr>Week 6 - Efficiency and B.F.</vt:lpstr>
      <vt:lpstr>Week 7 - Valuation</vt:lpstr>
      <vt:lpstr>Week 8 - Dividend Policy</vt:lpstr>
      <vt:lpstr>Week 9 - Mergers</vt:lpstr>
      <vt:lpstr>Week 10 - Mergers II</vt:lpstr>
      <vt:lpstr>Past Exam Paper I</vt:lpstr>
      <vt:lpstr>Week 14- Value Based Management</vt:lpstr>
      <vt:lpstr>Week 15 - CAPM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Uta</cp:lastModifiedBy>
  <dcterms:created xsi:type="dcterms:W3CDTF">2024-11-23T00:13:23Z</dcterms:created>
  <dcterms:modified xsi:type="dcterms:W3CDTF">2025-02-12T16:01:39Z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