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p27\OneDrive\Desktop\KDD_Final\"/>
    </mc:Choice>
  </mc:AlternateContent>
  <xr:revisionPtr revIDLastSave="0" documentId="13_ncr:1_{1476BB39-3FE7-4F8A-8469-F1EC08F9251B}" xr6:coauthVersionLast="47" xr6:coauthVersionMax="47" xr10:uidLastSave="{00000000-0000-0000-0000-000000000000}"/>
  <bookViews>
    <workbookView xWindow="1536" yWindow="1536" windowWidth="17280" windowHeight="8880" xr2:uid="{E890AD31-0659-4875-A834-0F334A46F4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3" i="1" l="1"/>
  <c r="L49" i="1"/>
  <c r="K43" i="1"/>
  <c r="K49" i="1"/>
  <c r="J35" i="1"/>
  <c r="J36" i="1"/>
  <c r="J43" i="1"/>
  <c r="J49" i="1"/>
  <c r="I51" i="1"/>
  <c r="I50" i="1"/>
  <c r="I49" i="1"/>
  <c r="I43" i="1"/>
  <c r="I44" i="1"/>
  <c r="I45" i="1"/>
  <c r="H51" i="1"/>
  <c r="H50" i="1"/>
  <c r="H49" i="1"/>
  <c r="F49" i="1"/>
  <c r="E49" i="1"/>
  <c r="H45" i="1"/>
  <c r="H44" i="1"/>
  <c r="H43" i="1"/>
  <c r="F43" i="1"/>
  <c r="E43" i="1"/>
  <c r="J26" i="1"/>
  <c r="J30" i="1"/>
  <c r="J34" i="1"/>
  <c r="J22" i="1"/>
  <c r="F34" i="1"/>
  <c r="E34" i="1"/>
  <c r="H32" i="1"/>
  <c r="H31" i="1"/>
  <c r="H30" i="1"/>
  <c r="F30" i="1"/>
  <c r="E30" i="1"/>
  <c r="H28" i="1"/>
  <c r="H27" i="1"/>
  <c r="H26" i="1"/>
  <c r="F26" i="1"/>
  <c r="E26" i="1"/>
  <c r="H24" i="1"/>
  <c r="H23" i="1"/>
  <c r="H22" i="1"/>
  <c r="F22" i="1"/>
  <c r="E22" i="1"/>
  <c r="H9" i="1"/>
  <c r="H10" i="1"/>
  <c r="H11" i="1"/>
  <c r="H12" i="1"/>
  <c r="H13" i="1"/>
  <c r="H14" i="1"/>
  <c r="G15" i="1"/>
  <c r="F15" i="1"/>
  <c r="E15" i="1"/>
  <c r="H34" i="1" l="1"/>
  <c r="I36" i="1"/>
  <c r="I35" i="1"/>
  <c r="I34" i="1"/>
  <c r="H36" i="1"/>
  <c r="H35" i="1"/>
  <c r="H15" i="1"/>
  <c r="I30" i="1"/>
  <c r="I32" i="1"/>
  <c r="I31" i="1"/>
  <c r="I28" i="1"/>
  <c r="I26" i="1"/>
  <c r="I27" i="1"/>
  <c r="I24" i="1"/>
  <c r="I23" i="1"/>
  <c r="I22" i="1"/>
  <c r="K22" i="1" l="1"/>
  <c r="L22" i="1" s="1"/>
  <c r="K35" i="1"/>
  <c r="L35" i="1" s="1"/>
  <c r="K36" i="1"/>
  <c r="L36" i="1" s="1"/>
  <c r="K30" i="1"/>
  <c r="L30" i="1" s="1"/>
  <c r="K34" i="1"/>
  <c r="L34" i="1" s="1"/>
  <c r="K26" i="1"/>
  <c r="L26" i="1" s="1"/>
</calcChain>
</file>

<file path=xl/sharedStrings.xml><?xml version="1.0" encoding="utf-8"?>
<sst xmlns="http://schemas.openxmlformats.org/spreadsheetml/2006/main" count="85" uniqueCount="37">
  <si>
    <t>Name</t>
  </si>
  <si>
    <t>Aniket Patel</t>
  </si>
  <si>
    <t>Subject</t>
  </si>
  <si>
    <t>CS513 KDD and Datamining</t>
  </si>
  <si>
    <t>CWID</t>
  </si>
  <si>
    <t>Question</t>
  </si>
  <si>
    <t>Ethnicity</t>
  </si>
  <si>
    <t>Age Category</t>
  </si>
  <si>
    <t>Alcohol</t>
  </si>
  <si>
    <t>Cocaine</t>
  </si>
  <si>
    <t>Heroine</t>
  </si>
  <si>
    <t>Row Total</t>
  </si>
  <si>
    <t>Black</t>
  </si>
  <si>
    <t>Hispanic</t>
  </si>
  <si>
    <t>White</t>
  </si>
  <si>
    <t>Column Total</t>
  </si>
  <si>
    <t>Old</t>
  </si>
  <si>
    <t>Young</t>
  </si>
  <si>
    <t>Level one</t>
  </si>
  <si>
    <t>Split</t>
  </si>
  <si>
    <t>Pl</t>
  </si>
  <si>
    <t>Pr</t>
  </si>
  <si>
    <t>Level</t>
  </si>
  <si>
    <t>p(j/tl)</t>
  </si>
  <si>
    <t>p(j/tr)</t>
  </si>
  <si>
    <t>2pl*pr</t>
  </si>
  <si>
    <t>q(s/t)</t>
  </si>
  <si>
    <t>Over all</t>
  </si>
  <si>
    <t>No</t>
  </si>
  <si>
    <t>Alc</t>
  </si>
  <si>
    <t>Coc</t>
  </si>
  <si>
    <t>Her</t>
  </si>
  <si>
    <t>Max value</t>
  </si>
  <si>
    <t>Level Two</t>
  </si>
  <si>
    <t>For Black</t>
  </si>
  <si>
    <t>For Not Black</t>
  </si>
  <si>
    <t>Max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</si>
</sst>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9BC459-6952-4248-9A82-F6FDDA442EFF}" name="Table1" displayName="Table1" ref="C8:H16" totalsRowShown="0">
  <autoFilter ref="C8:H16" xr:uid="{899BC459-6952-4248-9A82-F6FDDA442EFF}"/>
  <tableColumns count="6">
    <tableColumn id="1" xr3:uid="{74839317-72AA-4ED0-BB3E-302F22062F1F}" name="Ethnicity"/>
    <tableColumn id="2" xr3:uid="{152633F8-5ADF-4145-B85D-F5B402F5505D}" name="Age Category"/>
    <tableColumn id="3" xr3:uid="{994DE43F-B9C9-4DFF-8A8A-167D9FD4EFB3}" name="Alcohol"/>
    <tableColumn id="4" xr3:uid="{409FBE4A-4F3D-4A10-9037-13915283AA9B}" name="Cocaine"/>
    <tableColumn id="5" xr3:uid="{75650259-442C-4FA1-A965-6B1F6A2E7271}" name="Heroine"/>
    <tableColumn id="6" xr3:uid="{88E067F5-2801-4AA8-8DC4-D7D73496F9CD}" name="Row Total" dataDxfId="0">
      <calculatedColumnFormula>SUM(Table1[[#This Row],[Alcohol]:[Heroine]])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D6D38-3059-4EA1-BC52-0C5CDBC0D33A}">
  <dimension ref="A1:N58"/>
  <sheetViews>
    <sheetView tabSelected="1" topLeftCell="C1" workbookViewId="0">
      <selection activeCell="H9" sqref="H9:H15"/>
    </sheetView>
  </sheetViews>
  <sheetFormatPr defaultRowHeight="14.4" x14ac:dyDescent="0.3"/>
  <cols>
    <col min="2" max="2" width="24.44140625" customWidth="1"/>
    <col min="3" max="3" width="11.88671875" customWidth="1"/>
    <col min="4" max="4" width="14.109375" customWidth="1"/>
    <col min="5" max="8" width="10.44140625" customWidth="1"/>
  </cols>
  <sheetData>
    <row r="1" spans="1:8" x14ac:dyDescent="0.3">
      <c r="A1" s="1" t="s">
        <v>0</v>
      </c>
      <c r="B1" s="2" t="s">
        <v>1</v>
      </c>
    </row>
    <row r="2" spans="1:8" x14ac:dyDescent="0.3">
      <c r="A2" s="1" t="s">
        <v>2</v>
      </c>
      <c r="B2" s="2" t="s">
        <v>3</v>
      </c>
    </row>
    <row r="3" spans="1:8" x14ac:dyDescent="0.3">
      <c r="A3" s="1" t="s">
        <v>4</v>
      </c>
      <c r="B3" s="2">
        <v>10476953</v>
      </c>
    </row>
    <row r="4" spans="1:8" x14ac:dyDescent="0.3">
      <c r="A4" s="1" t="s">
        <v>5</v>
      </c>
      <c r="B4" s="2">
        <v>1</v>
      </c>
    </row>
    <row r="8" spans="1:8" x14ac:dyDescent="0.3">
      <c r="C8" t="s">
        <v>6</v>
      </c>
      <c r="D8" t="s">
        <v>7</v>
      </c>
      <c r="E8" t="s">
        <v>8</v>
      </c>
      <c r="F8" t="s">
        <v>9</v>
      </c>
      <c r="G8" t="s">
        <v>10</v>
      </c>
      <c r="H8" t="s">
        <v>11</v>
      </c>
    </row>
    <row r="9" spans="1:8" x14ac:dyDescent="0.3">
      <c r="C9" t="s">
        <v>12</v>
      </c>
      <c r="D9" t="s">
        <v>16</v>
      </c>
      <c r="E9">
        <v>30</v>
      </c>
      <c r="F9">
        <v>48</v>
      </c>
      <c r="G9">
        <v>17</v>
      </c>
      <c r="H9">
        <f>SUM(Table1[[#This Row],[Alcohol]:[Heroine]])</f>
        <v>95</v>
      </c>
    </row>
    <row r="10" spans="1:8" x14ac:dyDescent="0.3">
      <c r="C10" t="s">
        <v>12</v>
      </c>
      <c r="D10" t="s">
        <v>17</v>
      </c>
      <c r="E10">
        <v>25</v>
      </c>
      <c r="F10">
        <v>72</v>
      </c>
      <c r="G10">
        <v>13</v>
      </c>
      <c r="H10">
        <f>SUM(Table1[[#This Row],[Alcohol]:[Heroine]])</f>
        <v>110</v>
      </c>
    </row>
    <row r="11" spans="1:8" x14ac:dyDescent="0.3">
      <c r="C11" t="s">
        <v>13</v>
      </c>
      <c r="D11" t="s">
        <v>16</v>
      </c>
      <c r="E11">
        <v>7</v>
      </c>
      <c r="F11">
        <v>0</v>
      </c>
      <c r="G11">
        <v>5</v>
      </c>
      <c r="H11">
        <f>SUM(Table1[[#This Row],[Alcohol]:[Heroine]])</f>
        <v>12</v>
      </c>
    </row>
    <row r="12" spans="1:8" x14ac:dyDescent="0.3">
      <c r="C12" t="s">
        <v>13</v>
      </c>
      <c r="D12" t="s">
        <v>17</v>
      </c>
      <c r="E12">
        <v>8</v>
      </c>
      <c r="F12">
        <v>7</v>
      </c>
      <c r="G12">
        <v>19</v>
      </c>
      <c r="H12">
        <f>SUM(Table1[[#This Row],[Alcohol]:[Heroine]])</f>
        <v>34</v>
      </c>
    </row>
    <row r="13" spans="1:8" x14ac:dyDescent="0.3">
      <c r="C13" t="s">
        <v>14</v>
      </c>
      <c r="D13" t="s">
        <v>16</v>
      </c>
      <c r="E13">
        <v>60</v>
      </c>
      <c r="F13">
        <v>2</v>
      </c>
      <c r="G13">
        <v>17</v>
      </c>
      <c r="H13">
        <f>SUM(Table1[[#This Row],[Alcohol]:[Heroine]])</f>
        <v>79</v>
      </c>
    </row>
    <row r="14" spans="1:8" x14ac:dyDescent="0.3">
      <c r="C14" t="s">
        <v>14</v>
      </c>
      <c r="D14" t="s">
        <v>17</v>
      </c>
      <c r="E14">
        <v>26</v>
      </c>
      <c r="F14">
        <v>10</v>
      </c>
      <c r="G14">
        <v>34</v>
      </c>
      <c r="H14">
        <f>SUM(Table1[[#This Row],[Alcohol]:[Heroine]])</f>
        <v>70</v>
      </c>
    </row>
    <row r="15" spans="1:8" x14ac:dyDescent="0.3">
      <c r="C15" t="s">
        <v>15</v>
      </c>
      <c r="E15">
        <f>SUM(E9:E14)</f>
        <v>156</v>
      </c>
      <c r="F15">
        <f>SUM(F9:F14)</f>
        <v>139</v>
      </c>
      <c r="G15">
        <f>SUM(G9:G14)</f>
        <v>105</v>
      </c>
      <c r="H15">
        <f>SUM(Table1[[#This Row],[Alcohol]:[Heroine]])</f>
        <v>400</v>
      </c>
    </row>
    <row r="19" spans="3:14" x14ac:dyDescent="0.3">
      <c r="C19" t="s">
        <v>18</v>
      </c>
    </row>
    <row r="21" spans="3:14" x14ac:dyDescent="0.3">
      <c r="C21" s="1" t="s">
        <v>28</v>
      </c>
      <c r="D21" s="1" t="s">
        <v>19</v>
      </c>
      <c r="E21" s="1" t="s">
        <v>20</v>
      </c>
      <c r="F21" s="1" t="s">
        <v>21</v>
      </c>
      <c r="G21" s="1" t="s">
        <v>22</v>
      </c>
      <c r="H21" s="1" t="s">
        <v>23</v>
      </c>
      <c r="I21" s="1" t="s">
        <v>24</v>
      </c>
      <c r="J21" s="1" t="s">
        <v>25</v>
      </c>
      <c r="K21" s="1" t="s">
        <v>26</v>
      </c>
      <c r="L21" s="1" t="s">
        <v>27</v>
      </c>
    </row>
    <row r="22" spans="3:14" x14ac:dyDescent="0.3">
      <c r="C22" s="3">
        <v>1</v>
      </c>
      <c r="D22" s="3" t="s">
        <v>12</v>
      </c>
      <c r="E22" s="3">
        <f>205/400</f>
        <v>0.51249999999999996</v>
      </c>
      <c r="F22" s="3">
        <f>195/400</f>
        <v>0.48749999999999999</v>
      </c>
      <c r="G22" s="3" t="s">
        <v>29</v>
      </c>
      <c r="H22" s="3">
        <f>55/205</f>
        <v>0.26829268292682928</v>
      </c>
      <c r="I22" s="3">
        <f>SUM(E11:E14)/SUM(H11:H14)</f>
        <v>0.517948717948718</v>
      </c>
      <c r="J22" s="3">
        <f>2*(E22*F22)</f>
        <v>0.49968749999999995</v>
      </c>
      <c r="K22" s="3">
        <f>ABS(I22-H22)+ABS(I23-H23)+ABS(I24-H24)</f>
        <v>0.97585991244527837</v>
      </c>
      <c r="L22" s="3">
        <f>K22*J22</f>
        <v>0.48762499999999998</v>
      </c>
      <c r="N22" t="s">
        <v>32</v>
      </c>
    </row>
    <row r="23" spans="3:14" x14ac:dyDescent="0.3">
      <c r="C23" s="3"/>
      <c r="D23" s="3"/>
      <c r="E23" s="3"/>
      <c r="F23" s="3"/>
      <c r="G23" s="3" t="s">
        <v>30</v>
      </c>
      <c r="H23" s="3">
        <f>120/205</f>
        <v>0.58536585365853655</v>
      </c>
      <c r="I23" s="3">
        <f>SUM(F11:F14)/SUM(H11:H14)</f>
        <v>9.7435897435897437E-2</v>
      </c>
      <c r="J23" s="3"/>
      <c r="K23" s="3"/>
      <c r="L23" s="3"/>
    </row>
    <row r="24" spans="3:14" x14ac:dyDescent="0.3">
      <c r="C24" s="3"/>
      <c r="D24" s="3"/>
      <c r="E24" s="3"/>
      <c r="F24" s="3"/>
      <c r="G24" s="3" t="s">
        <v>31</v>
      </c>
      <c r="H24" s="3">
        <f>30/205</f>
        <v>0.14634146341463414</v>
      </c>
      <c r="I24" s="3">
        <f>SUM(G11:G14)/SUM(H11:H14)</f>
        <v>0.38461538461538464</v>
      </c>
      <c r="J24" s="3"/>
      <c r="K24" s="3"/>
      <c r="L24" s="3"/>
    </row>
    <row r="26" spans="3:14" x14ac:dyDescent="0.3">
      <c r="C26">
        <v>2</v>
      </c>
      <c r="D26" t="s">
        <v>13</v>
      </c>
      <c r="E26">
        <f>46/400</f>
        <v>0.115</v>
      </c>
      <c r="F26">
        <f>(400-46)/400</f>
        <v>0.88500000000000001</v>
      </c>
      <c r="G26" t="s">
        <v>29</v>
      </c>
      <c r="H26">
        <f>15/46</f>
        <v>0.32608695652173914</v>
      </c>
      <c r="I26">
        <f>SUM(E9:E14)/SUM(H9:H14)</f>
        <v>0.39</v>
      </c>
      <c r="J26">
        <f t="shared" ref="J26:J49" si="0">2*(E26*F26)</f>
        <v>0.20355000000000001</v>
      </c>
      <c r="K26">
        <f t="shared" ref="K26:K49" si="1">ABS(I26-H26)+ABS(I27-H27)+ABS(I28-H28)</f>
        <v>0.51847826086956517</v>
      </c>
      <c r="L26">
        <f t="shared" ref="L26:L49" si="2">K26*J26</f>
        <v>0.10553625</v>
      </c>
    </row>
    <row r="27" spans="3:14" x14ac:dyDescent="0.3">
      <c r="G27" t="s">
        <v>30</v>
      </c>
      <c r="H27">
        <f>7/46</f>
        <v>0.15217391304347827</v>
      </c>
      <c r="I27">
        <f>SUM(F9:F14)/SUM(H9:H14)</f>
        <v>0.34749999999999998</v>
      </c>
    </row>
    <row r="28" spans="3:14" x14ac:dyDescent="0.3">
      <c r="G28" t="s">
        <v>31</v>
      </c>
      <c r="H28">
        <f>24/46</f>
        <v>0.52173913043478259</v>
      </c>
      <c r="I28">
        <f>SUM(G9:G14)/SUM(H9:H14)</f>
        <v>0.26250000000000001</v>
      </c>
    </row>
    <row r="30" spans="3:14" x14ac:dyDescent="0.3">
      <c r="C30">
        <v>3</v>
      </c>
      <c r="D30" t="s">
        <v>14</v>
      </c>
      <c r="E30">
        <f>149/400</f>
        <v>0.3725</v>
      </c>
      <c r="F30">
        <f>(400-149)/400</f>
        <v>0.62749999999999995</v>
      </c>
      <c r="G30" t="s">
        <v>29</v>
      </c>
      <c r="H30">
        <f>86/149</f>
        <v>0.57718120805369133</v>
      </c>
      <c r="I30">
        <f>SUM(E9:E12)/SUM(H9:H12)</f>
        <v>0.2788844621513944</v>
      </c>
      <c r="J30">
        <f t="shared" si="0"/>
        <v>0.46748749999999994</v>
      </c>
      <c r="K30">
        <f t="shared" si="1"/>
        <v>0.85087836573170417</v>
      </c>
      <c r="L30">
        <f t="shared" si="2"/>
        <v>0.39777499999999999</v>
      </c>
    </row>
    <row r="31" spans="3:14" x14ac:dyDescent="0.3">
      <c r="G31" t="s">
        <v>30</v>
      </c>
      <c r="H31">
        <f>12/149</f>
        <v>8.0536912751677847E-2</v>
      </c>
      <c r="I31">
        <f>SUM(F9:F12)/SUM(H9:H12)</f>
        <v>0.50597609561752988</v>
      </c>
    </row>
    <row r="32" spans="3:14" x14ac:dyDescent="0.3">
      <c r="G32" t="s">
        <v>31</v>
      </c>
      <c r="H32">
        <f>51/149</f>
        <v>0.34228187919463088</v>
      </c>
      <c r="I32">
        <f>SUM(G9:G12)/SUM(H9:H12)</f>
        <v>0.2151394422310757</v>
      </c>
    </row>
    <row r="34" spans="3:12" x14ac:dyDescent="0.3">
      <c r="C34">
        <v>4</v>
      </c>
      <c r="D34" t="s">
        <v>16</v>
      </c>
      <c r="E34">
        <f>(95+12+79)/400</f>
        <v>0.46500000000000002</v>
      </c>
      <c r="F34">
        <f>(110+34+70)/400</f>
        <v>0.53500000000000003</v>
      </c>
      <c r="G34" t="s">
        <v>29</v>
      </c>
      <c r="H34">
        <f>97/SUM(H9:H13)</f>
        <v>0.29393939393939394</v>
      </c>
      <c r="I34">
        <f>59/SUM(H10:H14)</f>
        <v>0.19344262295081968</v>
      </c>
      <c r="J34">
        <f t="shared" si="0"/>
        <v>0.49755000000000005</v>
      </c>
      <c r="K34">
        <f t="shared" si="1"/>
        <v>0.33899652260307994</v>
      </c>
      <c r="L34">
        <f t="shared" si="2"/>
        <v>0.16866771982116244</v>
      </c>
    </row>
    <row r="35" spans="3:12" x14ac:dyDescent="0.3">
      <c r="G35" t="s">
        <v>30</v>
      </c>
      <c r="H35">
        <f>50/SUM(H9:H13)</f>
        <v>0.15151515151515152</v>
      </c>
      <c r="I35">
        <f>89/SUM(H10:H14)</f>
        <v>0.29180327868852457</v>
      </c>
      <c r="J35">
        <f t="shared" si="0"/>
        <v>0</v>
      </c>
      <c r="K35">
        <f t="shared" si="1"/>
        <v>0.23849975161450571</v>
      </c>
      <c r="L35">
        <f t="shared" si="2"/>
        <v>0</v>
      </c>
    </row>
    <row r="36" spans="3:12" x14ac:dyDescent="0.3">
      <c r="G36" t="s">
        <v>31</v>
      </c>
      <c r="H36">
        <f>39/SUM(H9:H13)</f>
        <v>0.11818181818181818</v>
      </c>
      <c r="I36">
        <f>66/SUM(H10:H14)</f>
        <v>0.21639344262295082</v>
      </c>
      <c r="J36">
        <f t="shared" si="0"/>
        <v>0</v>
      </c>
      <c r="K36">
        <f t="shared" si="1"/>
        <v>9.8211624441132642E-2</v>
      </c>
      <c r="L36">
        <f t="shared" si="2"/>
        <v>0</v>
      </c>
    </row>
    <row r="40" spans="3:12" x14ac:dyDescent="0.3">
      <c r="C40" t="s">
        <v>33</v>
      </c>
    </row>
    <row r="41" spans="3:12" x14ac:dyDescent="0.3">
      <c r="C41" t="s">
        <v>34</v>
      </c>
    </row>
    <row r="42" spans="3:12" x14ac:dyDescent="0.3">
      <c r="C42" s="1" t="s">
        <v>28</v>
      </c>
      <c r="D42" s="1" t="s">
        <v>19</v>
      </c>
      <c r="E42" s="1" t="s">
        <v>20</v>
      </c>
      <c r="F42" s="1" t="s">
        <v>21</v>
      </c>
      <c r="G42" s="1" t="s">
        <v>22</v>
      </c>
      <c r="H42" s="1" t="s">
        <v>23</v>
      </c>
      <c r="I42" s="1" t="s">
        <v>24</v>
      </c>
      <c r="J42" s="1" t="s">
        <v>25</v>
      </c>
      <c r="K42" s="1" t="s">
        <v>26</v>
      </c>
      <c r="L42" s="1" t="s">
        <v>27</v>
      </c>
    </row>
    <row r="43" spans="3:12" x14ac:dyDescent="0.3">
      <c r="C43">
        <v>1</v>
      </c>
      <c r="D43" t="s">
        <v>16</v>
      </c>
      <c r="E43">
        <f>95/205</f>
        <v>0.46341463414634149</v>
      </c>
      <c r="F43">
        <f>110/205</f>
        <v>0.53658536585365857</v>
      </c>
      <c r="G43" t="s">
        <v>29</v>
      </c>
      <c r="H43">
        <f>30/95</f>
        <v>0.31578947368421051</v>
      </c>
      <c r="I43">
        <f>25/110</f>
        <v>0.22727272727272727</v>
      </c>
      <c r="J43">
        <f t="shared" si="0"/>
        <v>0.49732302201070799</v>
      </c>
      <c r="K43">
        <f t="shared" si="1"/>
        <v>0.29856459330143537</v>
      </c>
      <c r="L43">
        <f t="shared" si="2"/>
        <v>0.14848304580606783</v>
      </c>
    </row>
    <row r="44" spans="3:12" x14ac:dyDescent="0.3">
      <c r="G44" t="s">
        <v>30</v>
      </c>
      <c r="H44">
        <f>48/95</f>
        <v>0.50526315789473686</v>
      </c>
      <c r="I44">
        <f>72/110</f>
        <v>0.65454545454545454</v>
      </c>
    </row>
    <row r="45" spans="3:12" x14ac:dyDescent="0.3">
      <c r="G45" t="s">
        <v>31</v>
      </c>
      <c r="H45">
        <f>17/95</f>
        <v>0.17894736842105263</v>
      </c>
      <c r="I45">
        <f>13/110</f>
        <v>0.11818181818181818</v>
      </c>
    </row>
    <row r="47" spans="3:12" x14ac:dyDescent="0.3">
      <c r="C47" t="s">
        <v>35</v>
      </c>
    </row>
    <row r="48" spans="3:12" x14ac:dyDescent="0.3">
      <c r="C48" s="1" t="s">
        <v>28</v>
      </c>
      <c r="D48" s="1" t="s">
        <v>19</v>
      </c>
      <c r="E48" s="1" t="s">
        <v>20</v>
      </c>
      <c r="F48" s="1" t="s">
        <v>21</v>
      </c>
      <c r="G48" s="1" t="s">
        <v>22</v>
      </c>
      <c r="H48" s="1" t="s">
        <v>23</v>
      </c>
      <c r="I48" s="1" t="s">
        <v>24</v>
      </c>
      <c r="J48" s="1" t="s">
        <v>25</v>
      </c>
      <c r="K48" s="1" t="s">
        <v>26</v>
      </c>
      <c r="L48" s="1" t="s">
        <v>27</v>
      </c>
    </row>
    <row r="49" spans="3:14" x14ac:dyDescent="0.3">
      <c r="C49" s="3">
        <v>1</v>
      </c>
      <c r="D49" s="3" t="s">
        <v>16</v>
      </c>
      <c r="E49" s="3">
        <f>(12+79)/(12+34+79+70)</f>
        <v>0.46666666666666667</v>
      </c>
      <c r="F49" s="3">
        <f>104/(12+34+79+70)</f>
        <v>0.53333333333333333</v>
      </c>
      <c r="G49" s="3" t="s">
        <v>29</v>
      </c>
      <c r="H49" s="3">
        <f>67/91</f>
        <v>0.73626373626373631</v>
      </c>
      <c r="I49" s="3">
        <f>34/104</f>
        <v>0.32692307692307693</v>
      </c>
      <c r="J49" s="3">
        <f t="shared" si="0"/>
        <v>0.49777777777777776</v>
      </c>
      <c r="K49" s="3">
        <f t="shared" si="1"/>
        <v>0.81868131868131866</v>
      </c>
      <c r="L49" s="3">
        <f t="shared" si="2"/>
        <v>0.40752136752136747</v>
      </c>
      <c r="N49" t="s">
        <v>36</v>
      </c>
    </row>
    <row r="50" spans="3:14" x14ac:dyDescent="0.3">
      <c r="C50" s="3"/>
      <c r="D50" s="3"/>
      <c r="E50" s="3"/>
      <c r="F50" s="3"/>
      <c r="G50" s="3" t="s">
        <v>30</v>
      </c>
      <c r="H50" s="3">
        <f>2/91</f>
        <v>2.197802197802198E-2</v>
      </c>
      <c r="I50" s="3">
        <f>17/104</f>
        <v>0.16346153846153846</v>
      </c>
      <c r="J50" s="3"/>
      <c r="K50" s="3"/>
      <c r="L50" s="3"/>
    </row>
    <row r="51" spans="3:14" x14ac:dyDescent="0.3">
      <c r="C51" s="3"/>
      <c r="D51" s="3"/>
      <c r="E51" s="3"/>
      <c r="F51" s="3"/>
      <c r="G51" s="3" t="s">
        <v>31</v>
      </c>
      <c r="H51" s="3">
        <f>22/91</f>
        <v>0.24175824175824176</v>
      </c>
      <c r="I51" s="3">
        <f>53/104</f>
        <v>0.50961538461538458</v>
      </c>
      <c r="J51" s="3"/>
      <c r="K51" s="3"/>
      <c r="L51" s="3"/>
    </row>
    <row r="58" spans="3:14" x14ac:dyDescent="0.3">
      <c r="H58" s="4"/>
      <c r="I58" s="5"/>
      <c r="J58" s="5"/>
    </row>
  </sheetData>
  <mergeCells count="1">
    <mergeCell ref="I58:J58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Patel</dc:creator>
  <cp:lastModifiedBy>Aniket Patel</cp:lastModifiedBy>
  <dcterms:created xsi:type="dcterms:W3CDTF">2021-12-15T18:32:56Z</dcterms:created>
  <dcterms:modified xsi:type="dcterms:W3CDTF">2021-12-15T23:53:02Z</dcterms:modified>
</cp:coreProperties>
</file>