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colm Rose\Desktop\Uni\Protokolle\"/>
    </mc:Choice>
  </mc:AlternateContent>
  <xr:revisionPtr revIDLastSave="0" documentId="8_{0E6A4181-6B04-4D8C-A10D-733B744B17E7}" xr6:coauthVersionLast="33" xr6:coauthVersionMax="33" xr10:uidLastSave="{00000000-0000-0000-0000-000000000000}"/>
  <bookViews>
    <workbookView xWindow="0" yWindow="0" windowWidth="11265" windowHeight="4470" xr2:uid="{F8C9D4D7-7C56-3B48-B088-EA4CE61BDD7A}"/>
  </bookViews>
  <sheets>
    <sheet name="Tabelle1" sheetId="1" r:id="rId1"/>
  </sheets>
  <definedNames>
    <definedName name="solver_adj" localSheetId="0" hidden="1">Tabelle1!$D$5:$D$6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Tabelle1!$D$17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4" i="1" l="1"/>
  <c r="S13" i="1"/>
  <c r="R21" i="1"/>
  <c r="R22" i="1"/>
  <c r="R23" i="1"/>
  <c r="R24" i="1"/>
  <c r="R25" i="1"/>
  <c r="R26" i="1"/>
  <c r="S15" i="1"/>
  <c r="T14" i="1"/>
  <c r="U14" i="1" s="1"/>
  <c r="F14" i="1"/>
  <c r="P68" i="1" l="1"/>
  <c r="P69" i="1"/>
  <c r="P70" i="1"/>
  <c r="P71" i="1"/>
  <c r="P72" i="1"/>
  <c r="P73" i="1"/>
  <c r="P74" i="1"/>
  <c r="P75" i="1"/>
  <c r="P76" i="1"/>
  <c r="P56" i="1"/>
  <c r="Q26" i="1"/>
  <c r="Q25" i="1"/>
  <c r="Q24" i="1"/>
  <c r="Q23" i="1"/>
  <c r="Q22" i="1"/>
  <c r="Q21" i="1"/>
  <c r="Q4" i="1"/>
  <c r="Q13" i="1"/>
  <c r="Q5" i="1"/>
  <c r="R5" i="1" s="1"/>
  <c r="Q14" i="1"/>
  <c r="S4" i="1"/>
  <c r="C13" i="1"/>
  <c r="Q7" i="1" l="1"/>
  <c r="AD12" i="1"/>
  <c r="Q15" i="1"/>
  <c r="C15" i="1" s="1"/>
  <c r="Q6" i="1"/>
  <c r="S5" i="1"/>
  <c r="T4" i="1"/>
  <c r="AE59" i="1"/>
  <c r="AH59" i="1" s="1"/>
  <c r="AE60" i="1"/>
  <c r="AH60" i="1" s="1"/>
  <c r="AE61" i="1"/>
  <c r="AH61" i="1" s="1"/>
  <c r="AE62" i="1"/>
  <c r="AH62" i="1" s="1"/>
  <c r="AE63" i="1"/>
  <c r="AH63" i="1" s="1"/>
  <c r="AE64" i="1"/>
  <c r="AH64" i="1" s="1"/>
  <c r="AE65" i="1"/>
  <c r="AH65" i="1" s="1"/>
  <c r="AE66" i="1"/>
  <c r="AH66" i="1" s="1"/>
  <c r="AE67" i="1"/>
  <c r="AH67" i="1" s="1"/>
  <c r="AE68" i="1"/>
  <c r="AH68" i="1" s="1"/>
  <c r="AE69" i="1"/>
  <c r="AH69" i="1" s="1"/>
  <c r="AE58" i="1"/>
  <c r="AH58" i="1" s="1"/>
  <c r="R15" i="1" l="1"/>
  <c r="P57" i="1"/>
  <c r="P14" i="1"/>
  <c r="E14" i="1" s="1"/>
  <c r="B15" i="1"/>
  <c r="P15" i="1"/>
  <c r="E15" i="1" s="1"/>
  <c r="M14" i="1"/>
  <c r="M13" i="1"/>
  <c r="P13" i="1"/>
  <c r="AG48" i="1"/>
  <c r="AH48" i="1" s="1"/>
  <c r="AG49" i="1"/>
  <c r="AH49" i="1" s="1"/>
  <c r="AG50" i="1"/>
  <c r="AH50" i="1" s="1"/>
  <c r="AG51" i="1"/>
  <c r="AH51" i="1" s="1"/>
  <c r="AG52" i="1"/>
  <c r="AH52" i="1" s="1"/>
  <c r="AG47" i="1"/>
  <c r="AH47" i="1" s="1"/>
  <c r="AG40" i="1"/>
  <c r="AH40" i="1" s="1"/>
  <c r="AG41" i="1"/>
  <c r="AH41" i="1" s="1"/>
  <c r="AG42" i="1"/>
  <c r="AH42" i="1" s="1"/>
  <c r="AG43" i="1"/>
  <c r="AH43" i="1" s="1"/>
  <c r="AG44" i="1"/>
  <c r="AH44" i="1" s="1"/>
  <c r="AG39" i="1"/>
  <c r="AH39" i="1" s="1"/>
  <c r="B13" i="1" l="1"/>
  <c r="R13" i="1"/>
  <c r="B14" i="1"/>
  <c r="R14" i="1"/>
  <c r="D14" i="1" s="1"/>
  <c r="T13" i="1"/>
  <c r="D15" i="1"/>
  <c r="T15" i="1"/>
  <c r="AW57" i="1"/>
  <c r="AW58" i="1"/>
  <c r="AW59" i="1"/>
  <c r="AW56" i="1"/>
  <c r="AL101" i="1"/>
  <c r="AM101" i="1" s="1"/>
  <c r="AL88" i="1" s="1"/>
  <c r="E4" i="1"/>
  <c r="AF23" i="1"/>
  <c r="AE33" i="1" s="1"/>
  <c r="AF17" i="1"/>
  <c r="AD29" i="1" s="1"/>
  <c r="AF18" i="1"/>
  <c r="AD30" i="1" s="1"/>
  <c r="AF19" i="1"/>
  <c r="AD31" i="1" s="1"/>
  <c r="AF20" i="1"/>
  <c r="AH20" i="1" s="1"/>
  <c r="AF32" i="1" s="1"/>
  <c r="AF21" i="1"/>
  <c r="AD33" i="1" s="1"/>
  <c r="AF22" i="1"/>
  <c r="AD34" i="1" s="1"/>
  <c r="AE13" i="1"/>
  <c r="AH13" i="1" s="1"/>
  <c r="AE7" i="1"/>
  <c r="AH7" i="1" s="1"/>
  <c r="AQ102" i="1"/>
  <c r="AR102" i="1" s="1"/>
  <c r="AQ75" i="1" s="1"/>
  <c r="AQ101" i="1"/>
  <c r="AR101" i="1" s="1"/>
  <c r="AQ88" i="1" s="1"/>
  <c r="AQ103" i="1"/>
  <c r="AR103" i="1" s="1"/>
  <c r="AQ76" i="1" s="1"/>
  <c r="AQ104" i="1"/>
  <c r="AR104" i="1" s="1"/>
  <c r="AQ77" i="1" s="1"/>
  <c r="AQ105" i="1"/>
  <c r="AR105" i="1" s="1"/>
  <c r="AQ106" i="1"/>
  <c r="AR106" i="1" s="1"/>
  <c r="AQ79" i="1" s="1"/>
  <c r="AQ107" i="1"/>
  <c r="AR107" i="1" s="1"/>
  <c r="AQ80" i="1" s="1"/>
  <c r="AQ108" i="1"/>
  <c r="AR108" i="1" s="1"/>
  <c r="AQ81" i="1" s="1"/>
  <c r="AQ94" i="1"/>
  <c r="AQ87" i="1" s="1"/>
  <c r="AL102" i="1"/>
  <c r="AM102" i="1" s="1"/>
  <c r="AL75" i="1" s="1"/>
  <c r="AL103" i="1"/>
  <c r="AM103" i="1" s="1"/>
  <c r="AL76" i="1" s="1"/>
  <c r="AL104" i="1"/>
  <c r="AM104" i="1" s="1"/>
  <c r="AL77" i="1" s="1"/>
  <c r="AL105" i="1"/>
  <c r="AM105" i="1" s="1"/>
  <c r="AL78" i="1" s="1"/>
  <c r="AL106" i="1"/>
  <c r="AM106" i="1" s="1"/>
  <c r="AL79" i="1" s="1"/>
  <c r="AL107" i="1"/>
  <c r="AL108" i="1"/>
  <c r="AM108" i="1" s="1"/>
  <c r="AL81" i="1" s="1"/>
  <c r="AL92" i="1"/>
  <c r="AL94" i="1"/>
  <c r="S7" i="1"/>
  <c r="U7" i="1" s="1"/>
  <c r="V7" i="1" s="1"/>
  <c r="B5" i="1"/>
  <c r="B6" i="1"/>
  <c r="B7" i="1"/>
  <c r="C7" i="1"/>
  <c r="R6" i="1"/>
  <c r="D6" i="1" s="1"/>
  <c r="B4" i="1"/>
  <c r="U5" i="1"/>
  <c r="V5" i="1" s="1"/>
  <c r="S6" i="1"/>
  <c r="T6" i="1" s="1"/>
  <c r="E6" i="1" s="1"/>
  <c r="U13" i="1" l="1"/>
  <c r="V13" i="1"/>
  <c r="E13" i="1"/>
  <c r="F15" i="1"/>
  <c r="V15" i="1"/>
  <c r="U15" i="1"/>
  <c r="G15" i="1" s="1"/>
  <c r="C6" i="1"/>
  <c r="AL87" i="1"/>
  <c r="AM77" i="1" s="1"/>
  <c r="AE32" i="1"/>
  <c r="AD32" i="1"/>
  <c r="AE29" i="1"/>
  <c r="AH17" i="1"/>
  <c r="AF29" i="1" s="1"/>
  <c r="AE34" i="1"/>
  <c r="AE30" i="1"/>
  <c r="AE31" i="1"/>
  <c r="C5" i="1"/>
  <c r="C14" i="1"/>
  <c r="R4" i="1"/>
  <c r="D4" i="1" s="1"/>
  <c r="F13" i="1"/>
  <c r="AH22" i="1"/>
  <c r="AF34" i="1" s="1"/>
  <c r="AH18" i="1"/>
  <c r="AF30" i="1" s="1"/>
  <c r="AH21" i="1"/>
  <c r="AH19" i="1"/>
  <c r="AF31" i="1" s="1"/>
  <c r="AR75" i="1"/>
  <c r="AR77" i="1"/>
  <c r="AR76" i="1"/>
  <c r="AD4" i="1"/>
  <c r="AE4" i="1" s="1"/>
  <c r="AH4" i="1" s="1"/>
  <c r="AE12" i="1"/>
  <c r="AH12" i="1" s="1"/>
  <c r="AD5" i="1"/>
  <c r="AE5" i="1" s="1"/>
  <c r="AH5" i="1" s="1"/>
  <c r="AD6" i="1"/>
  <c r="AE6" i="1" s="1"/>
  <c r="AH6" i="1" s="1"/>
  <c r="AR80" i="1"/>
  <c r="AP80" i="1" s="1"/>
  <c r="AQ89" i="1"/>
  <c r="AQ90" i="1" s="1"/>
  <c r="AR79" i="1"/>
  <c r="AR81" i="1"/>
  <c r="AP81" i="1" s="1"/>
  <c r="AQ78" i="1"/>
  <c r="AR78" i="1" s="1"/>
  <c r="AL89" i="1"/>
  <c r="AM107" i="1"/>
  <c r="AL80" i="1" s="1"/>
  <c r="C4" i="1"/>
  <c r="T7" i="1"/>
  <c r="E7" i="1" s="1"/>
  <c r="T5" i="1"/>
  <c r="E5" i="1" s="1"/>
  <c r="D5" i="1"/>
  <c r="F5" i="1"/>
  <c r="U4" i="1"/>
  <c r="R7" i="1"/>
  <c r="F7" i="1"/>
  <c r="U6" i="1"/>
  <c r="D13" i="1" l="1"/>
  <c r="V14" i="1"/>
  <c r="H14" i="1" s="1"/>
  <c r="H15" i="1"/>
  <c r="AM76" i="1"/>
  <c r="AM80" i="1"/>
  <c r="AK80" i="1" s="1"/>
  <c r="AL90" i="1"/>
  <c r="AM75" i="1"/>
  <c r="AM79" i="1"/>
  <c r="AM78" i="1"/>
  <c r="AM81" i="1"/>
  <c r="AK81" i="1" s="1"/>
  <c r="AG30" i="1"/>
  <c r="AG32" i="1"/>
  <c r="AG34" i="1"/>
  <c r="AG31" i="1"/>
  <c r="AG29" i="1"/>
  <c r="AF33" i="1"/>
  <c r="AG33" i="1" s="1"/>
  <c r="G13" i="1"/>
  <c r="H13" i="1"/>
  <c r="W5" i="1"/>
  <c r="X5" i="1" s="1"/>
  <c r="G5" i="1" s="1"/>
  <c r="V4" i="1"/>
  <c r="Y4" i="1" s="1"/>
  <c r="W4" i="1"/>
  <c r="X4" i="1" s="1"/>
  <c r="W7" i="1"/>
  <c r="X7" i="1" s="1"/>
  <c r="D7" i="1"/>
  <c r="V6" i="1"/>
  <c r="W6" i="1"/>
  <c r="X6" i="1" s="1"/>
  <c r="G14" i="1" l="1"/>
  <c r="W15" i="1"/>
  <c r="I15" i="1" s="1"/>
  <c r="W14" i="1"/>
  <c r="I14" i="1" s="1"/>
  <c r="W13" i="1"/>
  <c r="I13" i="1" s="1"/>
  <c r="Z7" i="1"/>
  <c r="Z4" i="1"/>
  <c r="I4" i="1" s="1"/>
  <c r="G4" i="1"/>
  <c r="Y6" i="1"/>
  <c r="H6" i="1" s="1"/>
  <c r="F6" i="1"/>
  <c r="F4" i="1"/>
  <c r="H4" i="1"/>
  <c r="Y5" i="1"/>
  <c r="H5" i="1" s="1"/>
  <c r="Y7" i="1"/>
  <c r="H7" i="1" s="1"/>
  <c r="Z6" i="1"/>
  <c r="I6" i="1" s="1"/>
  <c r="G6" i="1"/>
  <c r="Z5" i="1"/>
  <c r="I5" i="1" s="1"/>
  <c r="G7" i="1"/>
  <c r="I7" i="1"/>
</calcChain>
</file>

<file path=xl/sharedStrings.xml><?xml version="1.0" encoding="utf-8"?>
<sst xmlns="http://schemas.openxmlformats.org/spreadsheetml/2006/main" count="371" uniqueCount="207">
  <si>
    <t>d</t>
  </si>
  <si>
    <t>TV</t>
  </si>
  <si>
    <t>U</t>
  </si>
  <si>
    <t>PV</t>
  </si>
  <si>
    <t>GA [kU]</t>
  </si>
  <si>
    <t>SA [kU/mg]</t>
  </si>
  <si>
    <t>Ausbeute [%]</t>
  </si>
  <si>
    <t>GA [U]</t>
  </si>
  <si>
    <t>V [mL]</t>
  </si>
  <si>
    <t>m [mg]</t>
  </si>
  <si>
    <t>Homogenat</t>
  </si>
  <si>
    <t>de/t</t>
  </si>
  <si>
    <t>Vf</t>
  </si>
  <si>
    <t>Wertetabelle</t>
  </si>
  <si>
    <t>CM-S</t>
  </si>
  <si>
    <t>I-S</t>
  </si>
  <si>
    <t>Lysozym</t>
  </si>
  <si>
    <t>Avidin</t>
  </si>
  <si>
    <t>Eiw.Hom.</t>
  </si>
  <si>
    <t>Mr</t>
  </si>
  <si>
    <t>eps.</t>
  </si>
  <si>
    <t>-</t>
  </si>
  <si>
    <t xml:space="preserve">280nm </t>
  </si>
  <si>
    <t>*</t>
  </si>
  <si>
    <t xml:space="preserve">Proteinbestimmung </t>
  </si>
  <si>
    <t xml:space="preserve">Aktivitätsbestimmung </t>
  </si>
  <si>
    <t xml:space="preserve">Homogenat </t>
  </si>
  <si>
    <t>V [ml]</t>
  </si>
  <si>
    <t>SA [U/mg]</t>
  </si>
  <si>
    <t xml:space="preserve">Reinigungstabelle Lysoszym </t>
  </si>
  <si>
    <t>VA [kU/mL]</t>
  </si>
  <si>
    <t>VA [U/mL]</t>
  </si>
  <si>
    <t>Beta [mg/mL]</t>
  </si>
  <si>
    <t xml:space="preserve">Rechnungstabelle Lysozym (+Rohdaten) </t>
  </si>
  <si>
    <t>Bestimmung des Molekulargewichts</t>
  </si>
  <si>
    <t>Gewichtsmarker</t>
  </si>
  <si>
    <t>RSA-Monomer</t>
  </si>
  <si>
    <t>Ovalbumin</t>
  </si>
  <si>
    <t>Carboanhydrase</t>
  </si>
  <si>
    <t xml:space="preserve">Avidin </t>
  </si>
  <si>
    <t>V0</t>
  </si>
  <si>
    <t>Vt</t>
  </si>
  <si>
    <t>Kav</t>
  </si>
  <si>
    <t>Werte</t>
  </si>
  <si>
    <t>Beispiel Wertetabelle</t>
  </si>
  <si>
    <t>Steigungsformel</t>
  </si>
  <si>
    <t>y=</t>
  </si>
  <si>
    <t>ln(x)+</t>
  </si>
  <si>
    <t xml:space="preserve">Name </t>
  </si>
  <si>
    <t>Formelzeichen</t>
  </si>
  <si>
    <t>Volumen der Gelmatrix</t>
  </si>
  <si>
    <t xml:space="preserve">Gesamtvolumen </t>
  </si>
  <si>
    <t xml:space="preserve">Säulendaten </t>
  </si>
  <si>
    <t>Radius</t>
  </si>
  <si>
    <t>Höhe</t>
  </si>
  <si>
    <t xml:space="preserve">h </t>
  </si>
  <si>
    <t>r^2</t>
  </si>
  <si>
    <t>Zahl Pi</t>
  </si>
  <si>
    <t>PI</t>
  </si>
  <si>
    <t>Vg</t>
  </si>
  <si>
    <t xml:space="preserve">Ausschlussvolumen </t>
  </si>
  <si>
    <t>Vi</t>
  </si>
  <si>
    <t xml:space="preserve">Inneres Volumen </t>
  </si>
  <si>
    <t>Pi*r^2*h</t>
  </si>
  <si>
    <t>Berechnung</t>
  </si>
  <si>
    <t>Vt-(V0+Vi)</t>
  </si>
  <si>
    <t>RSA-Dimer V(A)</t>
  </si>
  <si>
    <t>Trypsininhibitor V(En)</t>
  </si>
  <si>
    <t>Beispiel Wertetabelle (idealisiert RSA-D = Kav von 0,1)</t>
  </si>
  <si>
    <t>Elutionstabelle (idealisiert RSA-D = Kav von 0,1)</t>
  </si>
  <si>
    <t>Vt-V0-Vg Ve(En)-Ve(A)</t>
  </si>
  <si>
    <t xml:space="preserve">Elutionstabelle </t>
  </si>
  <si>
    <t xml:space="preserve">Wertetabelle </t>
  </si>
  <si>
    <t>Flussrate</t>
  </si>
  <si>
    <t>mL/min</t>
  </si>
  <si>
    <t>(Ve) mL</t>
  </si>
  <si>
    <t xml:space="preserve">Schreibgeschwindigkeit </t>
  </si>
  <si>
    <t>mm/min</t>
  </si>
  <si>
    <t>s [mm]</t>
  </si>
  <si>
    <t>t [min]</t>
  </si>
  <si>
    <t>Ausschlussvolumen V0</t>
  </si>
  <si>
    <t>RSA-Dimer (Ve{A})</t>
  </si>
  <si>
    <t>Trypsininhibitor (Ve{En})</t>
  </si>
  <si>
    <t xml:space="preserve">Berechnung von V0 und Ve (idealisiert nach Lysozym u. Avidin ) </t>
  </si>
  <si>
    <t xml:space="preserve">Berechnung von V0 und Ve </t>
  </si>
  <si>
    <t xml:space="preserve">Verdünnungsreihe SDS-Page </t>
  </si>
  <si>
    <t xml:space="preserve">Hoimognat </t>
  </si>
  <si>
    <t>V1</t>
  </si>
  <si>
    <t>V2</t>
  </si>
  <si>
    <t>V1= (Beta2*V2)/Beta1</t>
  </si>
  <si>
    <t>Beta 1 [mg/mL]</t>
  </si>
  <si>
    <t>Beta 2 [mg/mL]</t>
  </si>
  <si>
    <t>V1 [mL]</t>
  </si>
  <si>
    <t>V2 [mL]</t>
  </si>
  <si>
    <t>Dialyse (1)</t>
  </si>
  <si>
    <t xml:space="preserve">Verdünnungsreihe Gelfiltration </t>
  </si>
  <si>
    <t>PD10</t>
  </si>
  <si>
    <t>Dialyse (DE)</t>
  </si>
  <si>
    <t>Proben</t>
  </si>
  <si>
    <t xml:space="preserve">Probe </t>
  </si>
  <si>
    <t>DE</t>
  </si>
  <si>
    <t>TV (2)</t>
  </si>
  <si>
    <t>Ext.koeffizient</t>
  </si>
  <si>
    <t>d (250 µL)</t>
  </si>
  <si>
    <t>c1</t>
  </si>
  <si>
    <t>c2</t>
  </si>
  <si>
    <t>(P3)</t>
  </si>
  <si>
    <t xml:space="preserve">Verdünnungsreihe Kristallisation </t>
  </si>
  <si>
    <t>VE</t>
  </si>
  <si>
    <t>5mg in 0,25 mL VE verdünnen</t>
  </si>
  <si>
    <t>(RL)</t>
  </si>
  <si>
    <t>NaCl [µL]</t>
  </si>
  <si>
    <t>(P3) [µL]</t>
  </si>
  <si>
    <t>VE [µL]</t>
  </si>
  <si>
    <t>Summe</t>
  </si>
  <si>
    <t>VE [mL]</t>
  </si>
  <si>
    <t>Pipettierschema Kristallisation</t>
  </si>
  <si>
    <t xml:space="preserve">Bestimmung des Molekulargewichts </t>
  </si>
  <si>
    <t>Gewichtsmarker/Proben</t>
  </si>
  <si>
    <t>s [cm]</t>
  </si>
  <si>
    <t>Lysozymstandard</t>
  </si>
  <si>
    <t>Avidinstandard</t>
  </si>
  <si>
    <t>Dialyse Eluat</t>
  </si>
  <si>
    <t>(Beta)-Galactosidase</t>
  </si>
  <si>
    <t>Cytochrom C</t>
  </si>
  <si>
    <t>mehrere Zahlen</t>
  </si>
  <si>
    <t>2 Zahlen</t>
  </si>
  <si>
    <t>Bestimmung des Molekulargewichts durch Gelfiltration</t>
  </si>
  <si>
    <t>A1</t>
  </si>
  <si>
    <t>B1</t>
  </si>
  <si>
    <t>C1</t>
  </si>
  <si>
    <t>D1</t>
  </si>
  <si>
    <t>E1</t>
  </si>
  <si>
    <t>F1</t>
  </si>
  <si>
    <t>E2</t>
  </si>
  <si>
    <t>Avidin (gekauft)</t>
  </si>
  <si>
    <t>Probe</t>
  </si>
  <si>
    <t>E1 - E2</t>
  </si>
  <si>
    <t>gek.</t>
  </si>
  <si>
    <t>gek. C</t>
  </si>
  <si>
    <t>A3</t>
  </si>
  <si>
    <t>B3</t>
  </si>
  <si>
    <t>C3</t>
  </si>
  <si>
    <t>D3</t>
  </si>
  <si>
    <t>E3</t>
  </si>
  <si>
    <t>F3</t>
  </si>
  <si>
    <t>[mg/mL]</t>
  </si>
  <si>
    <t xml:space="preserve">Biotinbindung </t>
  </si>
  <si>
    <t>[nmol/ml]</t>
  </si>
  <si>
    <t>[nmol]</t>
  </si>
  <si>
    <t>[nmol/mg]</t>
  </si>
  <si>
    <t>(Beta) [mg/mL]</t>
  </si>
  <si>
    <t>E1-E2</t>
  </si>
  <si>
    <t>Masse [mg]</t>
  </si>
  <si>
    <t xml:space="preserve">Ausbeute </t>
  </si>
  <si>
    <t>Rf</t>
  </si>
  <si>
    <t>Rechnungstabelle Avidin (+Rohdaten)</t>
  </si>
  <si>
    <t>Protein</t>
  </si>
  <si>
    <t>Extinktionsdifferenz</t>
  </si>
  <si>
    <t>[%]</t>
  </si>
  <si>
    <t>[mL]</t>
  </si>
  <si>
    <t xml:space="preserve">Volumen </t>
  </si>
  <si>
    <t>Reinigungstabelle</t>
  </si>
  <si>
    <t>Volumen</t>
  </si>
  <si>
    <t>Reinigungsmethode</t>
  </si>
  <si>
    <t>RF</t>
  </si>
  <si>
    <t xml:space="preserve">Aktivität </t>
  </si>
  <si>
    <t>[mg]</t>
  </si>
  <si>
    <t>Ausbeute</t>
  </si>
  <si>
    <t>Berechnung der Biotinbindung mittels HABA (gekauft 0,52 mg/mL)</t>
  </si>
  <si>
    <t>Berechnung der Bindungsstellen mittels HABA (gekauft 0,88 mg/mL)</t>
  </si>
  <si>
    <t xml:space="preserve">Berechnung der Dissoziationskonstante Kd </t>
  </si>
  <si>
    <t>Bestimmung der Molekularmasse durch SDS-Page</t>
  </si>
  <si>
    <t>Peak</t>
  </si>
  <si>
    <t>Laufstrecke s [cm]</t>
  </si>
  <si>
    <t>{0}</t>
  </si>
  <si>
    <t>{1}</t>
  </si>
  <si>
    <t>{2}</t>
  </si>
  <si>
    <t>{3}</t>
  </si>
  <si>
    <t>{4}</t>
  </si>
  <si>
    <t>{5}</t>
  </si>
  <si>
    <t>{6}</t>
  </si>
  <si>
    <t>{7}</t>
  </si>
  <si>
    <t>{8}</t>
  </si>
  <si>
    <t>{9}</t>
  </si>
  <si>
    <t>{10}</t>
  </si>
  <si>
    <t>{11}</t>
  </si>
  <si>
    <t>V1=(c2*V2)/c1</t>
  </si>
  <si>
    <t>[mol/L]</t>
  </si>
  <si>
    <t>[µL]</t>
  </si>
  <si>
    <t xml:space="preserve">V2 </t>
  </si>
  <si>
    <t>HEPES</t>
  </si>
  <si>
    <t>GuaCl</t>
  </si>
  <si>
    <t>+</t>
  </si>
  <si>
    <t xml:space="preserve">Verdünnungsreihe Denaturierung Lysozym </t>
  </si>
  <si>
    <t xml:space="preserve">Lysozym </t>
  </si>
  <si>
    <t>Peakfraktionen der Stufenelution</t>
  </si>
  <si>
    <t>Fraktion</t>
  </si>
  <si>
    <t>Homogenat (1)</t>
  </si>
  <si>
    <t>Homogenat (2)</t>
  </si>
  <si>
    <t>Homogenat (3)</t>
  </si>
  <si>
    <t>CM-S (2)</t>
  </si>
  <si>
    <t>CM-S (1)</t>
  </si>
  <si>
    <t>RSA-Dimer</t>
  </si>
  <si>
    <t xml:space="preserve">Trypsininhibitor </t>
  </si>
  <si>
    <t xml:space="preserve">Werte Denaturierung von Lysozym </t>
  </si>
  <si>
    <t>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</si>
</sst>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3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8" xfId="0" applyBorder="1"/>
    <xf numFmtId="0" fontId="0" fillId="0" borderId="15" xfId="0" applyBorder="1"/>
    <xf numFmtId="0" fontId="0" fillId="0" borderId="0" xfId="0" applyAlignment="1"/>
    <xf numFmtId="0" fontId="0" fillId="0" borderId="1" xfId="0" applyBorder="1" applyAlignment="1"/>
    <xf numFmtId="0" fontId="0" fillId="0" borderId="4" xfId="0" applyBorder="1" applyAlignment="1"/>
    <xf numFmtId="0" fontId="0" fillId="0" borderId="0" xfId="0" applyFill="1" applyBorder="1"/>
    <xf numFmtId="9" fontId="0" fillId="0" borderId="13" xfId="1" applyFont="1" applyBorder="1"/>
    <xf numFmtId="0" fontId="0" fillId="0" borderId="6" xfId="0" applyFill="1" applyBorder="1"/>
    <xf numFmtId="0" fontId="0" fillId="0" borderId="15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/>
    <xf numFmtId="0" fontId="0" fillId="0" borderId="13" xfId="0" applyBorder="1" applyAlignment="1"/>
    <xf numFmtId="0" fontId="0" fillId="0" borderId="3" xfId="0" applyFill="1" applyBorder="1"/>
    <xf numFmtId="164" fontId="0" fillId="0" borderId="11" xfId="0" applyNumberFormat="1" applyBorder="1"/>
    <xf numFmtId="2" fontId="0" fillId="0" borderId="11" xfId="0" applyNumberFormat="1" applyBorder="1"/>
    <xf numFmtId="165" fontId="0" fillId="0" borderId="9" xfId="0" applyNumberFormat="1" applyBorder="1"/>
    <xf numFmtId="0" fontId="0" fillId="0" borderId="10" xfId="0" applyFill="1" applyBorder="1"/>
    <xf numFmtId="0" fontId="0" fillId="0" borderId="11" xfId="0" applyFill="1" applyBorder="1"/>
    <xf numFmtId="0" fontId="0" fillId="0" borderId="0" xfId="0" applyBorder="1" applyAlignment="1"/>
    <xf numFmtId="0" fontId="0" fillId="0" borderId="9" xfId="0" applyBorder="1" applyAlignment="1"/>
    <xf numFmtId="0" fontId="0" fillId="0" borderId="3" xfId="0" applyBorder="1" applyAlignment="1">
      <alignment horizontal="center"/>
    </xf>
    <xf numFmtId="0" fontId="0" fillId="0" borderId="3" xfId="0" applyBorder="1" applyAlignment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9" fontId="0" fillId="0" borderId="0" xfId="1" applyFont="1" applyBorder="1"/>
    <xf numFmtId="9" fontId="0" fillId="0" borderId="9" xfId="1" applyFont="1" applyBorder="1"/>
    <xf numFmtId="165" fontId="0" fillId="0" borderId="6" xfId="0" applyNumberFormat="1" applyBorder="1"/>
    <xf numFmtId="165" fontId="0" fillId="0" borderId="0" xfId="0" applyNumberFormat="1" applyBorder="1"/>
    <xf numFmtId="164" fontId="0" fillId="0" borderId="15" xfId="0" applyNumberFormat="1" applyBorder="1"/>
    <xf numFmtId="2" fontId="0" fillId="0" borderId="15" xfId="0" applyNumberFormat="1" applyBorder="1"/>
    <xf numFmtId="165" fontId="0" fillId="0" borderId="15" xfId="0" applyNumberFormat="1" applyBorder="1"/>
    <xf numFmtId="165" fontId="0" fillId="0" borderId="10" xfId="0" applyNumberFormat="1" applyBorder="1"/>
    <xf numFmtId="2" fontId="0" fillId="0" borderId="6" xfId="0" applyNumberFormat="1" applyBorder="1"/>
    <xf numFmtId="2" fontId="0" fillId="0" borderId="10" xfId="0" applyNumberFormat="1" applyBorder="1"/>
    <xf numFmtId="165" fontId="0" fillId="0" borderId="5" xfId="0" applyNumberFormat="1" applyBorder="1"/>
    <xf numFmtId="165" fontId="0" fillId="0" borderId="13" xfId="0" applyNumberFormat="1" applyBorder="1"/>
    <xf numFmtId="164" fontId="0" fillId="0" borderId="6" xfId="0" applyNumberFormat="1" applyBorder="1"/>
    <xf numFmtId="164" fontId="0" fillId="0" borderId="10" xfId="0" applyNumberFormat="1" applyBorder="1"/>
    <xf numFmtId="1" fontId="0" fillId="0" borderId="15" xfId="0" applyNumberFormat="1" applyBorder="1"/>
    <xf numFmtId="1" fontId="0" fillId="0" borderId="6" xfId="0" applyNumberFormat="1" applyBorder="1"/>
    <xf numFmtId="1" fontId="0" fillId="0" borderId="10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5" fontId="0" fillId="0" borderId="12" xfId="0" applyNumberFormat="1" applyBorder="1"/>
    <xf numFmtId="165" fontId="0" fillId="0" borderId="8" xfId="0" applyNumberFormat="1" applyBorder="1"/>
    <xf numFmtId="0" fontId="0" fillId="0" borderId="6" xfId="0" applyBorder="1" applyAlignment="1"/>
    <xf numFmtId="0" fontId="0" fillId="0" borderId="10" xfId="0" applyBorder="1" applyAlignment="1">
      <alignment horizontal="center"/>
    </xf>
    <xf numFmtId="164" fontId="0" fillId="0" borderId="3" xfId="0" applyNumberFormat="1" applyBorder="1"/>
    <xf numFmtId="164" fontId="0" fillId="0" borderId="0" xfId="0" applyNumberFormat="1" applyBorder="1"/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Fill="1" applyBorder="1" applyAlignment="1"/>
    <xf numFmtId="0" fontId="0" fillId="0" borderId="6" xfId="0" applyBorder="1" applyAlignment="1">
      <alignment horizontal="center"/>
    </xf>
    <xf numFmtId="0" fontId="0" fillId="0" borderId="12" xfId="0" applyFill="1" applyBorder="1"/>
    <xf numFmtId="0" fontId="0" fillId="0" borderId="5" xfId="0" applyFill="1" applyBorder="1"/>
    <xf numFmtId="0" fontId="0" fillId="0" borderId="8" xfId="0" applyFill="1" applyBorder="1"/>
    <xf numFmtId="0" fontId="0" fillId="0" borderId="9" xfId="0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5" fillId="0" borderId="14" xfId="0" applyFont="1" applyBorder="1"/>
    <xf numFmtId="0" fontId="5" fillId="0" borderId="12" xfId="0" applyFont="1" applyBorder="1" applyAlignment="1"/>
    <xf numFmtId="0" fontId="5" fillId="0" borderId="5" xfId="0" applyFont="1" applyBorder="1" applyAlignment="1"/>
    <xf numFmtId="0" fontId="5" fillId="0" borderId="0" xfId="0" applyFont="1" applyBorder="1" applyAlignment="1"/>
    <xf numFmtId="0" fontId="5" fillId="0" borderId="7" xfId="0" applyFont="1" applyBorder="1"/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16" xfId="0" applyNumberFormat="1" applyFont="1" applyBorder="1"/>
    <xf numFmtId="0" fontId="4" fillId="0" borderId="17" xfId="0" applyNumberFormat="1" applyFont="1" applyBorder="1"/>
    <xf numFmtId="2" fontId="0" fillId="0" borderId="4" xfId="0" applyNumberFormat="1" applyBorder="1"/>
    <xf numFmtId="0" fontId="0" fillId="0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64" fontId="2" fillId="0" borderId="15" xfId="0" applyNumberFormat="1" applyFont="1" applyBorder="1"/>
    <xf numFmtId="0" fontId="0" fillId="0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Fill="1" applyBorder="1"/>
    <xf numFmtId="0" fontId="5" fillId="0" borderId="0" xfId="0" applyFont="1" applyBorder="1"/>
    <xf numFmtId="0" fontId="5" fillId="0" borderId="5" xfId="0" applyFont="1" applyBorder="1"/>
    <xf numFmtId="0" fontId="0" fillId="0" borderId="11" xfId="0" applyBorder="1" applyAlignment="1">
      <alignment horizontal="center"/>
    </xf>
    <xf numFmtId="0" fontId="0" fillId="0" borderId="12" xfId="0" applyFont="1" applyBorder="1" applyAlignment="1"/>
    <xf numFmtId="0" fontId="0" fillId="0" borderId="5" xfId="0" applyFont="1" applyBorder="1" applyAlignment="1"/>
    <xf numFmtId="0" fontId="0" fillId="0" borderId="0" xfId="0" applyFont="1" applyBorder="1" applyAlignment="1"/>
    <xf numFmtId="165" fontId="0" fillId="0" borderId="12" xfId="0" applyNumberFormat="1" applyFont="1" applyBorder="1" applyAlignment="1"/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8" xfId="0" applyFont="1" applyBorder="1" applyAlignment="1"/>
    <xf numFmtId="165" fontId="0" fillId="0" borderId="14" xfId="0" applyNumberFormat="1" applyBorder="1"/>
    <xf numFmtId="165" fontId="0" fillId="0" borderId="7" xfId="0" applyNumberFormat="1" applyBorder="1"/>
    <xf numFmtId="165" fontId="0" fillId="0" borderId="11" xfId="0" applyNumberFormat="1" applyBorder="1"/>
    <xf numFmtId="0" fontId="0" fillId="0" borderId="15" xfId="0" applyFont="1" applyBorder="1" applyAlignment="1"/>
    <xf numFmtId="0" fontId="0" fillId="0" borderId="6" xfId="0" applyFont="1" applyBorder="1" applyAlignment="1"/>
    <xf numFmtId="0" fontId="0" fillId="0" borderId="10" xfId="0" applyFont="1" applyBorder="1" applyAlignment="1"/>
    <xf numFmtId="0" fontId="0" fillId="0" borderId="0" xfId="0" applyFont="1"/>
    <xf numFmtId="0" fontId="0" fillId="0" borderId="0" xfId="0" applyFont="1" applyBorder="1"/>
    <xf numFmtId="165" fontId="0" fillId="0" borderId="15" xfId="0" applyNumberFormat="1" applyFont="1" applyBorder="1" applyAlignment="1"/>
    <xf numFmtId="165" fontId="0" fillId="0" borderId="6" xfId="0" applyNumberFormat="1" applyFont="1" applyBorder="1" applyAlignment="1"/>
    <xf numFmtId="165" fontId="0" fillId="0" borderId="7" xfId="0" applyNumberFormat="1" applyFont="1" applyBorder="1" applyAlignment="1"/>
    <xf numFmtId="165" fontId="0" fillId="0" borderId="11" xfId="0" applyNumberFormat="1" applyFont="1" applyBorder="1" applyAlignment="1"/>
    <xf numFmtId="0" fontId="0" fillId="0" borderId="0" xfId="0" applyBorder="1" applyAlignment="1">
      <alignment vertical="center" wrapText="1"/>
    </xf>
    <xf numFmtId="164" fontId="0" fillId="0" borderId="15" xfId="0" applyNumberFormat="1" applyFont="1" applyBorder="1"/>
    <xf numFmtId="165" fontId="0" fillId="0" borderId="14" xfId="0" applyNumberFormat="1" applyFont="1" applyBorder="1"/>
    <xf numFmtId="2" fontId="0" fillId="0" borderId="7" xfId="0" applyNumberFormat="1" applyBorder="1"/>
    <xf numFmtId="165" fontId="0" fillId="0" borderId="5" xfId="0" applyNumberFormat="1" applyFont="1" applyBorder="1" applyAlignment="1"/>
    <xf numFmtId="165" fontId="0" fillId="0" borderId="0" xfId="0" applyNumberFormat="1" applyFont="1" applyBorder="1" applyAlignment="1"/>
    <xf numFmtId="165" fontId="0" fillId="0" borderId="9" xfId="0" applyNumberFormat="1" applyFont="1" applyBorder="1" applyAlignment="1"/>
    <xf numFmtId="0" fontId="0" fillId="0" borderId="8" xfId="0" applyFont="1" applyBorder="1" applyAlignment="1"/>
    <xf numFmtId="164" fontId="0" fillId="0" borderId="6" xfId="0" applyNumberFormat="1" applyFont="1" applyBorder="1"/>
    <xf numFmtId="164" fontId="0" fillId="0" borderId="10" xfId="0" applyNumberFormat="1" applyFont="1" applyBorder="1"/>
    <xf numFmtId="0" fontId="5" fillId="4" borderId="2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14" xfId="0" applyFont="1" applyFill="1" applyBorder="1"/>
    <xf numFmtId="0" fontId="5" fillId="4" borderId="7" xfId="0" applyFont="1" applyFill="1" applyBorder="1"/>
    <xf numFmtId="0" fontId="5" fillId="4" borderId="12" xfId="0" applyFont="1" applyFill="1" applyBorder="1" applyAlignment="1"/>
    <xf numFmtId="0" fontId="5" fillId="4" borderId="5" xfId="0" applyFont="1" applyFill="1" applyBorder="1" applyAlignment="1"/>
    <xf numFmtId="0" fontId="5" fillId="4" borderId="8" xfId="0" applyFont="1" applyFill="1" applyBorder="1" applyAlignment="1"/>
    <xf numFmtId="0" fontId="2" fillId="5" borderId="1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0" borderId="7" xfId="0" applyBorder="1" applyAlignment="1">
      <alignment vertical="center" wrapText="1"/>
    </xf>
    <xf numFmtId="0" fontId="5" fillId="0" borderId="12" xfId="0" applyFont="1" applyBorder="1"/>
    <xf numFmtId="0" fontId="0" fillId="0" borderId="3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5" fillId="0" borderId="8" xfId="0" applyFont="1" applyBorder="1"/>
    <xf numFmtId="0" fontId="0" fillId="0" borderId="7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8" xfId="0" applyFill="1" applyBorder="1"/>
    <xf numFmtId="0" fontId="0" fillId="0" borderId="17" xfId="0" applyFill="1" applyBorder="1"/>
    <xf numFmtId="0" fontId="0" fillId="0" borderId="12" xfId="0" applyFill="1" applyBorder="1" applyAlignment="1"/>
    <xf numFmtId="0" fontId="0" fillId="0" borderId="16" xfId="0" applyFill="1" applyBorder="1" applyAlignment="1"/>
    <xf numFmtId="165" fontId="5" fillId="0" borderId="5" xfId="0" applyNumberFormat="1" applyFont="1" applyBorder="1"/>
    <xf numFmtId="0" fontId="0" fillId="0" borderId="15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4" fillId="0" borderId="16" xfId="0" applyFont="1" applyBorder="1"/>
    <xf numFmtId="0" fontId="4" fillId="0" borderId="18" xfId="0" applyFont="1" applyBorder="1"/>
    <xf numFmtId="0" fontId="4" fillId="0" borderId="17" xfId="0" applyFont="1" applyBorder="1"/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5" fillId="0" borderId="11" xfId="0" applyFont="1" applyBorder="1"/>
    <xf numFmtId="0" fontId="5" fillId="0" borderId="3" xfId="0" applyFont="1" applyBorder="1"/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6" fillId="0" borderId="5" xfId="0" applyFont="1" applyBorder="1"/>
    <xf numFmtId="0" fontId="5" fillId="0" borderId="15" xfId="0" applyFont="1" applyBorder="1"/>
    <xf numFmtId="0" fontId="5" fillId="0" borderId="6" xfId="0" applyFont="1" applyBorder="1"/>
    <xf numFmtId="0" fontId="0" fillId="0" borderId="9" xfId="0" applyBorder="1" applyAlignment="1">
      <alignment horizontal="left"/>
    </xf>
    <xf numFmtId="0" fontId="3" fillId="0" borderId="5" xfId="0" applyFont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/>
    <xf numFmtId="0" fontId="0" fillId="0" borderId="0" xfId="0" applyFill="1" applyBorder="1" applyAlignment="1">
      <alignment wrapText="1"/>
    </xf>
    <xf numFmtId="0" fontId="0" fillId="0" borderId="2" xfId="0" applyBorder="1" applyAlignment="1"/>
    <xf numFmtId="0" fontId="1" fillId="0" borderId="0" xfId="2" applyBorder="1"/>
    <xf numFmtId="164" fontId="0" fillId="0" borderId="14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5" xfId="0" applyBorder="1" applyAlignment="1"/>
    <xf numFmtId="0" fontId="0" fillId="0" borderId="11" xfId="0" applyBorder="1" applyAlignment="1"/>
    <xf numFmtId="0" fontId="0" fillId="0" borderId="10" xfId="0" applyBorder="1" applyAlignment="1"/>
    <xf numFmtId="0" fontId="0" fillId="0" borderId="1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5" fillId="0" borderId="0" xfId="0" applyFont="1" applyFill="1" applyBorder="1"/>
    <xf numFmtId="0" fontId="0" fillId="0" borderId="16" xfId="0" applyBorder="1"/>
    <xf numFmtId="0" fontId="0" fillId="0" borderId="18" xfId="0" applyBorder="1"/>
    <xf numFmtId="1" fontId="0" fillId="0" borderId="0" xfId="0" applyNumberFormat="1" applyBorder="1"/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/>
    </xf>
    <xf numFmtId="0" fontId="5" fillId="0" borderId="9" xfId="0" applyFont="1" applyFill="1" applyBorder="1"/>
    <xf numFmtId="0" fontId="5" fillId="0" borderId="9" xfId="0" applyFont="1" applyBorder="1"/>
    <xf numFmtId="0" fontId="5" fillId="0" borderId="10" xfId="0" applyFont="1" applyFill="1" applyBorder="1"/>
    <xf numFmtId="0" fontId="0" fillId="0" borderId="8" xfId="0" applyBorder="1" applyAlignment="1"/>
    <xf numFmtId="9" fontId="0" fillId="0" borderId="14" xfId="1" applyFont="1" applyBorder="1"/>
    <xf numFmtId="9" fontId="0" fillId="0" borderId="7" xfId="1" applyFont="1" applyBorder="1"/>
    <xf numFmtId="9" fontId="0" fillId="0" borderId="11" xfId="1" applyFont="1" applyBorder="1"/>
    <xf numFmtId="0" fontId="5" fillId="0" borderId="13" xfId="0" applyFont="1" applyBorder="1"/>
    <xf numFmtId="0" fontId="0" fillId="0" borderId="3" xfId="0" applyBorder="1" applyAlignment="1">
      <alignment horizontal="left"/>
    </xf>
    <xf numFmtId="165" fontId="0" fillId="0" borderId="15" xfId="0" applyNumberFormat="1" applyBorder="1" applyAlignment="1">
      <alignment horizontal="left"/>
    </xf>
    <xf numFmtId="165" fontId="0" fillId="0" borderId="13" xfId="0" applyNumberForma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3" xfId="0" applyBorder="1" applyAlignment="1">
      <alignment horizontal="left"/>
    </xf>
    <xf numFmtId="2" fontId="0" fillId="0" borderId="15" xfId="0" applyNumberFormat="1" applyBorder="1" applyAlignment="1">
      <alignment horizontal="left"/>
    </xf>
    <xf numFmtId="9" fontId="0" fillId="0" borderId="13" xfId="0" applyNumberFormat="1" applyBorder="1" applyAlignment="1">
      <alignment horizontal="left"/>
    </xf>
    <xf numFmtId="1" fontId="0" fillId="0" borderId="15" xfId="0" applyNumberFormat="1" applyBorder="1" applyAlignment="1">
      <alignment horizontal="left"/>
    </xf>
    <xf numFmtId="165" fontId="0" fillId="0" borderId="6" xfId="0" applyNumberFormat="1" applyBorder="1" applyAlignment="1">
      <alignment horizontal="left"/>
    </xf>
    <xf numFmtId="165" fontId="0" fillId="0" borderId="0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2" fontId="0" fillId="0" borderId="6" xfId="0" applyNumberFormat="1" applyBorder="1" applyAlignment="1">
      <alignment horizontal="left"/>
    </xf>
    <xf numFmtId="9" fontId="0" fillId="0" borderId="0" xfId="0" applyNumberFormat="1" applyBorder="1" applyAlignment="1">
      <alignment horizontal="left"/>
    </xf>
    <xf numFmtId="1" fontId="0" fillId="0" borderId="6" xfId="0" applyNumberFormat="1" applyBorder="1" applyAlignment="1">
      <alignment horizontal="left"/>
    </xf>
    <xf numFmtId="165" fontId="0" fillId="0" borderId="10" xfId="0" applyNumberFormat="1" applyBorder="1" applyAlignment="1">
      <alignment horizontal="left"/>
    </xf>
    <xf numFmtId="165" fontId="0" fillId="0" borderId="9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2" fontId="0" fillId="0" borderId="10" xfId="0" applyNumberFormat="1" applyBorder="1" applyAlignment="1">
      <alignment horizontal="left"/>
    </xf>
    <xf numFmtId="9" fontId="2" fillId="0" borderId="9" xfId="0" applyNumberFormat="1" applyFont="1" applyBorder="1" applyAlignment="1">
      <alignment horizontal="left"/>
    </xf>
    <xf numFmtId="1" fontId="2" fillId="0" borderId="10" xfId="0" applyNumberFormat="1" applyFont="1" applyBorder="1" applyAlignment="1">
      <alignment horizontal="left"/>
    </xf>
    <xf numFmtId="0" fontId="0" fillId="0" borderId="3" xfId="0" applyFill="1" applyBorder="1" applyAlignment="1">
      <alignment horizontal="left"/>
    </xf>
    <xf numFmtId="2" fontId="0" fillId="0" borderId="12" xfId="0" applyNumberFormat="1" applyBorder="1" applyAlignment="1">
      <alignment horizontal="left"/>
    </xf>
    <xf numFmtId="2" fontId="0" fillId="0" borderId="5" xfId="0" applyNumberFormat="1" applyBorder="1" applyAlignment="1">
      <alignment horizontal="left"/>
    </xf>
    <xf numFmtId="2" fontId="0" fillId="0" borderId="8" xfId="0" applyNumberFormat="1" applyBorder="1" applyAlignment="1">
      <alignment horizontal="left"/>
    </xf>
    <xf numFmtId="2" fontId="0" fillId="0" borderId="14" xfId="0" applyNumberFormat="1" applyBorder="1" applyAlignment="1">
      <alignment horizontal="left"/>
    </xf>
    <xf numFmtId="2" fontId="0" fillId="0" borderId="13" xfId="0" applyNumberFormat="1" applyBorder="1" applyAlignment="1">
      <alignment horizontal="left"/>
    </xf>
    <xf numFmtId="2" fontId="0" fillId="0" borderId="7" xfId="0" applyNumberFormat="1" applyBorder="1" applyAlignment="1">
      <alignment horizontal="left"/>
    </xf>
    <xf numFmtId="2" fontId="0" fillId="0" borderId="0" xfId="0" applyNumberFormat="1" applyBorder="1" applyAlignment="1">
      <alignment horizontal="left"/>
    </xf>
    <xf numFmtId="2" fontId="0" fillId="0" borderId="11" xfId="0" applyNumberFormat="1" applyBorder="1" applyAlignment="1">
      <alignment horizontal="left"/>
    </xf>
    <xf numFmtId="2" fontId="0" fillId="0" borderId="9" xfId="0" applyNumberFormat="1" applyBorder="1" applyAlignment="1">
      <alignment horizontal="left"/>
    </xf>
    <xf numFmtId="165" fontId="0" fillId="0" borderId="12" xfId="0" applyNumberFormat="1" applyBorder="1" applyAlignment="1">
      <alignment horizontal="left"/>
    </xf>
    <xf numFmtId="1" fontId="0" fillId="0" borderId="14" xfId="0" applyNumberFormat="1" applyBorder="1" applyAlignment="1">
      <alignment horizontal="left"/>
    </xf>
    <xf numFmtId="1" fontId="0" fillId="0" borderId="5" xfId="0" applyNumberFormat="1" applyBorder="1" applyAlignment="1">
      <alignment horizontal="left"/>
    </xf>
    <xf numFmtId="1" fontId="0" fillId="0" borderId="7" xfId="0" applyNumberFormat="1" applyBorder="1" applyAlignment="1">
      <alignment horizontal="left"/>
    </xf>
    <xf numFmtId="1" fontId="0" fillId="0" borderId="8" xfId="0" applyNumberFormat="1" applyBorder="1" applyAlignment="1">
      <alignment horizontal="left"/>
    </xf>
    <xf numFmtId="1" fontId="0" fillId="0" borderId="10" xfId="0" applyNumberFormat="1" applyBorder="1" applyAlignment="1">
      <alignment horizontal="left"/>
    </xf>
    <xf numFmtId="9" fontId="0" fillId="0" borderId="15" xfId="1" applyFont="1" applyBorder="1" applyAlignment="1">
      <alignment horizontal="left"/>
    </xf>
    <xf numFmtId="9" fontId="0" fillId="0" borderId="6" xfId="1" applyFont="1" applyBorder="1" applyAlignment="1">
      <alignment horizontal="left"/>
    </xf>
    <xf numFmtId="9" fontId="0" fillId="0" borderId="10" xfId="1" applyFont="1" applyBorder="1" applyAlignment="1">
      <alignment horizontal="left"/>
    </xf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4" xfId="0" applyFill="1" applyBorder="1" applyAlignment="1"/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3" fillId="0" borderId="0" xfId="0" applyFont="1" applyBorder="1" applyAlignment="1">
      <alignment horizontal="center" wrapText="1"/>
    </xf>
    <xf numFmtId="0" fontId="0" fillId="3" borderId="1" xfId="0" applyFill="1" applyBorder="1" applyAlignment="1"/>
    <xf numFmtId="0" fontId="0" fillId="3" borderId="2" xfId="0" applyFill="1" applyBorder="1" applyAlignment="1"/>
    <xf numFmtId="0" fontId="0" fillId="3" borderId="4" xfId="0" applyFill="1" applyBorder="1" applyAlignment="1"/>
    <xf numFmtId="0" fontId="0" fillId="0" borderId="7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5" fillId="0" borderId="6" xfId="0" applyFont="1" applyBorder="1" applyAlignment="1"/>
    <xf numFmtId="0" fontId="5" fillId="0" borderId="10" xfId="0" applyFont="1" applyBorder="1" applyAlignment="1"/>
    <xf numFmtId="0" fontId="5" fillId="0" borderId="9" xfId="0" applyFont="1" applyBorder="1" applyAlignment="1"/>
    <xf numFmtId="164" fontId="0" fillId="0" borderId="0" xfId="0" applyNumberFormat="1" applyFont="1" applyBorder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2" borderId="0" xfId="0" applyFill="1" applyBorder="1" applyAlignment="1"/>
    <xf numFmtId="0" fontId="5" fillId="0" borderId="0" xfId="0" applyFont="1" applyFill="1" applyBorder="1" applyAlignment="1">
      <alignment horizontal="center"/>
    </xf>
    <xf numFmtId="0" fontId="0" fillId="0" borderId="1" xfId="0" applyFont="1" applyBorder="1"/>
    <xf numFmtId="0" fontId="0" fillId="0" borderId="17" xfId="0" applyBorder="1"/>
    <xf numFmtId="2" fontId="5" fillId="0" borderId="15" xfId="0" applyNumberFormat="1" applyFont="1" applyBorder="1" applyAlignment="1"/>
    <xf numFmtId="2" fontId="5" fillId="0" borderId="6" xfId="0" applyNumberFormat="1" applyFont="1" applyBorder="1" applyAlignment="1"/>
    <xf numFmtId="2" fontId="5" fillId="0" borderId="7" xfId="0" applyNumberFormat="1" applyFont="1" applyBorder="1" applyAlignment="1"/>
    <xf numFmtId="2" fontId="5" fillId="0" borderId="11" xfId="0" applyNumberFormat="1" applyFont="1" applyBorder="1" applyAlignment="1"/>
    <xf numFmtId="0" fontId="0" fillId="0" borderId="5" xfId="0" applyFill="1" applyBorder="1" applyAlignment="1"/>
    <xf numFmtId="0" fontId="5" fillId="0" borderId="7" xfId="0" applyFont="1" applyFill="1" applyBorder="1"/>
    <xf numFmtId="0" fontId="5" fillId="4" borderId="9" xfId="0" applyFont="1" applyFill="1" applyBorder="1" applyAlignment="1">
      <alignment horizontal="center"/>
    </xf>
    <xf numFmtId="0" fontId="5" fillId="4" borderId="4" xfId="0" applyFont="1" applyFill="1" applyBorder="1" applyAlignment="1"/>
    <xf numFmtId="0" fontId="5" fillId="0" borderId="21" xfId="0" applyFont="1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5" xfId="0" applyBorder="1" applyAlignment="1"/>
    <xf numFmtId="0" fontId="0" fillId="0" borderId="10" xfId="0" applyBorder="1" applyAlignme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6" borderId="9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/>
    </xf>
  </cellXfs>
  <cellStyles count="3">
    <cellStyle name="Prozent" xfId="1" builtinId="5"/>
    <cellStyle name="Standard" xfId="0" builtinId="0"/>
    <cellStyle name="Standard 2" xfId="2" xr:uid="{93684518-8AF6-7446-89D8-6FE215F824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Peakfraktionen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Tabelle1!$Y$12:$Y$21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Tabelle1!$Z$12:$Z$21</c:f>
              <c:numCache>
                <c:formatCode>General</c:formatCode>
                <c:ptCount val="10"/>
                <c:pt idx="0">
                  <c:v>1.17E-2</c:v>
                </c:pt>
                <c:pt idx="1">
                  <c:v>1.0800000000000001E-2</c:v>
                </c:pt>
                <c:pt idx="2">
                  <c:v>0.24679999999999999</c:v>
                </c:pt>
                <c:pt idx="3">
                  <c:v>0.61909999999999998</c:v>
                </c:pt>
                <c:pt idx="4">
                  <c:v>0.52410000000000001</c:v>
                </c:pt>
                <c:pt idx="5">
                  <c:v>0.41660000000000003</c:v>
                </c:pt>
                <c:pt idx="6">
                  <c:v>0.27560000000000001</c:v>
                </c:pt>
                <c:pt idx="7">
                  <c:v>0.185</c:v>
                </c:pt>
                <c:pt idx="8">
                  <c:v>0.1231</c:v>
                </c:pt>
                <c:pt idx="9">
                  <c:v>8.7599999999999997E-2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40-C049-B9F3-AFC135E1F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37087"/>
        <c:axId val="2110350944"/>
      </c:scatterChart>
      <c:valAx>
        <c:axId val="32937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Fraktion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0350944"/>
        <c:crosses val="autoZero"/>
        <c:crossBetween val="midCat"/>
      </c:valAx>
      <c:valAx>
        <c:axId val="211035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Extinktion</a:t>
                </a:r>
                <a:r>
                  <a:rPr lang="de-D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937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DE" sz="1800" b="0" i="0" baseline="0">
                <a:effectLst/>
              </a:rPr>
              <a:t>Molekulargewichtsbestimmung Beispiel</a:t>
            </a:r>
            <a:endParaRPr lang="de-DE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9.7483389316513805E-2"/>
          <c:y val="0.14464892979264554"/>
          <c:w val="0.84431200356607594"/>
          <c:h val="0.67505069612869273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0.45822929682579877"/>
                  <c:y val="-0.224477981918926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Tabelle1!$AK$75:$AK$79</c:f>
              <c:numCache>
                <c:formatCode>General</c:formatCode>
                <c:ptCount val="5"/>
                <c:pt idx="0">
                  <c:v>134000</c:v>
                </c:pt>
                <c:pt idx="1">
                  <c:v>67000</c:v>
                </c:pt>
                <c:pt idx="2">
                  <c:v>43000</c:v>
                </c:pt>
                <c:pt idx="3">
                  <c:v>29000</c:v>
                </c:pt>
                <c:pt idx="4">
                  <c:v>20100</c:v>
                </c:pt>
              </c:numCache>
            </c:numRef>
          </c:xVal>
          <c:yVal>
            <c:numRef>
              <c:f>Tabelle1!$AM$75:$AM$79</c:f>
              <c:numCache>
                <c:formatCode>0.000</c:formatCode>
                <c:ptCount val="5"/>
                <c:pt idx="0">
                  <c:v>0.10020720846691962</c:v>
                </c:pt>
                <c:pt idx="1">
                  <c:v>0.22241380408354713</c:v>
                </c:pt>
                <c:pt idx="2">
                  <c:v>0.24683312381972292</c:v>
                </c:pt>
                <c:pt idx="3">
                  <c:v>0.27125244355589878</c:v>
                </c:pt>
                <c:pt idx="4">
                  <c:v>0.2957817602278231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B5-184B-8ABC-F8ADAF10C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98127"/>
        <c:axId val="40108399"/>
      </c:scatterChart>
      <c:valAx>
        <c:axId val="39498127"/>
        <c:scaling>
          <c:logBase val="10"/>
          <c:orientation val="minMax"/>
          <c:max val="200000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Log</a:t>
                </a:r>
                <a:r>
                  <a:rPr lang="de-DE" baseline="0"/>
                  <a:t> Mr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108399"/>
        <c:crossesAt val="0"/>
        <c:crossBetween val="midCat"/>
      </c:valAx>
      <c:valAx>
        <c:axId val="40108399"/>
        <c:scaling>
          <c:orientation val="minMax"/>
          <c:max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Kav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498127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Molekulargewichtsbestimmung Gelfiltration</a:t>
            </a:r>
            <a:r>
              <a:rPr lang="de-DE" baseline="0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0.60902046515906105"/>
                  <c:y val="-0.455534051326334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Tabelle1!$AP$75:$AP$79</c:f>
              <c:numCache>
                <c:formatCode>General</c:formatCode>
                <c:ptCount val="5"/>
                <c:pt idx="0">
                  <c:v>134000</c:v>
                </c:pt>
                <c:pt idx="1">
                  <c:v>67000</c:v>
                </c:pt>
                <c:pt idx="2">
                  <c:v>43000</c:v>
                </c:pt>
                <c:pt idx="3">
                  <c:v>29000</c:v>
                </c:pt>
                <c:pt idx="4">
                  <c:v>20100</c:v>
                </c:pt>
              </c:numCache>
            </c:numRef>
          </c:xVal>
          <c:yVal>
            <c:numRef>
              <c:f>Tabelle1!$AR$75:$AR$79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9F-F044-8872-B6AE6FDA6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079903"/>
        <c:axId val="76223071"/>
      </c:scatterChart>
      <c:valAx>
        <c:axId val="76079903"/>
        <c:scaling>
          <c:logBase val="10"/>
          <c:orientation val="minMax"/>
          <c:max val="200000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Log</a:t>
                </a:r>
                <a:r>
                  <a:rPr lang="de-DE" baseline="0"/>
                  <a:t> Mr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6223071"/>
        <c:crosses val="autoZero"/>
        <c:crossBetween val="midCat"/>
      </c:valAx>
      <c:valAx>
        <c:axId val="76223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Kav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6079903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Molekulargewichtsbestimmung</a:t>
            </a:r>
            <a:r>
              <a:rPr lang="de-DE" baseline="0"/>
              <a:t> Beispiel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0.44527449693788279"/>
                  <c:y val="-0.279772528433945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Tabelle1!$AW$50:$AW$55</c:f>
              <c:numCache>
                <c:formatCode>General</c:formatCode>
                <c:ptCount val="6"/>
                <c:pt idx="0">
                  <c:v>116000</c:v>
                </c:pt>
                <c:pt idx="1">
                  <c:v>45000</c:v>
                </c:pt>
                <c:pt idx="2">
                  <c:v>30000</c:v>
                </c:pt>
                <c:pt idx="3">
                  <c:v>12500</c:v>
                </c:pt>
                <c:pt idx="4">
                  <c:v>14000</c:v>
                </c:pt>
                <c:pt idx="5">
                  <c:v>68000</c:v>
                </c:pt>
              </c:numCache>
            </c:numRef>
          </c:xVal>
          <c:yVal>
            <c:numRef>
              <c:f>Tabelle1!$AX$50:$AX$55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17-514E-86B1-C3148E6FC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63279"/>
        <c:axId val="33890079"/>
      </c:scatterChart>
      <c:valAx>
        <c:axId val="25763279"/>
        <c:scaling>
          <c:logBase val="10"/>
          <c:orientation val="minMax"/>
          <c:max val="200000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3890079"/>
        <c:crosses val="autoZero"/>
        <c:crossBetween val="midCat"/>
      </c:valAx>
      <c:valAx>
        <c:axId val="3389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576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Molekulargewichtsbestimmung</a:t>
            </a:r>
            <a:r>
              <a:rPr lang="de-DE" baseline="0"/>
              <a:t> SDS-Page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0.62121408159080416"/>
                  <c:y val="-0.6392392465608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Tabelle1!$P$64:$P$67</c:f>
              <c:numCache>
                <c:formatCode>General</c:formatCode>
                <c:ptCount val="4"/>
                <c:pt idx="0">
                  <c:v>116000</c:v>
                </c:pt>
                <c:pt idx="1">
                  <c:v>45000</c:v>
                </c:pt>
                <c:pt idx="2">
                  <c:v>30000</c:v>
                </c:pt>
                <c:pt idx="3">
                  <c:v>12500</c:v>
                </c:pt>
              </c:numCache>
            </c:numRef>
          </c:xVal>
          <c:yVal>
            <c:numRef>
              <c:f>Tabelle1!$Q$64:$Q$67</c:f>
              <c:numCache>
                <c:formatCode>General</c:formatCode>
                <c:ptCount val="4"/>
                <c:pt idx="0">
                  <c:v>4.9000000000000004</c:v>
                </c:pt>
                <c:pt idx="1">
                  <c:v>9.1999999999999993</c:v>
                </c:pt>
                <c:pt idx="2">
                  <c:v>11.6</c:v>
                </c:pt>
                <c:pt idx="3">
                  <c:v>15.2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AC-A444-8CA0-D5F1C6032C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63279"/>
        <c:axId val="33890079"/>
      </c:scatterChart>
      <c:valAx>
        <c:axId val="25763279"/>
        <c:scaling>
          <c:logBase val="10"/>
          <c:orientation val="minMax"/>
          <c:max val="200000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3890079"/>
        <c:crosses val="autoZero"/>
        <c:crossBetween val="midCat"/>
      </c:valAx>
      <c:valAx>
        <c:axId val="3389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576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Molekularmassebestimmung</a:t>
            </a:r>
            <a:r>
              <a:rPr lang="de-DE" baseline="0"/>
              <a:t> Gelfiltration </a:t>
            </a:r>
            <a:endParaRPr lang="de-DE"/>
          </a:p>
        </c:rich>
      </c:tx>
      <c:layout>
        <c:manualLayout>
          <c:xMode val="edge"/>
          <c:yMode val="edge"/>
          <c:x val="0.16047405705600273"/>
          <c:y val="3.29522511132041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0.41152712318356488"/>
                  <c:y val="-0.196041059468619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Tabelle1!$P$51:$P$55</c:f>
              <c:numCache>
                <c:formatCode>General</c:formatCode>
                <c:ptCount val="5"/>
                <c:pt idx="0">
                  <c:v>134000</c:v>
                </c:pt>
                <c:pt idx="1">
                  <c:v>67000</c:v>
                </c:pt>
                <c:pt idx="2">
                  <c:v>43000</c:v>
                </c:pt>
                <c:pt idx="3">
                  <c:v>29000</c:v>
                </c:pt>
                <c:pt idx="4">
                  <c:v>20100</c:v>
                </c:pt>
              </c:numCache>
            </c:numRef>
          </c:xVal>
          <c:yVal>
            <c:numRef>
              <c:f>Tabelle1!$Q$51:$Q$55</c:f>
              <c:numCache>
                <c:formatCode>0.00</c:formatCode>
                <c:ptCount val="5"/>
                <c:pt idx="0">
                  <c:v>1.52</c:v>
                </c:pt>
                <c:pt idx="1">
                  <c:v>1.76</c:v>
                </c:pt>
                <c:pt idx="2">
                  <c:v>1.92</c:v>
                </c:pt>
                <c:pt idx="3">
                  <c:v>2.1</c:v>
                </c:pt>
                <c:pt idx="4">
                  <c:v>2.2799999999999998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24-3849-8207-4B9A71CBE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8977439"/>
        <c:axId val="919480831"/>
      </c:scatterChart>
      <c:valAx>
        <c:axId val="918977439"/>
        <c:scaling>
          <c:logBase val="10"/>
          <c:orientation val="minMax"/>
          <c:max val="200000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Log</a:t>
                </a:r>
                <a:r>
                  <a:rPr lang="de-DE" baseline="0"/>
                  <a:t> Mr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19480831"/>
        <c:crosses val="autoZero"/>
        <c:crossBetween val="midCat"/>
      </c:valAx>
      <c:valAx>
        <c:axId val="91948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Elutionsvolumen</a:t>
                </a:r>
                <a:r>
                  <a:rPr lang="de-DE" baseline="0"/>
                  <a:t> [mL]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18977439"/>
        <c:crosses val="autoZero"/>
        <c:crossBetween val="midCat"/>
        <c:majorUnit val="1"/>
        <c:min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778934</xdr:colOff>
      <xdr:row>22</xdr:row>
      <xdr:rowOff>28504</xdr:rowOff>
    </xdr:from>
    <xdr:to>
      <xdr:col>26</xdr:col>
      <xdr:colOff>803145</xdr:colOff>
      <xdr:row>36</xdr:row>
      <xdr:rowOff>167004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B8ACBAF-6F97-4C40-B289-891B4D96F0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72101</xdr:colOff>
      <xdr:row>109</xdr:row>
      <xdr:rowOff>6563</xdr:rowOff>
    </xdr:from>
    <xdr:to>
      <xdr:col>39</xdr:col>
      <xdr:colOff>826</xdr:colOff>
      <xdr:row>126</xdr:row>
      <xdr:rowOff>60570</xdr:rowOff>
    </xdr:to>
    <xdr:graphicFrame macro="">
      <xdr:nvGraphicFramePr>
        <xdr:cNvPr id="13" name="Diagramm 12">
          <a:extLst>
            <a:ext uri="{FF2B5EF4-FFF2-40B4-BE49-F238E27FC236}">
              <a16:creationId xmlns:a16="http://schemas.microsoft.com/office/drawing/2014/main" id="{E82D81B8-A64E-2442-956B-C81AA3F2C7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19755</xdr:colOff>
      <xdr:row>108</xdr:row>
      <xdr:rowOff>174420</xdr:rowOff>
    </xdr:from>
    <xdr:to>
      <xdr:col>45</xdr:col>
      <xdr:colOff>728372</xdr:colOff>
      <xdr:row>126</xdr:row>
      <xdr:rowOff>40537</xdr:rowOff>
    </xdr:to>
    <xdr:graphicFrame macro="">
      <xdr:nvGraphicFramePr>
        <xdr:cNvPr id="15" name="Diagramm 14">
          <a:extLst>
            <a:ext uri="{FF2B5EF4-FFF2-40B4-BE49-F238E27FC236}">
              <a16:creationId xmlns:a16="http://schemas.microsoft.com/office/drawing/2014/main" id="{09E68126-03FE-B241-B233-727FB2B3AA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52</xdr:col>
      <xdr:colOff>704850</xdr:colOff>
      <xdr:row>46</xdr:row>
      <xdr:rowOff>44450</xdr:rowOff>
    </xdr:from>
    <xdr:to>
      <xdr:col>59</xdr:col>
      <xdr:colOff>101600</xdr:colOff>
      <xdr:row>61</xdr:row>
      <xdr:rowOff>12700</xdr:rowOff>
    </xdr:to>
    <xdr:graphicFrame macro="">
      <xdr:nvGraphicFramePr>
        <xdr:cNvPr id="16" name="Diagramm 15">
          <a:extLst>
            <a:ext uri="{FF2B5EF4-FFF2-40B4-BE49-F238E27FC236}">
              <a16:creationId xmlns:a16="http://schemas.microsoft.com/office/drawing/2014/main" id="{5D9B3D76-4404-AF40-B8A1-94611DAE50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20791</xdr:colOff>
      <xdr:row>60</xdr:row>
      <xdr:rowOff>108128</xdr:rowOff>
    </xdr:from>
    <xdr:to>
      <xdr:col>23</xdr:col>
      <xdr:colOff>815930</xdr:colOff>
      <xdr:row>76</xdr:row>
      <xdr:rowOff>167484</xdr:rowOff>
    </xdr:to>
    <xdr:graphicFrame macro="">
      <xdr:nvGraphicFramePr>
        <xdr:cNvPr id="17" name="Diagramm 16">
          <a:extLst>
            <a:ext uri="{FF2B5EF4-FFF2-40B4-BE49-F238E27FC236}">
              <a16:creationId xmlns:a16="http://schemas.microsoft.com/office/drawing/2014/main" id="{C37F67D3-2123-094A-A0AF-6BB59CA8B5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37523</xdr:colOff>
      <xdr:row>46</xdr:row>
      <xdr:rowOff>179821</xdr:rowOff>
    </xdr:from>
    <xdr:to>
      <xdr:col>22</xdr:col>
      <xdr:colOff>871682</xdr:colOff>
      <xdr:row>59</xdr:row>
      <xdr:rowOff>65521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0027B9E-D874-3B4D-8609-BC15CBAAD9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75A87-D530-7D49-923C-F86ABBDD6C70}">
  <dimension ref="A1:BA108"/>
  <sheetViews>
    <sheetView tabSelected="1" topLeftCell="H1" zoomScaleNormal="64" workbookViewId="0">
      <selection activeCell="S20" sqref="S20"/>
    </sheetView>
  </sheetViews>
  <sheetFormatPr baseColWidth="10" defaultRowHeight="15.75" x14ac:dyDescent="0.25"/>
  <cols>
    <col min="1" max="1" width="18.5" customWidth="1"/>
    <col min="3" max="3" width="13.5" customWidth="1"/>
    <col min="4" max="4" width="12.5" customWidth="1"/>
    <col min="7" max="7" width="12.875" customWidth="1"/>
    <col min="8" max="8" width="12.125" customWidth="1"/>
    <col min="9" max="9" width="10.125" customWidth="1"/>
    <col min="10" max="10" width="14.875" customWidth="1"/>
    <col min="11" max="11" width="18.375" customWidth="1"/>
    <col min="12" max="12" width="9.5" customWidth="1"/>
    <col min="13" max="13" width="9.625" customWidth="1"/>
    <col min="14" max="14" width="12.625" customWidth="1"/>
    <col min="15" max="15" width="13.875" customWidth="1"/>
    <col min="16" max="16" width="11.375" customWidth="1"/>
    <col min="17" max="17" width="15.5" customWidth="1"/>
    <col min="18" max="18" width="12.125" customWidth="1"/>
    <col min="19" max="19" width="11.5" customWidth="1"/>
    <col min="20" max="20" width="12.125" customWidth="1"/>
    <col min="21" max="21" width="14" customWidth="1"/>
    <col min="22" max="22" width="11.375" customWidth="1"/>
    <col min="23" max="23" width="11.625" customWidth="1"/>
    <col min="25" max="25" width="15" customWidth="1"/>
    <col min="29" max="29" width="11.625" customWidth="1"/>
    <col min="30" max="30" width="13.375" customWidth="1"/>
    <col min="31" max="31" width="13.5" customWidth="1"/>
    <col min="32" max="32" width="22.5" customWidth="1"/>
    <col min="33" max="33" width="13.125" customWidth="1"/>
    <col min="41" max="41" width="14.625" customWidth="1"/>
  </cols>
  <sheetData>
    <row r="1" spans="1:53" ht="15.95" customHeight="1" x14ac:dyDescent="0.25">
      <c r="A1" s="273" t="s">
        <v>29</v>
      </c>
      <c r="B1" s="274"/>
      <c r="C1" s="274"/>
      <c r="D1" s="274"/>
      <c r="E1" s="274"/>
      <c r="F1" s="274"/>
      <c r="G1" s="274"/>
      <c r="H1" s="274"/>
      <c r="I1" s="275"/>
      <c r="K1" s="237" t="s">
        <v>33</v>
      </c>
      <c r="L1" s="238"/>
      <c r="M1" s="238"/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8"/>
      <c r="Z1" s="239"/>
      <c r="AA1" s="255"/>
      <c r="AC1" s="273" t="s">
        <v>85</v>
      </c>
      <c r="AD1" s="274"/>
      <c r="AE1" s="274"/>
      <c r="AF1" s="274"/>
      <c r="AG1" s="274"/>
      <c r="AH1" s="275"/>
    </row>
    <row r="2" spans="1:53" x14ac:dyDescent="0.25">
      <c r="A2" s="299" t="s">
        <v>164</v>
      </c>
      <c r="B2" s="198" t="s">
        <v>163</v>
      </c>
      <c r="C2" s="304" t="s">
        <v>157</v>
      </c>
      <c r="D2" s="280"/>
      <c r="E2" s="301" t="s">
        <v>166</v>
      </c>
      <c r="F2" s="302"/>
      <c r="G2" s="303"/>
      <c r="H2" s="167" t="s">
        <v>168</v>
      </c>
      <c r="I2" s="198" t="s">
        <v>165</v>
      </c>
      <c r="K2" s="287" t="s">
        <v>164</v>
      </c>
      <c r="L2" s="273" t="s">
        <v>24</v>
      </c>
      <c r="M2" s="275"/>
      <c r="N2" s="40" t="s">
        <v>25</v>
      </c>
      <c r="O2" s="40"/>
      <c r="P2" s="297" t="s">
        <v>8</v>
      </c>
      <c r="Q2" s="297" t="s">
        <v>32</v>
      </c>
      <c r="R2" s="297" t="s">
        <v>9</v>
      </c>
      <c r="S2" s="297" t="s">
        <v>31</v>
      </c>
      <c r="T2" s="297" t="s">
        <v>30</v>
      </c>
      <c r="U2" s="43" t="s">
        <v>7</v>
      </c>
      <c r="V2" s="43" t="s">
        <v>4</v>
      </c>
      <c r="W2" s="43" t="s">
        <v>28</v>
      </c>
      <c r="X2" s="43" t="s">
        <v>5</v>
      </c>
      <c r="Y2" s="43" t="s">
        <v>6</v>
      </c>
      <c r="Z2" s="43" t="s">
        <v>165</v>
      </c>
      <c r="AA2" s="188"/>
      <c r="AC2" s="273" t="s">
        <v>89</v>
      </c>
      <c r="AD2" s="274"/>
      <c r="AE2" s="274"/>
      <c r="AF2" s="274"/>
      <c r="AG2" s="274"/>
      <c r="AH2" s="275"/>
      <c r="AN2" s="70"/>
      <c r="AS2" s="37"/>
    </row>
    <row r="3" spans="1:53" ht="31.5" x14ac:dyDescent="0.25">
      <c r="A3" s="300"/>
      <c r="B3" s="163" t="s">
        <v>160</v>
      </c>
      <c r="C3" s="198" t="s">
        <v>146</v>
      </c>
      <c r="D3" s="198" t="s">
        <v>167</v>
      </c>
      <c r="E3" s="214" t="s">
        <v>30</v>
      </c>
      <c r="F3" s="167" t="s">
        <v>4</v>
      </c>
      <c r="G3" s="214" t="s">
        <v>5</v>
      </c>
      <c r="H3" s="218" t="s">
        <v>159</v>
      </c>
      <c r="I3" s="198"/>
      <c r="K3" s="288"/>
      <c r="L3" s="3" t="s">
        <v>11</v>
      </c>
      <c r="M3" s="3" t="s">
        <v>12</v>
      </c>
      <c r="N3" s="3" t="s">
        <v>11</v>
      </c>
      <c r="O3" s="3" t="s">
        <v>12</v>
      </c>
      <c r="P3" s="298"/>
      <c r="Q3" s="298"/>
      <c r="R3" s="298"/>
      <c r="S3" s="298"/>
      <c r="T3" s="298"/>
      <c r="U3" s="44"/>
      <c r="V3" s="44"/>
      <c r="W3" s="44"/>
      <c r="X3" s="44"/>
      <c r="Y3" s="44"/>
      <c r="Z3" s="44"/>
      <c r="AA3" s="188"/>
      <c r="AC3" s="8" t="s">
        <v>98</v>
      </c>
      <c r="AD3" s="141" t="s">
        <v>90</v>
      </c>
      <c r="AE3" s="119" t="s">
        <v>92</v>
      </c>
      <c r="AF3" s="141" t="s">
        <v>91</v>
      </c>
      <c r="AG3" s="138" t="s">
        <v>93</v>
      </c>
      <c r="AH3" s="151" t="s">
        <v>115</v>
      </c>
      <c r="AN3" s="37"/>
      <c r="AS3" s="5"/>
      <c r="AZ3" s="168"/>
      <c r="BA3" s="242"/>
    </row>
    <row r="4" spans="1:53" x14ac:dyDescent="0.25">
      <c r="A4" s="3" t="s">
        <v>26</v>
      </c>
      <c r="B4" s="160">
        <f t="shared" ref="B4:D7" si="0">P4</f>
        <v>35.5</v>
      </c>
      <c r="C4" s="199">
        <f t="shared" si="0"/>
        <v>48.6</v>
      </c>
      <c r="D4" s="200">
        <f t="shared" si="0"/>
        <v>1725.3</v>
      </c>
      <c r="E4" s="201">
        <f>T4</f>
        <v>61.2</v>
      </c>
      <c r="F4" s="202">
        <f>V4</f>
        <v>2172.6</v>
      </c>
      <c r="G4" s="203">
        <f t="shared" ref="G4:I7" si="1">X4</f>
        <v>1.2592592592592593</v>
      </c>
      <c r="H4" s="204">
        <f t="shared" si="1"/>
        <v>1</v>
      </c>
      <c r="I4" s="205">
        <f t="shared" si="1"/>
        <v>1</v>
      </c>
      <c r="K4" s="3" t="s">
        <v>26</v>
      </c>
      <c r="L4" s="139">
        <v>0.48599999999999999</v>
      </c>
      <c r="M4" s="14">
        <v>100</v>
      </c>
      <c r="N4" s="139">
        <v>0.30599999999999999</v>
      </c>
      <c r="O4" s="14">
        <v>10</v>
      </c>
      <c r="P4" s="139">
        <v>35.5</v>
      </c>
      <c r="Q4" s="64">
        <f>L4/($L$26*$L$19)*M4</f>
        <v>48.6</v>
      </c>
      <c r="R4" s="51">
        <f>Q4*P4</f>
        <v>1725.3</v>
      </c>
      <c r="S4" s="13">
        <f>(N4/$L$22)*($L$20/$L$21)*O4</f>
        <v>61200</v>
      </c>
      <c r="T4" s="16">
        <f>S4/1000</f>
        <v>61.2</v>
      </c>
      <c r="U4" s="30">
        <f>S4*P4</f>
        <v>2172600</v>
      </c>
      <c r="V4" s="16">
        <f>U4/1000</f>
        <v>2172.6</v>
      </c>
      <c r="W4" s="56">
        <f>U4/R4</f>
        <v>1259.2592592592594</v>
      </c>
      <c r="X4" s="50">
        <f>W4/1000</f>
        <v>1.2592592592592593</v>
      </c>
      <c r="Y4" s="21">
        <f>V4/$V$4</f>
        <v>1</v>
      </c>
      <c r="Z4" s="59">
        <f>X4/$X$4</f>
        <v>1</v>
      </c>
      <c r="AA4" s="187"/>
      <c r="AC4" s="16" t="s">
        <v>86</v>
      </c>
      <c r="AD4" s="64">
        <f>Q4</f>
        <v>48.6</v>
      </c>
      <c r="AE4" s="49">
        <f>(AF4*AG4)/AD4</f>
        <v>4.1152263374485597E-2</v>
      </c>
      <c r="AF4" s="13">
        <v>2</v>
      </c>
      <c r="AG4" s="16">
        <v>1</v>
      </c>
      <c r="AH4" s="49">
        <f>1-AE4</f>
        <v>0.95884773662551437</v>
      </c>
      <c r="AN4" s="5"/>
      <c r="AS4" s="42"/>
      <c r="AZ4" s="168"/>
      <c r="BA4" s="242"/>
    </row>
    <row r="5" spans="1:53" x14ac:dyDescent="0.25">
      <c r="A5" s="3" t="s">
        <v>14</v>
      </c>
      <c r="B5" s="156">
        <f t="shared" si="0"/>
        <v>12</v>
      </c>
      <c r="C5" s="206">
        <f t="shared" si="0"/>
        <v>4.536290322580645</v>
      </c>
      <c r="D5" s="207">
        <f t="shared" si="0"/>
        <v>54.435483870967744</v>
      </c>
      <c r="E5" s="208">
        <f>T5</f>
        <v>178</v>
      </c>
      <c r="F5" s="157">
        <f>V5</f>
        <v>2136</v>
      </c>
      <c r="G5" s="209">
        <f t="shared" si="1"/>
        <v>39.239111111111107</v>
      </c>
      <c r="H5" s="210">
        <f t="shared" si="1"/>
        <v>0.98315382491024583</v>
      </c>
      <c r="I5" s="211">
        <f t="shared" si="1"/>
        <v>31.160470588235292</v>
      </c>
      <c r="K5" s="3" t="s">
        <v>14</v>
      </c>
      <c r="L5" s="98">
        <v>0.22500000000000001</v>
      </c>
      <c r="M5" s="7">
        <v>50</v>
      </c>
      <c r="N5" s="98">
        <v>0.17799999999999999</v>
      </c>
      <c r="O5" s="7">
        <v>50</v>
      </c>
      <c r="P5" s="150">
        <v>12</v>
      </c>
      <c r="Q5" s="55">
        <f>L5/($L$24*$L$19)*M5</f>
        <v>4.536290322580645</v>
      </c>
      <c r="R5" s="47">
        <f>Q5*P5</f>
        <v>54.435483870967744</v>
      </c>
      <c r="S5" s="5">
        <f>(N5/$L$22)*($L$20/$L$21)*O5</f>
        <v>178000</v>
      </c>
      <c r="T5" s="6">
        <f>S5/1000</f>
        <v>178</v>
      </c>
      <c r="U5" s="37">
        <f>S5*P5</f>
        <v>2136000</v>
      </c>
      <c r="V5" s="6">
        <f>U5/1000</f>
        <v>2136</v>
      </c>
      <c r="W5" s="48">
        <f>U5/R5</f>
        <v>39239.111111111109</v>
      </c>
      <c r="X5" s="53">
        <f>W5/1000</f>
        <v>39.239111111111107</v>
      </c>
      <c r="Y5" s="45">
        <f>V5/$V$4</f>
        <v>0.98315382491024583</v>
      </c>
      <c r="Z5" s="60">
        <f>X5/$X$4</f>
        <v>31.160470588235292</v>
      </c>
      <c r="AA5" s="187"/>
      <c r="AC5" s="6" t="s">
        <v>15</v>
      </c>
      <c r="AD5" s="55">
        <f>Q5</f>
        <v>4.536290322580645</v>
      </c>
      <c r="AE5" s="57">
        <f>(AF5*AG5)/AD5</f>
        <v>0.44088888888888889</v>
      </c>
      <c r="AF5" s="5">
        <v>2</v>
      </c>
      <c r="AG5" s="6">
        <v>1</v>
      </c>
      <c r="AH5" s="57">
        <f>1-AE5</f>
        <v>0.55911111111111111</v>
      </c>
      <c r="AN5" s="69"/>
      <c r="AS5" s="42"/>
      <c r="AZ5" s="168"/>
      <c r="BA5" s="242"/>
    </row>
    <row r="6" spans="1:53" x14ac:dyDescent="0.25">
      <c r="A6" s="3" t="s">
        <v>15</v>
      </c>
      <c r="B6" s="156">
        <f t="shared" si="0"/>
        <v>18.5</v>
      </c>
      <c r="C6" s="206">
        <f t="shared" si="0"/>
        <v>2.2580645161290325</v>
      </c>
      <c r="D6" s="207">
        <f t="shared" si="0"/>
        <v>41.774193548387103</v>
      </c>
      <c r="E6" s="208">
        <f>T6</f>
        <v>97.2</v>
      </c>
      <c r="F6" s="157">
        <f>V6</f>
        <v>1798.2</v>
      </c>
      <c r="G6" s="209">
        <f t="shared" si="1"/>
        <v>43.045714285714283</v>
      </c>
      <c r="H6" s="210">
        <f t="shared" si="1"/>
        <v>0.82767191383595695</v>
      </c>
      <c r="I6" s="211">
        <f t="shared" si="1"/>
        <v>34.183361344537815</v>
      </c>
      <c r="K6" s="3" t="s">
        <v>15</v>
      </c>
      <c r="L6" s="98">
        <v>0.112</v>
      </c>
      <c r="M6" s="7">
        <v>50</v>
      </c>
      <c r="N6" s="98">
        <v>0.24299999999999999</v>
      </c>
      <c r="O6" s="7">
        <v>20</v>
      </c>
      <c r="P6" s="98">
        <v>18.5</v>
      </c>
      <c r="Q6" s="55">
        <f>L6/$L$24*$L$19*M6</f>
        <v>2.2580645161290325</v>
      </c>
      <c r="R6" s="47">
        <f>Q6*P6</f>
        <v>41.774193548387103</v>
      </c>
      <c r="S6" s="5">
        <f>(N6/$L$22)*($L$20/$L$21)*O6</f>
        <v>97200</v>
      </c>
      <c r="T6" s="6">
        <f>S6/1000</f>
        <v>97.2</v>
      </c>
      <c r="U6" s="37">
        <f>S6*P6</f>
        <v>1798200</v>
      </c>
      <c r="V6" s="6">
        <f>U6/1000</f>
        <v>1798.2</v>
      </c>
      <c r="W6" s="48">
        <f>U6/R6</f>
        <v>43045.714285714283</v>
      </c>
      <c r="X6" s="53">
        <f>W6/1000</f>
        <v>43.045714285714283</v>
      </c>
      <c r="Y6" s="45">
        <f>V6/$V$4</f>
        <v>0.82767191383595695</v>
      </c>
      <c r="Z6" s="60">
        <f>X6/$X$4</f>
        <v>34.183361344537815</v>
      </c>
      <c r="AA6" s="187"/>
      <c r="AC6" s="6" t="s">
        <v>96</v>
      </c>
      <c r="AD6" s="65">
        <f>Q7</f>
        <v>13.225806451612904</v>
      </c>
      <c r="AE6" s="58">
        <f>(AF6*AG6)/AD6</f>
        <v>7.5609756097560973E-2</v>
      </c>
      <c r="AF6" s="9">
        <v>1</v>
      </c>
      <c r="AG6" s="10">
        <v>1</v>
      </c>
      <c r="AH6" s="58">
        <f>1-AE6</f>
        <v>0.92439024390243907</v>
      </c>
      <c r="AN6" s="69"/>
      <c r="AS6" s="42"/>
    </row>
    <row r="7" spans="1:53" x14ac:dyDescent="0.25">
      <c r="A7" s="3" t="s">
        <v>96</v>
      </c>
      <c r="B7" s="163">
        <f t="shared" si="0"/>
        <v>3.5</v>
      </c>
      <c r="C7" s="212">
        <f t="shared" si="0"/>
        <v>13.225806451612904</v>
      </c>
      <c r="D7" s="213">
        <f t="shared" si="0"/>
        <v>46.290322580645167</v>
      </c>
      <c r="E7" s="214">
        <f>T7</f>
        <v>426</v>
      </c>
      <c r="F7" s="167">
        <f>V7</f>
        <v>1491</v>
      </c>
      <c r="G7" s="215">
        <f t="shared" si="1"/>
        <v>32.20975609756097</v>
      </c>
      <c r="H7" s="216">
        <f t="shared" si="1"/>
        <v>0.68627450980392157</v>
      </c>
      <c r="I7" s="217">
        <f t="shared" si="1"/>
        <v>25.578335724533709</v>
      </c>
      <c r="K7" s="3" t="s">
        <v>96</v>
      </c>
      <c r="L7" s="142">
        <v>0.32800000000000001</v>
      </c>
      <c r="M7" s="11">
        <v>100</v>
      </c>
      <c r="N7" s="142">
        <v>0.21299999999999999</v>
      </c>
      <c r="O7" s="11">
        <v>100</v>
      </c>
      <c r="P7" s="142">
        <v>3.5</v>
      </c>
      <c r="Q7" s="65">
        <f>L7/$L$24*$L$19*M7</f>
        <v>13.225806451612904</v>
      </c>
      <c r="R7" s="52">
        <f>Q7*P7</f>
        <v>46.290322580645167</v>
      </c>
      <c r="S7" s="9">
        <f>(N7/$L$22)*($L$20/$L$21)*O7</f>
        <v>426000</v>
      </c>
      <c r="T7" s="10">
        <f>S7/1000</f>
        <v>426</v>
      </c>
      <c r="U7" s="38">
        <f>S7*P7</f>
        <v>1491000</v>
      </c>
      <c r="V7" s="10">
        <f>U7/1000</f>
        <v>1491</v>
      </c>
      <c r="W7" s="34">
        <f>U7/R7</f>
        <v>32209.75609756097</v>
      </c>
      <c r="X7" s="54">
        <f>W7/1000</f>
        <v>32.20975609756097</v>
      </c>
      <c r="Y7" s="46">
        <f>V7/$V$4</f>
        <v>0.68627450980392157</v>
      </c>
      <c r="Z7" s="61">
        <f>X7/$X$4</f>
        <v>25.578335724533709</v>
      </c>
      <c r="AA7" s="187"/>
      <c r="AC7" s="3" t="s">
        <v>94</v>
      </c>
      <c r="AD7" s="257">
        <v>0.88</v>
      </c>
      <c r="AE7" s="68">
        <f>(AF7*AG7)/AD7</f>
        <v>0.22727272727272729</v>
      </c>
      <c r="AF7" s="2">
        <v>0.2</v>
      </c>
      <c r="AG7" s="3">
        <v>1</v>
      </c>
      <c r="AH7" s="68">
        <f>1-AE7</f>
        <v>0.77272727272727271</v>
      </c>
      <c r="AN7" s="69"/>
    </row>
    <row r="8" spans="1:53" x14ac:dyDescent="0.25">
      <c r="K8" s="17"/>
      <c r="AC8" s="283"/>
      <c r="AD8" s="284"/>
      <c r="AE8" s="284"/>
      <c r="AF8" s="284"/>
      <c r="AG8" s="284"/>
      <c r="AH8" s="285"/>
      <c r="AN8" s="69"/>
      <c r="AS8" s="42"/>
    </row>
    <row r="9" spans="1:53" x14ac:dyDescent="0.25">
      <c r="AC9" s="273" t="s">
        <v>95</v>
      </c>
      <c r="AD9" s="274"/>
      <c r="AE9" s="274"/>
      <c r="AF9" s="274"/>
      <c r="AG9" s="274"/>
      <c r="AH9" s="275"/>
      <c r="AN9" s="69"/>
      <c r="AS9" s="42"/>
    </row>
    <row r="10" spans="1:53" x14ac:dyDescent="0.25">
      <c r="A10" s="273" t="s">
        <v>162</v>
      </c>
      <c r="B10" s="274"/>
      <c r="C10" s="274"/>
      <c r="D10" s="274"/>
      <c r="E10" s="274"/>
      <c r="F10" s="274"/>
      <c r="G10" s="274"/>
      <c r="H10" s="274"/>
      <c r="I10" s="275"/>
      <c r="K10" s="273" t="s">
        <v>156</v>
      </c>
      <c r="L10" s="274"/>
      <c r="M10" s="274"/>
      <c r="N10" s="274"/>
      <c r="O10" s="274"/>
      <c r="P10" s="274"/>
      <c r="Q10" s="274"/>
      <c r="R10" s="274"/>
      <c r="S10" s="274"/>
      <c r="T10" s="274"/>
      <c r="U10" s="274"/>
      <c r="V10" s="274"/>
      <c r="W10" s="275"/>
      <c r="Y10" s="273" t="s">
        <v>196</v>
      </c>
      <c r="Z10" s="274"/>
      <c r="AA10" s="275"/>
      <c r="AC10" s="273" t="s">
        <v>89</v>
      </c>
      <c r="AD10" s="274"/>
      <c r="AE10" s="274"/>
      <c r="AF10" s="274"/>
      <c r="AG10" s="274"/>
      <c r="AH10" s="275"/>
      <c r="AN10" s="69"/>
      <c r="AS10" s="5"/>
    </row>
    <row r="11" spans="1:53" ht="31.5" x14ac:dyDescent="0.25">
      <c r="A11" s="289" t="s">
        <v>164</v>
      </c>
      <c r="B11" s="198" t="s">
        <v>163</v>
      </c>
      <c r="C11" s="290" t="s">
        <v>157</v>
      </c>
      <c r="D11" s="291"/>
      <c r="E11" s="281" t="s">
        <v>147</v>
      </c>
      <c r="F11" s="292"/>
      <c r="G11" s="282"/>
      <c r="H11" s="214" t="s">
        <v>154</v>
      </c>
      <c r="I11" s="214" t="s">
        <v>155</v>
      </c>
      <c r="K11" s="296" t="s">
        <v>164</v>
      </c>
      <c r="L11" s="287" t="s">
        <v>11</v>
      </c>
      <c r="M11" s="40" t="s">
        <v>161</v>
      </c>
      <c r="N11" s="293" t="s">
        <v>158</v>
      </c>
      <c r="O11" s="294"/>
      <c r="P11" s="295"/>
      <c r="Q11" s="273" t="s">
        <v>157</v>
      </c>
      <c r="R11" s="275"/>
      <c r="S11" s="293" t="s">
        <v>147</v>
      </c>
      <c r="T11" s="294"/>
      <c r="U11" s="295"/>
      <c r="V11" s="40" t="s">
        <v>154</v>
      </c>
      <c r="W11" s="40" t="s">
        <v>155</v>
      </c>
      <c r="Y11" s="12" t="s">
        <v>197</v>
      </c>
      <c r="Z11" s="3" t="s">
        <v>22</v>
      </c>
      <c r="AA11" s="3" t="s">
        <v>173</v>
      </c>
      <c r="AC11" s="3" t="s">
        <v>98</v>
      </c>
      <c r="AD11" s="141" t="s">
        <v>90</v>
      </c>
      <c r="AE11" s="140" t="s">
        <v>92</v>
      </c>
      <c r="AF11" s="141" t="s">
        <v>91</v>
      </c>
      <c r="AG11" s="140" t="s">
        <v>93</v>
      </c>
      <c r="AH11" s="152" t="s">
        <v>115</v>
      </c>
      <c r="AN11" s="69"/>
      <c r="AS11" s="5"/>
    </row>
    <row r="12" spans="1:53" x14ac:dyDescent="0.25">
      <c r="A12" s="289"/>
      <c r="B12" s="214" t="s">
        <v>160</v>
      </c>
      <c r="C12" s="157" t="s">
        <v>146</v>
      </c>
      <c r="D12" s="157" t="s">
        <v>167</v>
      </c>
      <c r="E12" s="160" t="s">
        <v>148</v>
      </c>
      <c r="F12" s="202" t="s">
        <v>149</v>
      </c>
      <c r="G12" s="161" t="s">
        <v>150</v>
      </c>
      <c r="H12" s="162" t="s">
        <v>159</v>
      </c>
      <c r="I12" s="208"/>
      <c r="K12" s="296"/>
      <c r="L12" s="288"/>
      <c r="M12" s="193" t="s">
        <v>160</v>
      </c>
      <c r="N12" s="12" t="s">
        <v>132</v>
      </c>
      <c r="O12" s="13" t="s">
        <v>134</v>
      </c>
      <c r="P12" s="14" t="s">
        <v>152</v>
      </c>
      <c r="Q12" s="5" t="s">
        <v>151</v>
      </c>
      <c r="R12" s="5" t="s">
        <v>153</v>
      </c>
      <c r="S12" s="12" t="s">
        <v>148</v>
      </c>
      <c r="T12" s="13" t="s">
        <v>149</v>
      </c>
      <c r="U12" s="14" t="s">
        <v>150</v>
      </c>
      <c r="V12" s="179" t="s">
        <v>159</v>
      </c>
      <c r="W12" s="180"/>
      <c r="Y12" s="16">
        <v>1</v>
      </c>
      <c r="Z12" s="7">
        <v>1.17E-2</v>
      </c>
      <c r="AA12" s="6" t="s">
        <v>21</v>
      </c>
      <c r="AC12" s="3" t="s">
        <v>96</v>
      </c>
      <c r="AD12" s="64">
        <f>Q7</f>
        <v>13.225806451612904</v>
      </c>
      <c r="AE12" s="49">
        <f>(AF12*AG12)/AD12</f>
        <v>3.7804878048780487E-3</v>
      </c>
      <c r="AF12" s="13">
        <v>0.5</v>
      </c>
      <c r="AG12" s="16">
        <v>0.1</v>
      </c>
      <c r="AH12" s="68">
        <f>0.1-AE12</f>
        <v>9.6219512195121953E-2</v>
      </c>
      <c r="AN12" s="37"/>
    </row>
    <row r="13" spans="1:53" x14ac:dyDescent="0.25">
      <c r="A13" s="6" t="s">
        <v>26</v>
      </c>
      <c r="B13" s="228">
        <f>M13</f>
        <v>35.5</v>
      </c>
      <c r="C13" s="219">
        <f>Q13</f>
        <v>48.6</v>
      </c>
      <c r="D13" s="229">
        <f t="shared" ref="C13:I15" si="2">R13</f>
        <v>1725.3</v>
      </c>
      <c r="E13" s="219">
        <f t="shared" si="2"/>
        <v>10.029498525073745</v>
      </c>
      <c r="F13" s="223">
        <f t="shared" si="2"/>
        <v>356.04719764011793</v>
      </c>
      <c r="G13" s="222">
        <f t="shared" si="2"/>
        <v>0.2063682824089248</v>
      </c>
      <c r="H13" s="234">
        <f t="shared" si="2"/>
        <v>1</v>
      </c>
      <c r="I13" s="205">
        <f t="shared" si="2"/>
        <v>1</v>
      </c>
      <c r="K13" s="8" t="s">
        <v>26</v>
      </c>
      <c r="L13" s="16" t="s">
        <v>21</v>
      </c>
      <c r="M13" s="5">
        <f>P4</f>
        <v>35.5</v>
      </c>
      <c r="N13" s="139">
        <v>0.187</v>
      </c>
      <c r="O13" s="197">
        <v>0.13600000000000001</v>
      </c>
      <c r="P13" s="14">
        <f>N13-O13</f>
        <v>5.099999999999999E-2</v>
      </c>
      <c r="Q13" s="64">
        <f>Q4</f>
        <v>48.6</v>
      </c>
      <c r="R13" s="175">
        <f>Q13*M13</f>
        <v>1725.3</v>
      </c>
      <c r="S13" s="12">
        <f>(P13*$L$31)/($L$32*$L$33*$L$29)*1000</f>
        <v>10.029498525073745</v>
      </c>
      <c r="T13" s="13">
        <f>S13*M13</f>
        <v>356.04719764011793</v>
      </c>
      <c r="U13" s="14">
        <f>T13/R13</f>
        <v>0.2063682824089248</v>
      </c>
      <c r="V13" s="194">
        <f>T13/$T$13</f>
        <v>1</v>
      </c>
      <c r="W13" s="7">
        <f>U13/$U$13</f>
        <v>1</v>
      </c>
      <c r="Y13" s="6">
        <v>2</v>
      </c>
      <c r="Z13" s="7">
        <v>1.0800000000000001E-2</v>
      </c>
      <c r="AA13" s="6" t="s">
        <v>21</v>
      </c>
      <c r="AC13" s="10" t="s">
        <v>97</v>
      </c>
      <c r="AD13" s="257">
        <v>0.88</v>
      </c>
      <c r="AE13" s="68">
        <f>(AF13*AG13)/AD13</f>
        <v>2.8409090909090912E-2</v>
      </c>
      <c r="AF13" s="2">
        <v>0.25</v>
      </c>
      <c r="AG13" s="3">
        <v>0.1</v>
      </c>
      <c r="AH13" s="68">
        <f>0.1-AE13</f>
        <v>7.1590909090909094E-2</v>
      </c>
      <c r="AJ13" s="5"/>
      <c r="AN13" s="42"/>
    </row>
    <row r="14" spans="1:53" x14ac:dyDescent="0.25">
      <c r="A14" s="6" t="s">
        <v>14</v>
      </c>
      <c r="B14" s="230">
        <f>M14</f>
        <v>12</v>
      </c>
      <c r="C14" s="220">
        <f t="shared" si="2"/>
        <v>4.536290322580645</v>
      </c>
      <c r="D14" s="231">
        <f>R14</f>
        <v>54.435483870967744</v>
      </c>
      <c r="E14" s="220">
        <f t="shared" si="2"/>
        <v>15.929203539823012</v>
      </c>
      <c r="F14" s="225">
        <f>T14</f>
        <v>191.15044247787614</v>
      </c>
      <c r="G14" s="224">
        <f t="shared" si="2"/>
        <v>3.5115044247787615</v>
      </c>
      <c r="H14" s="235">
        <f t="shared" si="2"/>
        <v>0.53686826843413438</v>
      </c>
      <c r="I14" s="211">
        <f t="shared" si="2"/>
        <v>17.015717647058828</v>
      </c>
      <c r="K14" s="8" t="s">
        <v>14</v>
      </c>
      <c r="L14" s="6" t="s">
        <v>21</v>
      </c>
      <c r="M14" s="48">
        <f>P5</f>
        <v>12</v>
      </c>
      <c r="N14" s="98">
        <v>0.17</v>
      </c>
      <c r="O14" s="97">
        <v>8.8999999999999996E-2</v>
      </c>
      <c r="P14" s="7">
        <f>N14-O14</f>
        <v>8.1000000000000016E-2</v>
      </c>
      <c r="Q14" s="55">
        <f>Q5</f>
        <v>4.536290322580645</v>
      </c>
      <c r="R14" s="176">
        <f>Q14*M14</f>
        <v>54.435483870967744</v>
      </c>
      <c r="S14" s="8">
        <f>(P14*$L$31)/($L$32*$L$33*$L$29)*1000</f>
        <v>15.929203539823012</v>
      </c>
      <c r="T14" s="5">
        <f>S14*M14</f>
        <v>191.15044247787614</v>
      </c>
      <c r="U14" s="7">
        <f>T14/R14</f>
        <v>3.5115044247787615</v>
      </c>
      <c r="V14" s="195">
        <f>T14/$T$13</f>
        <v>0.53686826843413438</v>
      </c>
      <c r="W14" s="7">
        <f>U14/$U$13</f>
        <v>17.015717647058828</v>
      </c>
      <c r="Y14" s="6">
        <v>3</v>
      </c>
      <c r="Z14" s="7">
        <v>0.24679999999999999</v>
      </c>
      <c r="AA14" s="6" t="s">
        <v>23</v>
      </c>
      <c r="AC14" s="283"/>
      <c r="AD14" s="284"/>
      <c r="AE14" s="284"/>
      <c r="AF14" s="284"/>
      <c r="AG14" s="284"/>
      <c r="AH14" s="285"/>
      <c r="AN14" s="5"/>
      <c r="AO14" s="5"/>
      <c r="AP14" s="5"/>
      <c r="AQ14" s="5"/>
      <c r="AR14" s="5"/>
    </row>
    <row r="15" spans="1:53" ht="15.95" customHeight="1" x14ac:dyDescent="0.25">
      <c r="A15" s="35" t="s">
        <v>100</v>
      </c>
      <c r="B15" s="232">
        <f>M15</f>
        <v>1</v>
      </c>
      <c r="C15" s="221">
        <f t="shared" si="2"/>
        <v>1.7688311688311689</v>
      </c>
      <c r="D15" s="226">
        <f t="shared" si="2"/>
        <v>1.7688311688311689</v>
      </c>
      <c r="E15" s="221">
        <f t="shared" si="2"/>
        <v>167.94493608652903</v>
      </c>
      <c r="F15" s="227">
        <f t="shared" si="2"/>
        <v>167.94493608652903</v>
      </c>
      <c r="G15" s="226">
        <f t="shared" si="2"/>
        <v>94.94684345567353</v>
      </c>
      <c r="H15" s="236">
        <f t="shared" si="2"/>
        <v>0.47169290251311807</v>
      </c>
      <c r="I15" s="233">
        <f t="shared" si="2"/>
        <v>460.08447784400113</v>
      </c>
      <c r="K15" s="76" t="s">
        <v>100</v>
      </c>
      <c r="L15" s="192">
        <v>1.3620000000000001</v>
      </c>
      <c r="M15" s="190">
        <v>1</v>
      </c>
      <c r="N15" s="142">
        <v>0.94299999999999995</v>
      </c>
      <c r="O15" s="191">
        <v>8.8999999999999996E-2</v>
      </c>
      <c r="P15" s="11">
        <f>N15-O15</f>
        <v>0.85399999999999998</v>
      </c>
      <c r="Q15" s="177">
        <f>L15/$L$25*$L$19*X15</f>
        <v>1.7688311688311689</v>
      </c>
      <c r="R15" s="32">
        <f>Q15*M15</f>
        <v>1.7688311688311689</v>
      </c>
      <c r="S15" s="15">
        <f>(P15*$L$31)/($L$32*$L$33*$L$29)*1000</f>
        <v>167.94493608652903</v>
      </c>
      <c r="T15" s="9">
        <f>S15*M15</f>
        <v>167.94493608652903</v>
      </c>
      <c r="U15" s="11">
        <f>T15/R15</f>
        <v>94.94684345567353</v>
      </c>
      <c r="V15" s="196">
        <f>T15/$T$13</f>
        <v>0.47169290251311807</v>
      </c>
      <c r="W15" s="11">
        <f>U15/$U$13</f>
        <v>460.08447784400113</v>
      </c>
      <c r="X15">
        <v>2</v>
      </c>
      <c r="Y15" s="6">
        <v>4</v>
      </c>
      <c r="Z15" s="7">
        <v>0.61909999999999998</v>
      </c>
      <c r="AA15" s="6" t="s">
        <v>23</v>
      </c>
      <c r="AC15" s="306" t="s">
        <v>107</v>
      </c>
      <c r="AD15" s="307"/>
      <c r="AE15" s="307"/>
      <c r="AF15" s="307"/>
      <c r="AG15" s="307"/>
      <c r="AH15" s="308"/>
      <c r="AN15" s="5"/>
      <c r="AO15" s="5"/>
      <c r="AP15" s="5"/>
      <c r="AQ15" s="5"/>
      <c r="AR15" s="5"/>
    </row>
    <row r="16" spans="1:53" ht="16.5" thickBot="1" x14ac:dyDescent="0.3">
      <c r="A16" s="17"/>
      <c r="B16" s="17"/>
      <c r="C16" s="17"/>
      <c r="D16" s="17"/>
      <c r="E16" s="17"/>
      <c r="F16" s="17"/>
      <c r="G16" s="17"/>
      <c r="H16" s="17"/>
      <c r="I16" s="17"/>
      <c r="J16" s="17"/>
      <c r="Y16" s="6">
        <v>5</v>
      </c>
      <c r="Z16" s="7">
        <v>0.52410000000000001</v>
      </c>
      <c r="AA16" s="6" t="s">
        <v>23</v>
      </c>
      <c r="AC16" s="1"/>
      <c r="AD16" s="2" t="s">
        <v>104</v>
      </c>
      <c r="AE16" s="2" t="s">
        <v>105</v>
      </c>
      <c r="AF16" s="14" t="s">
        <v>87</v>
      </c>
      <c r="AG16" s="31" t="s">
        <v>88</v>
      </c>
      <c r="AH16" s="31" t="s">
        <v>108</v>
      </c>
      <c r="AN16" s="5"/>
      <c r="AO16" s="5"/>
      <c r="AP16" s="5"/>
      <c r="AQ16" s="5"/>
      <c r="AR16" s="5"/>
    </row>
    <row r="17" spans="1:44" x14ac:dyDescent="0.25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Y17" s="6">
        <v>6</v>
      </c>
      <c r="Z17" s="7">
        <v>0.41660000000000003</v>
      </c>
      <c r="AA17" s="6" t="s">
        <v>23</v>
      </c>
      <c r="AC17" s="41">
        <v>1</v>
      </c>
      <c r="AD17" s="247">
        <v>3</v>
      </c>
      <c r="AE17" s="75">
        <v>0.6</v>
      </c>
      <c r="AF17" s="145">
        <f t="shared" ref="AF17:AF22" si="3">(AE17*$AG$17)/$AD$17</f>
        <v>9.9999999999999992E-2</v>
      </c>
      <c r="AG17" s="246">
        <v>0.5</v>
      </c>
      <c r="AH17" s="16">
        <f t="shared" ref="AH17:AH22" si="4">0.5-(AF17+$AF$23)</f>
        <v>0.35</v>
      </c>
      <c r="AN17" s="5"/>
      <c r="AO17" s="5"/>
      <c r="AP17" s="5"/>
      <c r="AQ17" s="5"/>
      <c r="AR17" s="5"/>
    </row>
    <row r="18" spans="1:44" ht="30.95" customHeight="1" x14ac:dyDescent="0.25">
      <c r="A18" s="189"/>
      <c r="B18" s="37"/>
      <c r="C18" s="37"/>
      <c r="D18" s="37"/>
      <c r="E18" s="37"/>
      <c r="F18" s="189"/>
      <c r="G18" s="189"/>
      <c r="H18" s="189"/>
      <c r="I18" s="189"/>
      <c r="J18" s="189"/>
      <c r="K18" s="273" t="s">
        <v>13</v>
      </c>
      <c r="L18" s="275"/>
      <c r="M18" s="189"/>
      <c r="N18" s="273" t="s">
        <v>171</v>
      </c>
      <c r="O18" s="274"/>
      <c r="P18" s="274"/>
      <c r="Q18" s="274"/>
      <c r="R18" s="275"/>
      <c r="S18" s="37"/>
      <c r="T18" s="37"/>
      <c r="U18" s="37"/>
      <c r="V18" s="37"/>
      <c r="Y18" s="6">
        <v>7</v>
      </c>
      <c r="Z18" s="7">
        <v>0.27560000000000001</v>
      </c>
      <c r="AA18" s="6" t="s">
        <v>23</v>
      </c>
      <c r="AC18" s="41">
        <v>2</v>
      </c>
      <c r="AD18" s="248"/>
      <c r="AE18" s="8">
        <v>0.75</v>
      </c>
      <c r="AF18" s="146">
        <f t="shared" si="3"/>
        <v>0.125</v>
      </c>
      <c r="AG18" s="246"/>
      <c r="AH18" s="6">
        <f t="shared" si="4"/>
        <v>0.32500000000000001</v>
      </c>
    </row>
    <row r="19" spans="1:44" ht="15.95" customHeight="1" x14ac:dyDescent="0.25">
      <c r="A19" s="189"/>
      <c r="B19" s="5"/>
      <c r="C19" s="5"/>
      <c r="D19" s="5"/>
      <c r="E19" s="37"/>
      <c r="F19" s="37"/>
      <c r="G19" s="37"/>
      <c r="H19" s="37"/>
      <c r="I19" s="37"/>
      <c r="J19" s="189"/>
      <c r="K19" s="8" t="s">
        <v>0</v>
      </c>
      <c r="L19" s="7">
        <v>1</v>
      </c>
      <c r="M19" s="189"/>
      <c r="N19" s="287" t="s">
        <v>136</v>
      </c>
      <c r="O19" s="178" t="s">
        <v>135</v>
      </c>
      <c r="P19" s="7"/>
      <c r="Q19" s="23" t="s">
        <v>138</v>
      </c>
      <c r="R19" s="23" t="s">
        <v>139</v>
      </c>
      <c r="S19" s="5"/>
      <c r="T19" s="5"/>
      <c r="U19" s="20"/>
      <c r="V19" s="20"/>
      <c r="Y19" s="6">
        <v>8</v>
      </c>
      <c r="Z19" s="7">
        <v>0.185</v>
      </c>
      <c r="AA19" s="6" t="s">
        <v>23</v>
      </c>
      <c r="AC19" s="41">
        <v>3</v>
      </c>
      <c r="AD19" s="248"/>
      <c r="AE19" s="8">
        <v>0.9</v>
      </c>
      <c r="AF19" s="146">
        <f t="shared" si="3"/>
        <v>0.15</v>
      </c>
      <c r="AG19" s="246"/>
      <c r="AH19" s="6">
        <f t="shared" si="4"/>
        <v>0.3</v>
      </c>
    </row>
    <row r="20" spans="1:44" x14ac:dyDescent="0.25">
      <c r="E20" s="5"/>
      <c r="F20" s="37"/>
      <c r="G20" s="37"/>
      <c r="H20" s="37"/>
      <c r="I20" s="37"/>
      <c r="K20" s="8" t="s">
        <v>1</v>
      </c>
      <c r="L20" s="7">
        <v>1</v>
      </c>
      <c r="N20" s="288"/>
      <c r="O20" s="15" t="s">
        <v>132</v>
      </c>
      <c r="P20" s="11" t="s">
        <v>134</v>
      </c>
      <c r="Q20" s="35" t="s">
        <v>137</v>
      </c>
      <c r="R20" s="6" t="s">
        <v>206</v>
      </c>
      <c r="S20" s="5"/>
      <c r="T20" s="5"/>
      <c r="U20" s="20"/>
      <c r="V20" s="5"/>
      <c r="Y20" s="6">
        <v>9</v>
      </c>
      <c r="Z20" s="7">
        <v>0.1231</v>
      </c>
      <c r="AA20" s="6" t="s">
        <v>23</v>
      </c>
      <c r="AC20" s="41">
        <v>4</v>
      </c>
      <c r="AD20" s="248"/>
      <c r="AE20" s="8">
        <v>1.05</v>
      </c>
      <c r="AF20" s="146">
        <f t="shared" si="3"/>
        <v>0.17500000000000002</v>
      </c>
      <c r="AG20" s="246"/>
      <c r="AH20" s="6">
        <f t="shared" si="4"/>
        <v>0.27499999999999997</v>
      </c>
    </row>
    <row r="21" spans="1:44" ht="15.95" customHeight="1" x14ac:dyDescent="0.25">
      <c r="E21" s="5"/>
      <c r="F21" s="37"/>
      <c r="G21" s="37"/>
      <c r="H21" s="37"/>
      <c r="I21" s="37"/>
      <c r="K21" s="8" t="s">
        <v>3</v>
      </c>
      <c r="L21" s="7">
        <v>0.05</v>
      </c>
      <c r="N21" s="12">
        <v>1</v>
      </c>
      <c r="O21" s="165">
        <v>0.16400000000000001</v>
      </c>
      <c r="P21" s="197">
        <v>6.2E-2</v>
      </c>
      <c r="Q21" s="8">
        <f t="shared" ref="Q21:Q26" si="5">O21-P21</f>
        <v>0.10200000000000001</v>
      </c>
      <c r="R21" s="16">
        <f>(Q21*$L$31)/($L$32*$L$33*$L$29)</f>
        <v>2.0058997050147492E-2</v>
      </c>
      <c r="S21" s="97"/>
      <c r="T21" s="82"/>
      <c r="U21" s="5"/>
      <c r="V21" s="5"/>
      <c r="Y21" s="10">
        <v>10</v>
      </c>
      <c r="Z21" s="36">
        <v>8.7599999999999997E-2</v>
      </c>
      <c r="AA21" s="35" t="s">
        <v>21</v>
      </c>
      <c r="AC21" s="41">
        <v>5</v>
      </c>
      <c r="AD21" s="248"/>
      <c r="AE21" s="8">
        <v>1.2</v>
      </c>
      <c r="AF21" s="146">
        <f t="shared" si="3"/>
        <v>0.19999999999999998</v>
      </c>
      <c r="AG21" s="246"/>
      <c r="AH21" s="6">
        <f t="shared" si="4"/>
        <v>0.25</v>
      </c>
    </row>
    <row r="22" spans="1:44" ht="15.95" customHeight="1" thickBot="1" x14ac:dyDescent="0.3">
      <c r="E22" s="5"/>
      <c r="F22" s="37"/>
      <c r="G22" s="37"/>
      <c r="H22" s="37"/>
      <c r="I22" s="37"/>
      <c r="K22" s="15" t="s">
        <v>2</v>
      </c>
      <c r="L22" s="11">
        <v>1E-3</v>
      </c>
      <c r="N22" s="8">
        <v>2</v>
      </c>
      <c r="O22" s="249">
        <v>0.24099999999999999</v>
      </c>
      <c r="P22" s="82">
        <v>5.7000000000000002E-2</v>
      </c>
      <c r="Q22" s="8">
        <f t="shared" si="5"/>
        <v>0.184</v>
      </c>
      <c r="R22" s="16">
        <f t="shared" ref="R22:R26" si="6">(Q22*$L$31)/($L$32*$L$33*$L$29)</f>
        <v>3.6184857423795479E-2</v>
      </c>
      <c r="S22" s="82"/>
      <c r="T22" s="82"/>
      <c r="U22" s="5"/>
      <c r="V22" s="5"/>
      <c r="AC22" s="41">
        <v>6</v>
      </c>
      <c r="AD22" s="248"/>
      <c r="AE22" s="8">
        <v>1.35</v>
      </c>
      <c r="AF22" s="147">
        <f t="shared" si="3"/>
        <v>0.22500000000000001</v>
      </c>
      <c r="AG22" s="246"/>
      <c r="AH22" s="10">
        <f t="shared" si="4"/>
        <v>0.22499999999999998</v>
      </c>
    </row>
    <row r="23" spans="1:44" x14ac:dyDescent="0.25">
      <c r="E23" s="5"/>
      <c r="F23" s="37"/>
      <c r="G23" s="37"/>
      <c r="H23" s="37"/>
      <c r="I23" s="37"/>
      <c r="K23" s="12"/>
      <c r="L23" s="3" t="s">
        <v>20</v>
      </c>
      <c r="N23" s="8">
        <v>3</v>
      </c>
      <c r="O23" s="249">
        <v>0.32400000000000001</v>
      </c>
      <c r="P23" s="82">
        <v>0.06</v>
      </c>
      <c r="Q23" s="8">
        <f t="shared" si="5"/>
        <v>0.26400000000000001</v>
      </c>
      <c r="R23" s="16">
        <f t="shared" si="6"/>
        <v>5.1917404129793517E-2</v>
      </c>
      <c r="S23" s="82"/>
      <c r="T23" s="82"/>
      <c r="U23" s="5"/>
      <c r="V23" s="5"/>
      <c r="AC23" s="27" t="s">
        <v>106</v>
      </c>
      <c r="AD23" s="40">
        <v>1</v>
      </c>
      <c r="AE23" s="148">
        <v>0.1</v>
      </c>
      <c r="AF23" s="149">
        <f>(AE23*AG23)/AD23</f>
        <v>0.05</v>
      </c>
      <c r="AG23" s="14">
        <v>0.5</v>
      </c>
      <c r="AH23" s="16" t="s">
        <v>21</v>
      </c>
    </row>
    <row r="24" spans="1:44" x14ac:dyDescent="0.25">
      <c r="K24" s="16" t="s">
        <v>16</v>
      </c>
      <c r="L24" s="16">
        <v>2.48</v>
      </c>
      <c r="N24" s="8">
        <v>4</v>
      </c>
      <c r="O24" s="249">
        <v>0.36299999999999999</v>
      </c>
      <c r="P24" s="82">
        <v>5.8999999999999997E-2</v>
      </c>
      <c r="Q24" s="8">
        <f t="shared" si="5"/>
        <v>0.30399999999999999</v>
      </c>
      <c r="R24" s="16">
        <f t="shared" si="6"/>
        <v>5.9783677482792522E-2</v>
      </c>
      <c r="S24" s="82"/>
      <c r="T24" s="82"/>
      <c r="U24" s="5"/>
      <c r="V24" s="5"/>
      <c r="AC24" s="243"/>
      <c r="AD24" s="244"/>
      <c r="AE24" s="244"/>
      <c r="AF24" s="244"/>
      <c r="AG24" s="244"/>
      <c r="AH24" s="245"/>
    </row>
    <row r="25" spans="1:44" x14ac:dyDescent="0.25">
      <c r="K25" s="6" t="s">
        <v>17</v>
      </c>
      <c r="L25" s="6">
        <v>1.54</v>
      </c>
      <c r="N25" s="8">
        <v>5</v>
      </c>
      <c r="O25" s="249">
        <v>0.48499999999999999</v>
      </c>
      <c r="P25" s="82">
        <v>7.3999999999999996E-2</v>
      </c>
      <c r="Q25" s="8">
        <f t="shared" si="5"/>
        <v>0.41099999999999998</v>
      </c>
      <c r="R25" s="16">
        <f t="shared" si="6"/>
        <v>8.0825958702064896E-2</v>
      </c>
      <c r="S25" s="82"/>
      <c r="T25" s="82"/>
      <c r="U25" s="5"/>
      <c r="V25" s="5"/>
      <c r="AA25" s="42"/>
      <c r="AC25" s="273" t="s">
        <v>109</v>
      </c>
      <c r="AD25" s="274"/>
      <c r="AE25" s="274"/>
      <c r="AF25" s="274"/>
      <c r="AG25" s="274"/>
      <c r="AH25" s="275"/>
    </row>
    <row r="26" spans="1:44" x14ac:dyDescent="0.25">
      <c r="K26" s="10" t="s">
        <v>18</v>
      </c>
      <c r="L26" s="10">
        <v>1</v>
      </c>
      <c r="N26" s="15">
        <v>6</v>
      </c>
      <c r="O26" s="250">
        <v>0.54700000000000004</v>
      </c>
      <c r="P26" s="251">
        <v>0.1</v>
      </c>
      <c r="Q26" s="15">
        <f t="shared" si="5"/>
        <v>0.44700000000000006</v>
      </c>
      <c r="R26" s="16">
        <f t="shared" si="6"/>
        <v>8.7905604719764024E-2</v>
      </c>
      <c r="S26" s="82"/>
      <c r="T26" s="82"/>
      <c r="U26" s="5"/>
      <c r="V26" s="5"/>
      <c r="AA26" s="5"/>
      <c r="AC26" s="283"/>
      <c r="AD26" s="284"/>
      <c r="AE26" s="284"/>
      <c r="AF26" s="284"/>
      <c r="AG26" s="284"/>
      <c r="AH26" s="285"/>
    </row>
    <row r="27" spans="1:44" x14ac:dyDescent="0.25">
      <c r="Q27" s="17"/>
      <c r="AA27" s="5"/>
      <c r="AC27" s="18" t="s">
        <v>116</v>
      </c>
      <c r="AD27" s="173"/>
      <c r="AE27" s="173"/>
      <c r="AF27" s="173"/>
      <c r="AG27" s="173"/>
      <c r="AH27" s="19"/>
    </row>
    <row r="28" spans="1:44" ht="15.95" customHeight="1" x14ac:dyDescent="0.25">
      <c r="K28" s="273" t="s">
        <v>13</v>
      </c>
      <c r="L28" s="275"/>
      <c r="S28" s="17"/>
      <c r="AA28" s="5"/>
      <c r="AC28" s="15" t="s">
        <v>110</v>
      </c>
      <c r="AD28" s="3" t="s">
        <v>111</v>
      </c>
      <c r="AE28" s="2" t="s">
        <v>112</v>
      </c>
      <c r="AF28" s="3" t="s">
        <v>113</v>
      </c>
      <c r="AG28" s="11" t="s">
        <v>114</v>
      </c>
      <c r="AH28" s="7"/>
    </row>
    <row r="29" spans="1:44" x14ac:dyDescent="0.25">
      <c r="K29" s="12" t="s">
        <v>3</v>
      </c>
      <c r="L29" s="14">
        <v>0.05</v>
      </c>
      <c r="AA29" s="5"/>
      <c r="AC29" s="27">
        <v>1</v>
      </c>
      <c r="AD29" s="8">
        <f>AF17*1000</f>
        <v>99.999999999999986</v>
      </c>
      <c r="AE29" s="16">
        <f t="shared" ref="AE29:AE34" si="7">$AF$23*1000</f>
        <v>50</v>
      </c>
      <c r="AF29" s="7">
        <f>AH17*1000</f>
        <v>350</v>
      </c>
      <c r="AG29" s="14">
        <f>SUM(AD29:AF29)</f>
        <v>500</v>
      </c>
      <c r="AH29" s="7"/>
      <c r="AN29" s="70"/>
    </row>
    <row r="30" spans="1:44" x14ac:dyDescent="0.25">
      <c r="K30" s="75"/>
      <c r="L30" s="143"/>
      <c r="AA30" s="5"/>
      <c r="AC30" s="41">
        <v>2</v>
      </c>
      <c r="AD30" s="8">
        <f t="shared" ref="AD30:AD34" si="8">AF18*1000</f>
        <v>125</v>
      </c>
      <c r="AE30" s="6">
        <f t="shared" si="7"/>
        <v>50</v>
      </c>
      <c r="AF30" s="7">
        <f t="shared" ref="AF30:AF34" si="9">AH18*1000</f>
        <v>325</v>
      </c>
      <c r="AG30" s="7">
        <f t="shared" ref="AG30:AG34" si="10">SUM(AD30:AF30)</f>
        <v>500</v>
      </c>
      <c r="AH30" s="7"/>
      <c r="AN30" s="37"/>
    </row>
    <row r="31" spans="1:44" x14ac:dyDescent="0.25">
      <c r="K31" s="76" t="s">
        <v>101</v>
      </c>
      <c r="L31" s="36">
        <v>0.26</v>
      </c>
      <c r="AA31" s="5"/>
      <c r="AC31" s="41">
        <v>3</v>
      </c>
      <c r="AD31" s="8">
        <f t="shared" si="8"/>
        <v>150</v>
      </c>
      <c r="AE31" s="6">
        <f t="shared" si="7"/>
        <v>50</v>
      </c>
      <c r="AF31" s="7">
        <f t="shared" si="9"/>
        <v>300</v>
      </c>
      <c r="AG31" s="7">
        <f t="shared" si="10"/>
        <v>500</v>
      </c>
      <c r="AH31" s="7"/>
    </row>
    <row r="32" spans="1:44" x14ac:dyDescent="0.25">
      <c r="K32" s="74" t="s">
        <v>102</v>
      </c>
      <c r="L32" s="144">
        <v>33.9</v>
      </c>
      <c r="AA32" s="5"/>
      <c r="AC32" s="41">
        <v>4</v>
      </c>
      <c r="AD32" s="8">
        <f t="shared" si="8"/>
        <v>175.00000000000003</v>
      </c>
      <c r="AE32" s="6">
        <f t="shared" si="7"/>
        <v>50</v>
      </c>
      <c r="AF32" s="7">
        <f t="shared" si="9"/>
        <v>274.99999999999994</v>
      </c>
      <c r="AG32" s="7">
        <f t="shared" si="10"/>
        <v>500</v>
      </c>
      <c r="AH32" s="7"/>
    </row>
    <row r="33" spans="1:51" x14ac:dyDescent="0.25">
      <c r="K33" s="76" t="s">
        <v>103</v>
      </c>
      <c r="L33" s="36">
        <v>0.78</v>
      </c>
      <c r="AA33" s="5"/>
      <c r="AC33" s="41">
        <v>5</v>
      </c>
      <c r="AD33" s="8">
        <f t="shared" si="8"/>
        <v>199.99999999999997</v>
      </c>
      <c r="AE33" s="6">
        <f t="shared" si="7"/>
        <v>50</v>
      </c>
      <c r="AF33" s="7">
        <f t="shared" si="9"/>
        <v>250</v>
      </c>
      <c r="AG33" s="7">
        <f t="shared" si="10"/>
        <v>500</v>
      </c>
      <c r="AH33" s="7"/>
    </row>
    <row r="34" spans="1:51" x14ac:dyDescent="0.25">
      <c r="AA34" s="5"/>
      <c r="AC34" s="62">
        <v>6</v>
      </c>
      <c r="AD34" s="15">
        <f t="shared" si="8"/>
        <v>225</v>
      </c>
      <c r="AE34" s="10">
        <f t="shared" si="7"/>
        <v>50</v>
      </c>
      <c r="AF34" s="11">
        <f t="shared" si="9"/>
        <v>224.99999999999997</v>
      </c>
      <c r="AG34" s="11">
        <f t="shared" si="10"/>
        <v>500</v>
      </c>
      <c r="AH34" s="11"/>
    </row>
    <row r="35" spans="1:51" x14ac:dyDescent="0.25">
      <c r="K35" s="42"/>
      <c r="L35" s="42"/>
      <c r="M35" s="42"/>
      <c r="AA35" s="5"/>
      <c r="AC35" s="283"/>
      <c r="AD35" s="305"/>
      <c r="AE35" s="305"/>
      <c r="AF35" s="305"/>
      <c r="AG35" s="284"/>
      <c r="AH35" s="285"/>
    </row>
    <row r="36" spans="1:51" x14ac:dyDescent="0.25">
      <c r="B36" s="37"/>
      <c r="F36" s="37"/>
      <c r="G36" s="37"/>
      <c r="H36" s="37"/>
      <c r="I36" s="37"/>
      <c r="K36" s="5"/>
      <c r="L36" s="5"/>
      <c r="M36" s="5"/>
      <c r="AA36" s="20"/>
    </row>
    <row r="37" spans="1:51" x14ac:dyDescent="0.25">
      <c r="B37" s="5"/>
      <c r="F37" s="37"/>
      <c r="G37" s="5"/>
      <c r="H37" s="5"/>
      <c r="I37" s="5"/>
      <c r="K37" s="5"/>
      <c r="L37" s="5"/>
      <c r="M37" s="5"/>
      <c r="N37" s="170"/>
      <c r="O37" s="170"/>
      <c r="P37" s="170"/>
      <c r="Q37" s="170"/>
      <c r="R37" s="170"/>
      <c r="AC37" s="273" t="s">
        <v>169</v>
      </c>
      <c r="AD37" s="274"/>
      <c r="AE37" s="274"/>
      <c r="AF37" s="274"/>
      <c r="AG37" s="274"/>
      <c r="AH37" s="275"/>
    </row>
    <row r="38" spans="1:51" ht="32.1" customHeight="1" x14ac:dyDescent="0.25">
      <c r="B38" s="5"/>
      <c r="F38" s="37"/>
      <c r="G38" s="5"/>
      <c r="H38" s="5"/>
      <c r="I38" s="5"/>
      <c r="AA38" s="70"/>
      <c r="AC38" s="1"/>
      <c r="AD38" s="2"/>
      <c r="AE38" s="2"/>
      <c r="AF38" s="2"/>
      <c r="AG38" s="2" t="s">
        <v>17</v>
      </c>
      <c r="AH38" s="4" t="s">
        <v>108</v>
      </c>
    </row>
    <row r="39" spans="1:51" ht="15.95" customHeight="1" x14ac:dyDescent="0.25">
      <c r="A39" s="17"/>
      <c r="B39" s="5"/>
      <c r="C39" s="5"/>
      <c r="D39" s="5"/>
      <c r="E39" s="37"/>
      <c r="F39" s="37"/>
      <c r="G39" s="5"/>
      <c r="H39" s="5"/>
      <c r="I39" s="5"/>
      <c r="AA39" s="37"/>
      <c r="AC39" s="181" t="s">
        <v>128</v>
      </c>
      <c r="AD39" s="4">
        <v>0.52</v>
      </c>
      <c r="AE39" s="16">
        <v>2.5000000000000001E-2</v>
      </c>
      <c r="AF39" s="5">
        <v>0.2</v>
      </c>
      <c r="AG39" s="49">
        <f t="shared" ref="AG39:AG44" si="11">(AE39*AF39)/$AD$39</f>
        <v>9.6153846153846177E-3</v>
      </c>
      <c r="AH39" s="176">
        <f>AF39-AG39</f>
        <v>0.1903846153846154</v>
      </c>
      <c r="AN39" s="37"/>
    </row>
    <row r="40" spans="1:51" x14ac:dyDescent="0.25">
      <c r="A40" s="17"/>
      <c r="B40" s="5"/>
      <c r="C40" s="5"/>
      <c r="D40" s="5"/>
      <c r="E40" s="37"/>
      <c r="F40" s="37"/>
      <c r="G40" s="5"/>
      <c r="H40" s="5"/>
      <c r="I40" s="5"/>
      <c r="AA40" s="5"/>
      <c r="AC40" s="182" t="s">
        <v>129</v>
      </c>
      <c r="AD40" s="5"/>
      <c r="AE40" s="6">
        <v>0.05</v>
      </c>
      <c r="AF40" s="5">
        <v>0.2</v>
      </c>
      <c r="AG40" s="57">
        <f t="shared" si="11"/>
        <v>1.9230769230769235E-2</v>
      </c>
      <c r="AH40" s="176">
        <f t="shared" ref="AH40:AH44" si="12">AF40-AG40</f>
        <v>0.18076923076923077</v>
      </c>
    </row>
    <row r="41" spans="1:51" x14ac:dyDescent="0.25">
      <c r="A41" s="17"/>
      <c r="AA41" s="252"/>
      <c r="AC41" s="73" t="s">
        <v>130</v>
      </c>
      <c r="AD41" s="5"/>
      <c r="AE41" s="6">
        <v>7.4999999999999997E-2</v>
      </c>
      <c r="AF41" s="5">
        <v>0.2</v>
      </c>
      <c r="AG41" s="57">
        <f t="shared" si="11"/>
        <v>2.8846153846153844E-2</v>
      </c>
      <c r="AH41" s="176">
        <f t="shared" si="12"/>
        <v>0.17115384615384616</v>
      </c>
    </row>
    <row r="42" spans="1:51" ht="15.95" customHeight="1" x14ac:dyDescent="0.25">
      <c r="A42" s="17"/>
      <c r="AA42" s="252"/>
      <c r="AC42" s="182" t="s">
        <v>131</v>
      </c>
      <c r="AD42" s="5"/>
      <c r="AE42" s="6">
        <v>0.125</v>
      </c>
      <c r="AF42" s="5">
        <v>0.2</v>
      </c>
      <c r="AG42" s="57">
        <f t="shared" si="11"/>
        <v>4.807692307692308E-2</v>
      </c>
      <c r="AH42" s="176">
        <f t="shared" si="12"/>
        <v>0.15192307692307694</v>
      </c>
    </row>
    <row r="43" spans="1:51" x14ac:dyDescent="0.25">
      <c r="A43" s="17"/>
      <c r="AA43" s="252"/>
      <c r="AC43" s="182" t="s">
        <v>132</v>
      </c>
      <c r="AD43" s="5"/>
      <c r="AE43" s="6">
        <v>0.25</v>
      </c>
      <c r="AF43" s="5">
        <v>0.2</v>
      </c>
      <c r="AG43" s="57">
        <f t="shared" si="11"/>
        <v>9.6153846153846159E-2</v>
      </c>
      <c r="AH43" s="176">
        <f t="shared" si="12"/>
        <v>0.10384615384615385</v>
      </c>
    </row>
    <row r="44" spans="1:51" x14ac:dyDescent="0.25">
      <c r="A44" s="17"/>
      <c r="AA44" s="252"/>
      <c r="AC44" s="183" t="s">
        <v>133</v>
      </c>
      <c r="AD44" s="9"/>
      <c r="AE44" s="10">
        <v>0.5</v>
      </c>
      <c r="AF44" s="9">
        <v>0.2</v>
      </c>
      <c r="AG44" s="58">
        <f t="shared" si="11"/>
        <v>0.19230769230769232</v>
      </c>
      <c r="AH44" s="32">
        <f t="shared" si="12"/>
        <v>7.6923076923076927E-3</v>
      </c>
    </row>
    <row r="45" spans="1:51" x14ac:dyDescent="0.25">
      <c r="A45" s="17"/>
      <c r="AA45" s="252"/>
      <c r="AC45" s="273" t="s">
        <v>170</v>
      </c>
      <c r="AD45" s="274"/>
      <c r="AE45" s="274"/>
      <c r="AF45" s="274"/>
      <c r="AG45" s="274"/>
      <c r="AH45" s="275"/>
    </row>
    <row r="46" spans="1:51" ht="15.95" customHeight="1" x14ac:dyDescent="0.25">
      <c r="A46" s="17"/>
      <c r="G46" s="17"/>
      <c r="AA46" s="252"/>
      <c r="AC46" s="1"/>
      <c r="AD46" s="2"/>
      <c r="AE46" s="2"/>
      <c r="AF46" s="2"/>
      <c r="AG46" s="13" t="s">
        <v>17</v>
      </c>
      <c r="AH46" s="4" t="s">
        <v>108</v>
      </c>
    </row>
    <row r="47" spans="1:51" ht="32.1" customHeight="1" x14ac:dyDescent="0.25">
      <c r="A47" s="17"/>
      <c r="G47" s="17"/>
      <c r="AA47" s="252"/>
      <c r="AC47" s="181" t="s">
        <v>140</v>
      </c>
      <c r="AD47" s="4">
        <v>0.88</v>
      </c>
      <c r="AE47" s="16">
        <v>2.5000000000000001E-2</v>
      </c>
      <c r="AF47" s="5">
        <v>0.2</v>
      </c>
      <c r="AG47" s="49">
        <f t="shared" ref="AG47:AG52" si="13">(AE47*AF47)/$AD$47</f>
        <v>5.6818181818181828E-3</v>
      </c>
      <c r="AH47" s="176">
        <f>AF47-AG47</f>
        <v>0.19431818181818183</v>
      </c>
      <c r="AU47" s="273" t="s">
        <v>44</v>
      </c>
      <c r="AV47" s="274"/>
      <c r="AW47" s="274"/>
      <c r="AX47" s="274"/>
      <c r="AY47" s="275"/>
    </row>
    <row r="48" spans="1:51" x14ac:dyDescent="0.25">
      <c r="A48" s="17"/>
      <c r="G48" s="17"/>
      <c r="N48" s="71" t="s">
        <v>72</v>
      </c>
      <c r="O48" s="253"/>
      <c r="P48" s="253"/>
      <c r="Q48" s="254"/>
      <c r="AA48" s="37"/>
      <c r="AC48" s="182" t="s">
        <v>141</v>
      </c>
      <c r="AD48" s="5"/>
      <c r="AE48" s="6">
        <v>0.05</v>
      </c>
      <c r="AF48" s="5">
        <v>0.2</v>
      </c>
      <c r="AG48" s="57">
        <f t="shared" si="13"/>
        <v>1.1363636363636366E-2</v>
      </c>
      <c r="AH48" s="176">
        <f t="shared" ref="AH48:AH52" si="14">AF48-AG48</f>
        <v>0.18863636363636366</v>
      </c>
      <c r="AU48" s="273" t="s">
        <v>117</v>
      </c>
      <c r="AV48" s="274"/>
      <c r="AW48" s="274"/>
      <c r="AX48" s="274"/>
      <c r="AY48" s="275"/>
    </row>
    <row r="49" spans="1:51" x14ac:dyDescent="0.25">
      <c r="A49" s="17"/>
      <c r="G49" s="17"/>
      <c r="N49" s="18" t="s">
        <v>127</v>
      </c>
      <c r="O49" s="173"/>
      <c r="P49" s="173"/>
      <c r="Q49" s="19"/>
      <c r="AA49" s="256"/>
      <c r="AC49" s="182" t="s">
        <v>142</v>
      </c>
      <c r="AD49" s="5"/>
      <c r="AE49" s="6">
        <v>7.4999999999999997E-2</v>
      </c>
      <c r="AF49" s="5">
        <v>0.2</v>
      </c>
      <c r="AG49" s="57">
        <f t="shared" si="13"/>
        <v>1.7045454545454544E-2</v>
      </c>
      <c r="AH49" s="176">
        <f t="shared" si="14"/>
        <v>0.18295454545454548</v>
      </c>
      <c r="AU49" s="273" t="s">
        <v>118</v>
      </c>
      <c r="AV49" s="275"/>
      <c r="AW49" s="3" t="s">
        <v>19</v>
      </c>
      <c r="AX49" s="3" t="s">
        <v>119</v>
      </c>
      <c r="AY49" s="3"/>
    </row>
    <row r="50" spans="1:51" x14ac:dyDescent="0.25">
      <c r="A50" s="17"/>
      <c r="G50" s="17"/>
      <c r="N50" s="273" t="s">
        <v>35</v>
      </c>
      <c r="O50" s="275"/>
      <c r="P50" s="7" t="s">
        <v>19</v>
      </c>
      <c r="Q50" s="40" t="s">
        <v>75</v>
      </c>
      <c r="AC50" s="182" t="s">
        <v>143</v>
      </c>
      <c r="AD50" s="5"/>
      <c r="AE50" s="6">
        <v>0.125</v>
      </c>
      <c r="AF50" s="5">
        <v>0.2</v>
      </c>
      <c r="AG50" s="57">
        <f t="shared" si="13"/>
        <v>2.8409090909090912E-2</v>
      </c>
      <c r="AH50" s="176">
        <f t="shared" si="14"/>
        <v>0.1715909090909091</v>
      </c>
      <c r="AU50" s="279" t="s">
        <v>123</v>
      </c>
      <c r="AV50" s="280"/>
      <c r="AW50" s="12">
        <v>116000</v>
      </c>
      <c r="AX50" s="165">
        <v>1</v>
      </c>
      <c r="AY50" s="7"/>
    </row>
    <row r="51" spans="1:51" x14ac:dyDescent="0.25">
      <c r="A51" s="17"/>
      <c r="G51" s="17"/>
      <c r="N51" s="268" t="s">
        <v>203</v>
      </c>
      <c r="O51" s="312"/>
      <c r="P51" s="30">
        <v>134000</v>
      </c>
      <c r="Q51" s="259">
        <v>1.52</v>
      </c>
      <c r="AC51" s="182" t="s">
        <v>144</v>
      </c>
      <c r="AD51" s="5"/>
      <c r="AE51" s="6">
        <v>0.25</v>
      </c>
      <c r="AF51" s="5">
        <v>0.2</v>
      </c>
      <c r="AG51" s="57">
        <f t="shared" si="13"/>
        <v>5.6818181818181823E-2</v>
      </c>
      <c r="AH51" s="176">
        <f t="shared" si="14"/>
        <v>0.14318181818181819</v>
      </c>
      <c r="AU51" s="281" t="s">
        <v>37</v>
      </c>
      <c r="AV51" s="282"/>
      <c r="AW51" s="8">
        <v>45000</v>
      </c>
      <c r="AX51" s="166">
        <v>3</v>
      </c>
      <c r="AY51" s="7"/>
    </row>
    <row r="52" spans="1:51" x14ac:dyDescent="0.25">
      <c r="A52" s="17"/>
      <c r="B52" s="17"/>
      <c r="C52" s="17"/>
      <c r="D52" s="17"/>
      <c r="E52" s="17"/>
      <c r="F52" s="17"/>
      <c r="G52" s="17"/>
      <c r="N52" s="268" t="s">
        <v>36</v>
      </c>
      <c r="O52" s="312"/>
      <c r="P52" s="37">
        <v>67000</v>
      </c>
      <c r="Q52" s="260">
        <v>1.76</v>
      </c>
      <c r="AC52" s="183" t="s">
        <v>145</v>
      </c>
      <c r="AD52" s="9"/>
      <c r="AE52" s="10">
        <v>0.5</v>
      </c>
      <c r="AF52" s="9">
        <v>0.2</v>
      </c>
      <c r="AG52" s="58">
        <f t="shared" si="13"/>
        <v>0.11363636363636365</v>
      </c>
      <c r="AH52" s="32">
        <f t="shared" si="14"/>
        <v>8.6363636363636365E-2</v>
      </c>
      <c r="AU52" s="281" t="s">
        <v>38</v>
      </c>
      <c r="AV52" s="282"/>
      <c r="AW52" s="8">
        <v>30000</v>
      </c>
      <c r="AX52" s="166">
        <v>4</v>
      </c>
      <c r="AY52" s="7"/>
    </row>
    <row r="53" spans="1:51" x14ac:dyDescent="0.25">
      <c r="A53" s="17"/>
      <c r="B53" s="170"/>
      <c r="C53" s="170"/>
      <c r="D53" s="170"/>
      <c r="E53" s="170"/>
      <c r="F53" s="170"/>
      <c r="G53" s="17"/>
      <c r="N53" s="268" t="s">
        <v>37</v>
      </c>
      <c r="O53" s="312"/>
      <c r="P53" s="5">
        <v>43000</v>
      </c>
      <c r="Q53" s="260">
        <v>1.92</v>
      </c>
      <c r="AU53" s="281" t="s">
        <v>124</v>
      </c>
      <c r="AV53" s="282"/>
      <c r="AW53" s="8">
        <v>12500</v>
      </c>
      <c r="AX53" s="166">
        <v>5</v>
      </c>
      <c r="AY53" s="7"/>
    </row>
    <row r="54" spans="1:51" x14ac:dyDescent="0.25">
      <c r="A54" s="17"/>
      <c r="B54" s="170"/>
      <c r="C54" s="170"/>
      <c r="D54" s="170"/>
      <c r="E54" s="170"/>
      <c r="F54" s="170"/>
      <c r="G54" s="17"/>
      <c r="N54" s="268" t="s">
        <v>38</v>
      </c>
      <c r="O54" s="312"/>
      <c r="P54" s="5">
        <v>29000</v>
      </c>
      <c r="Q54" s="260">
        <v>2.1</v>
      </c>
      <c r="AC54" s="273" t="s">
        <v>194</v>
      </c>
      <c r="AD54" s="274"/>
      <c r="AE54" s="274"/>
      <c r="AF54" s="274"/>
      <c r="AG54" s="274"/>
      <c r="AH54" s="274"/>
      <c r="AI54" s="275"/>
      <c r="AU54" s="281" t="s">
        <v>120</v>
      </c>
      <c r="AV54" s="282"/>
      <c r="AW54" s="164">
        <v>14000</v>
      </c>
      <c r="AX54" s="166">
        <v>5</v>
      </c>
      <c r="AY54" s="7"/>
    </row>
    <row r="55" spans="1:51" ht="17.100000000000001" customHeight="1" thickBot="1" x14ac:dyDescent="0.3">
      <c r="A55" s="17"/>
      <c r="B55" s="170"/>
      <c r="C55" s="170"/>
      <c r="D55" s="170"/>
      <c r="E55" s="170"/>
      <c r="F55" s="170"/>
      <c r="G55" s="17"/>
      <c r="N55" s="268" t="s">
        <v>204</v>
      </c>
      <c r="O55" s="312"/>
      <c r="P55" s="5">
        <v>20100</v>
      </c>
      <c r="Q55" s="260">
        <v>2.2799999999999998</v>
      </c>
      <c r="AC55" s="309" t="s">
        <v>99</v>
      </c>
      <c r="AD55" s="4" t="s">
        <v>104</v>
      </c>
      <c r="AE55" s="3" t="s">
        <v>187</v>
      </c>
      <c r="AF55" s="3" t="s">
        <v>105</v>
      </c>
      <c r="AG55" s="3" t="s">
        <v>190</v>
      </c>
      <c r="AH55" s="3" t="s">
        <v>193</v>
      </c>
      <c r="AI55" s="16"/>
      <c r="AU55" s="156" t="s">
        <v>121</v>
      </c>
      <c r="AV55" s="162"/>
      <c r="AW55" s="164">
        <v>68000</v>
      </c>
      <c r="AX55" s="166">
        <v>2</v>
      </c>
      <c r="AY55" s="7"/>
    </row>
    <row r="56" spans="1:51" x14ac:dyDescent="0.25">
      <c r="A56" s="17"/>
      <c r="B56" s="170"/>
      <c r="C56" s="170"/>
      <c r="D56" s="170"/>
      <c r="E56" s="170"/>
      <c r="F56" s="170"/>
      <c r="G56" s="17"/>
      <c r="N56" s="268" t="s">
        <v>16</v>
      </c>
      <c r="O56" s="269"/>
      <c r="P56" s="86">
        <f>EXP((Q56-$Q$59)/$O$59)</f>
        <v>12012.496606496969</v>
      </c>
      <c r="Q56" s="261">
        <v>2.46</v>
      </c>
      <c r="AC56" s="310"/>
      <c r="AD56" s="5"/>
      <c r="AE56" s="16" t="s">
        <v>192</v>
      </c>
      <c r="AF56" s="5"/>
      <c r="AG56" s="5"/>
      <c r="AH56" s="7" t="s">
        <v>191</v>
      </c>
      <c r="AI56" s="3" t="s">
        <v>195</v>
      </c>
      <c r="AU56" s="156" t="s">
        <v>10</v>
      </c>
      <c r="AV56" s="240"/>
      <c r="AW56" s="153">
        <f>EXP((AX56-$AY$61)/$AW$61)</f>
        <v>214007.05453021894</v>
      </c>
      <c r="AX56" s="83"/>
      <c r="AY56" s="7" t="s">
        <v>125</v>
      </c>
    </row>
    <row r="57" spans="1:51" ht="16.5" thickBot="1" x14ac:dyDescent="0.3">
      <c r="A57" s="17"/>
      <c r="B57" s="170"/>
      <c r="C57" s="170"/>
      <c r="D57" s="170"/>
      <c r="E57" s="170"/>
      <c r="F57" s="170"/>
      <c r="G57" s="17"/>
      <c r="N57" s="270" t="s">
        <v>39</v>
      </c>
      <c r="O57" s="271"/>
      <c r="P57" s="87">
        <f>EXP((Q57-$Q$59)/$O$59)</f>
        <v>63333.600737380191</v>
      </c>
      <c r="Q57" s="262">
        <v>1.8</v>
      </c>
      <c r="AC57" s="311"/>
      <c r="AD57" s="1" t="s">
        <v>188</v>
      </c>
      <c r="AE57" s="16" t="s">
        <v>189</v>
      </c>
      <c r="AF57" s="2" t="s">
        <v>188</v>
      </c>
      <c r="AG57" s="2" t="s">
        <v>189</v>
      </c>
      <c r="AH57" s="16" t="s">
        <v>189</v>
      </c>
      <c r="AI57" s="23" t="s">
        <v>189</v>
      </c>
      <c r="AU57" s="156" t="s">
        <v>14</v>
      </c>
      <c r="AV57" s="240"/>
      <c r="AW57" s="154">
        <f>EXP((AX57-$AY$61)/$AW$61)</f>
        <v>214007.05453021894</v>
      </c>
      <c r="AX57" s="83"/>
      <c r="AY57" s="7" t="s">
        <v>126</v>
      </c>
    </row>
    <row r="58" spans="1:51" x14ac:dyDescent="0.25">
      <c r="A58" s="17"/>
      <c r="B58" s="170"/>
      <c r="C58" s="170"/>
      <c r="D58" s="170"/>
      <c r="E58" s="170"/>
      <c r="F58" s="170"/>
      <c r="G58" s="17"/>
      <c r="N58" s="270" t="s">
        <v>45</v>
      </c>
      <c r="O58" s="271"/>
      <c r="P58" s="271"/>
      <c r="Q58" s="272"/>
      <c r="AC58" s="181" t="s">
        <v>175</v>
      </c>
      <c r="AD58" s="8">
        <v>8</v>
      </c>
      <c r="AE58" s="185">
        <f>(AF58*AG58)/AD58</f>
        <v>0</v>
      </c>
      <c r="AF58" s="7">
        <v>0</v>
      </c>
      <c r="AG58" s="8">
        <v>160</v>
      </c>
      <c r="AH58" s="185">
        <f>AG58-AE58</f>
        <v>160</v>
      </c>
      <c r="AI58" s="145">
        <v>40</v>
      </c>
      <c r="AO58" s="113"/>
      <c r="AP58" s="113"/>
      <c r="AQ58" s="113"/>
      <c r="AU58" s="156" t="s">
        <v>96</v>
      </c>
      <c r="AV58" s="240"/>
      <c r="AW58" s="154">
        <f>EXP((AX58-$AY$61)/$AW$61)</f>
        <v>14155.365169247794</v>
      </c>
      <c r="AX58" s="83">
        <v>5</v>
      </c>
      <c r="AY58" s="7"/>
    </row>
    <row r="59" spans="1:51" ht="16.5" thickBot="1" x14ac:dyDescent="0.3">
      <c r="A59" s="17"/>
      <c r="B59" s="170"/>
      <c r="C59" s="170"/>
      <c r="D59" s="170"/>
      <c r="E59" s="170"/>
      <c r="F59" s="170"/>
      <c r="G59" s="17"/>
      <c r="N59" s="24" t="s">
        <v>46</v>
      </c>
      <c r="O59" s="129">
        <v>-0.39700000000000002</v>
      </c>
      <c r="P59" s="25" t="s">
        <v>47</v>
      </c>
      <c r="Q59" s="130">
        <v>6.1893000000000002</v>
      </c>
      <c r="AC59" s="182" t="s">
        <v>176</v>
      </c>
      <c r="AD59" s="8">
        <v>8</v>
      </c>
      <c r="AE59" s="186">
        <f t="shared" ref="AE59:AE69" si="15">(AF59*AG59)/AD59</f>
        <v>60</v>
      </c>
      <c r="AF59" s="7">
        <v>3</v>
      </c>
      <c r="AG59" s="8">
        <v>160</v>
      </c>
      <c r="AH59" s="186">
        <f t="shared" ref="AH59:AH69" si="16">AG59-AE59</f>
        <v>100</v>
      </c>
      <c r="AI59" s="146">
        <v>40</v>
      </c>
      <c r="AN59" s="97"/>
      <c r="AO59" s="114"/>
      <c r="AP59" s="114"/>
      <c r="AQ59" s="102"/>
      <c r="AU59" s="163" t="s">
        <v>122</v>
      </c>
      <c r="AV59" s="241"/>
      <c r="AW59" s="155">
        <f>EXP((AX59-$AY$61)/$AW$61)</f>
        <v>68396.699389627494</v>
      </c>
      <c r="AX59" s="158">
        <v>2.1</v>
      </c>
      <c r="AY59" s="7"/>
    </row>
    <row r="60" spans="1:51" x14ac:dyDescent="0.25">
      <c r="A60" s="17"/>
      <c r="B60" s="170"/>
      <c r="C60" s="170"/>
      <c r="D60" s="170"/>
      <c r="E60" s="170"/>
      <c r="F60" s="170"/>
      <c r="G60" s="17"/>
      <c r="AC60" s="182" t="s">
        <v>177</v>
      </c>
      <c r="AD60" s="8">
        <v>8</v>
      </c>
      <c r="AE60" s="186">
        <f t="shared" si="15"/>
        <v>70</v>
      </c>
      <c r="AF60" s="7">
        <v>3.5</v>
      </c>
      <c r="AG60" s="8">
        <v>160</v>
      </c>
      <c r="AH60" s="186">
        <f t="shared" si="16"/>
        <v>90</v>
      </c>
      <c r="AI60" s="146">
        <v>40</v>
      </c>
      <c r="AN60" s="82"/>
      <c r="AO60" s="102"/>
      <c r="AP60" s="114"/>
      <c r="AQ60" s="102"/>
      <c r="AU60" s="62" t="s">
        <v>45</v>
      </c>
      <c r="AV60" s="63"/>
      <c r="AW60" s="63"/>
      <c r="AX60" s="63"/>
      <c r="AY60" s="99"/>
    </row>
    <row r="61" spans="1:51" x14ac:dyDescent="0.25">
      <c r="A61" s="17"/>
      <c r="B61" s="17"/>
      <c r="C61" s="17"/>
      <c r="D61" s="17"/>
      <c r="E61" s="17"/>
      <c r="F61" s="17"/>
      <c r="G61" s="17"/>
      <c r="N61" s="18" t="s">
        <v>13</v>
      </c>
      <c r="O61" s="173"/>
      <c r="P61" s="173"/>
      <c r="Q61" s="19"/>
      <c r="R61" s="170"/>
      <c r="AC61" s="182" t="s">
        <v>178</v>
      </c>
      <c r="AD61" s="8">
        <v>8</v>
      </c>
      <c r="AE61" s="186">
        <f t="shared" si="15"/>
        <v>80</v>
      </c>
      <c r="AF61" s="7">
        <v>4</v>
      </c>
      <c r="AG61" s="8">
        <v>160</v>
      </c>
      <c r="AH61" s="186">
        <f t="shared" si="16"/>
        <v>80</v>
      </c>
      <c r="AI61" s="146">
        <v>40</v>
      </c>
      <c r="AN61" s="82"/>
      <c r="AO61" s="102"/>
      <c r="AP61" s="114"/>
      <c r="AQ61" s="102"/>
      <c r="AU61" s="24" t="s">
        <v>46</v>
      </c>
      <c r="AV61" s="26"/>
      <c r="AW61" s="159">
        <v>-1.841</v>
      </c>
      <c r="AX61" s="9" t="s">
        <v>47</v>
      </c>
      <c r="AY61" s="159">
        <v>22.596</v>
      </c>
    </row>
    <row r="62" spans="1:51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8" t="s">
        <v>172</v>
      </c>
      <c r="O62" s="173"/>
      <c r="P62" s="173"/>
      <c r="Q62" s="19"/>
      <c r="R62" s="170"/>
      <c r="AC62" s="182" t="s">
        <v>179</v>
      </c>
      <c r="AD62" s="8">
        <v>8</v>
      </c>
      <c r="AE62" s="186">
        <f t="shared" si="15"/>
        <v>90</v>
      </c>
      <c r="AF62" s="7">
        <v>4.5</v>
      </c>
      <c r="AG62" s="8">
        <v>160</v>
      </c>
      <c r="AH62" s="186">
        <f t="shared" si="16"/>
        <v>70</v>
      </c>
      <c r="AI62" s="146">
        <v>40</v>
      </c>
      <c r="AN62" s="82"/>
      <c r="AO62" s="102"/>
      <c r="AP62" s="114"/>
      <c r="AQ62" s="102"/>
    </row>
    <row r="63" spans="1:51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273" t="s">
        <v>118</v>
      </c>
      <c r="O63" s="275"/>
      <c r="P63" s="3" t="s">
        <v>19</v>
      </c>
      <c r="Q63" s="40" t="s">
        <v>174</v>
      </c>
      <c r="R63" s="170"/>
      <c r="AC63" s="182" t="s">
        <v>180</v>
      </c>
      <c r="AD63" s="8">
        <v>8</v>
      </c>
      <c r="AE63" s="186">
        <f t="shared" si="15"/>
        <v>100</v>
      </c>
      <c r="AF63" s="7">
        <v>5</v>
      </c>
      <c r="AG63" s="8">
        <v>160</v>
      </c>
      <c r="AH63" s="186">
        <f t="shared" si="16"/>
        <v>60</v>
      </c>
      <c r="AI63" s="146">
        <v>40</v>
      </c>
      <c r="AN63" s="82"/>
      <c r="AO63" s="102"/>
      <c r="AP63" s="114"/>
      <c r="AQ63" s="102"/>
    </row>
    <row r="64" spans="1:51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293" t="s">
        <v>123</v>
      </c>
      <c r="O64" s="295"/>
      <c r="P64" s="16">
        <v>116000</v>
      </c>
      <c r="Q64" s="165">
        <v>4.9000000000000004</v>
      </c>
      <c r="R64" s="20"/>
      <c r="AC64" s="182" t="s">
        <v>181</v>
      </c>
      <c r="AD64" s="8">
        <v>8</v>
      </c>
      <c r="AE64" s="186">
        <f t="shared" si="15"/>
        <v>110</v>
      </c>
      <c r="AF64" s="7">
        <v>5.5</v>
      </c>
      <c r="AG64" s="8">
        <v>160</v>
      </c>
      <c r="AH64" s="186">
        <f t="shared" si="16"/>
        <v>50</v>
      </c>
      <c r="AI64" s="146">
        <v>40</v>
      </c>
    </row>
    <row r="65" spans="1:44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268" t="s">
        <v>37</v>
      </c>
      <c r="O65" s="312"/>
      <c r="P65" s="6">
        <v>45000</v>
      </c>
      <c r="Q65" s="166">
        <v>9.1999999999999993</v>
      </c>
      <c r="R65" s="20"/>
      <c r="V65" s="20"/>
      <c r="AC65" s="182" t="s">
        <v>182</v>
      </c>
      <c r="AD65" s="8">
        <v>8</v>
      </c>
      <c r="AE65" s="186">
        <f t="shared" si="15"/>
        <v>120</v>
      </c>
      <c r="AF65" s="7">
        <v>6</v>
      </c>
      <c r="AG65" s="8">
        <v>160</v>
      </c>
      <c r="AH65" s="186">
        <f t="shared" si="16"/>
        <v>40</v>
      </c>
      <c r="AI65" s="146">
        <v>40</v>
      </c>
    </row>
    <row r="66" spans="1:44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268" t="s">
        <v>38</v>
      </c>
      <c r="O66" s="312"/>
      <c r="P66" s="6">
        <v>30000</v>
      </c>
      <c r="Q66" s="166">
        <v>11.6</v>
      </c>
      <c r="R66" s="20"/>
      <c r="AC66" s="182" t="s">
        <v>183</v>
      </c>
      <c r="AD66" s="8">
        <v>8</v>
      </c>
      <c r="AE66" s="186">
        <f t="shared" si="15"/>
        <v>130</v>
      </c>
      <c r="AF66" s="7">
        <v>6.5</v>
      </c>
      <c r="AG66" s="8">
        <v>160</v>
      </c>
      <c r="AH66" s="186">
        <f t="shared" si="16"/>
        <v>30</v>
      </c>
      <c r="AI66" s="146">
        <v>40</v>
      </c>
    </row>
    <row r="67" spans="1:44" ht="16.5" thickBot="1" x14ac:dyDescent="0.3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268" t="s">
        <v>124</v>
      </c>
      <c r="O67" s="312"/>
      <c r="P67" s="6">
        <v>12500</v>
      </c>
      <c r="Q67" s="166">
        <v>15.2</v>
      </c>
      <c r="R67" s="20"/>
      <c r="AC67" s="182" t="s">
        <v>184</v>
      </c>
      <c r="AD67" s="8">
        <v>8</v>
      </c>
      <c r="AE67" s="186">
        <f t="shared" si="15"/>
        <v>140</v>
      </c>
      <c r="AF67" s="7">
        <v>7</v>
      </c>
      <c r="AG67" s="8">
        <v>160</v>
      </c>
      <c r="AH67" s="186">
        <f t="shared" si="16"/>
        <v>20</v>
      </c>
      <c r="AI67" s="146">
        <v>40</v>
      </c>
    </row>
    <row r="68" spans="1:44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293" t="s">
        <v>120</v>
      </c>
      <c r="O68" s="294"/>
      <c r="P68" s="153">
        <f>EXP((Q68-$Q$78)/$O$78)</f>
        <v>12350.723150120575</v>
      </c>
      <c r="Q68" s="79">
        <v>15.4</v>
      </c>
      <c r="R68" s="20"/>
      <c r="AC68" s="182" t="s">
        <v>185</v>
      </c>
      <c r="AD68" s="8">
        <v>8</v>
      </c>
      <c r="AE68" s="186">
        <f t="shared" si="15"/>
        <v>150</v>
      </c>
      <c r="AF68" s="7">
        <v>7.5</v>
      </c>
      <c r="AG68" s="8">
        <v>160</v>
      </c>
      <c r="AH68" s="186">
        <f t="shared" si="16"/>
        <v>10</v>
      </c>
      <c r="AI68" s="146">
        <v>40</v>
      </c>
    </row>
    <row r="69" spans="1:44" ht="16.5" thickBot="1" x14ac:dyDescent="0.3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270" t="s">
        <v>121</v>
      </c>
      <c r="O69" s="271"/>
      <c r="P69" s="155">
        <f t="shared" ref="P69" si="17">EXP((Q69-$Q$78)/$O$78)</f>
        <v>17032.447986987147</v>
      </c>
      <c r="Q69" s="158">
        <v>13.9</v>
      </c>
      <c r="R69" s="20"/>
      <c r="AC69" s="183" t="s">
        <v>186</v>
      </c>
      <c r="AD69" s="15">
        <v>8</v>
      </c>
      <c r="AE69" s="258">
        <f t="shared" si="15"/>
        <v>160</v>
      </c>
      <c r="AF69" s="11">
        <v>8</v>
      </c>
      <c r="AG69" s="15">
        <v>160</v>
      </c>
      <c r="AH69" s="258">
        <f t="shared" si="16"/>
        <v>0</v>
      </c>
      <c r="AI69" s="147">
        <v>40</v>
      </c>
    </row>
    <row r="70" spans="1:44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268" t="s">
        <v>198</v>
      </c>
      <c r="O70" s="269"/>
      <c r="P70" s="154">
        <f>EXP((Q70-$Q$78)/$O$78)</f>
        <v>79667.934435790885</v>
      </c>
      <c r="Q70" s="267">
        <v>6.7</v>
      </c>
      <c r="R70" s="20"/>
    </row>
    <row r="71" spans="1:44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268" t="s">
        <v>199</v>
      </c>
      <c r="O71" s="269"/>
      <c r="P71" s="154">
        <f t="shared" ref="P71:P76" si="18">EXP((Q71-$Q$78)/$O$78)</f>
        <v>43724.563177798467</v>
      </c>
      <c r="Q71" s="264">
        <v>9.5</v>
      </c>
      <c r="R71" s="20"/>
      <c r="AC71" s="273" t="s">
        <v>205</v>
      </c>
      <c r="AD71" s="274"/>
      <c r="AE71" s="275"/>
      <c r="AF71" s="17"/>
    </row>
    <row r="72" spans="1:44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268" t="s">
        <v>200</v>
      </c>
      <c r="O72" s="269"/>
      <c r="P72" s="154">
        <f t="shared" si="18"/>
        <v>12891.506683180063</v>
      </c>
      <c r="Q72" s="264">
        <v>15.2</v>
      </c>
      <c r="R72" s="20"/>
      <c r="AC72" s="263">
        <v>1</v>
      </c>
      <c r="AD72" s="16">
        <v>308879</v>
      </c>
      <c r="AE72" s="7"/>
      <c r="AJ72" s="276" t="s">
        <v>68</v>
      </c>
      <c r="AK72" s="277"/>
      <c r="AL72" s="277"/>
      <c r="AM72" s="278"/>
      <c r="AN72" s="82"/>
      <c r="AO72" s="276" t="s">
        <v>72</v>
      </c>
      <c r="AP72" s="277"/>
      <c r="AQ72" s="277"/>
      <c r="AR72" s="278"/>
    </row>
    <row r="73" spans="1:44" x14ac:dyDescent="0.25">
      <c r="N73" s="268" t="s">
        <v>202</v>
      </c>
      <c r="O73" s="269"/>
      <c r="P73" s="154">
        <f t="shared" si="18"/>
        <v>50800.150496935144</v>
      </c>
      <c r="Q73" s="83">
        <v>8.8000000000000007</v>
      </c>
      <c r="R73" s="20"/>
      <c r="AC73" s="178">
        <v>2</v>
      </c>
      <c r="AD73" s="6">
        <v>307796</v>
      </c>
      <c r="AE73" s="7"/>
      <c r="AJ73" s="273" t="s">
        <v>34</v>
      </c>
      <c r="AK73" s="274"/>
      <c r="AL73" s="274"/>
      <c r="AM73" s="275"/>
      <c r="AN73" s="82"/>
      <c r="AO73" s="273" t="s">
        <v>127</v>
      </c>
      <c r="AP73" s="274"/>
      <c r="AQ73" s="274"/>
      <c r="AR73" s="275"/>
    </row>
    <row r="74" spans="1:44" x14ac:dyDescent="0.25">
      <c r="N74" s="268" t="s">
        <v>201</v>
      </c>
      <c r="O74" s="269"/>
      <c r="P74" s="154">
        <f t="shared" si="18"/>
        <v>12891.506683180063</v>
      </c>
      <c r="Q74" s="264">
        <v>15.2</v>
      </c>
      <c r="R74" s="170"/>
      <c r="AC74" s="178">
        <v>3</v>
      </c>
      <c r="AD74" s="6">
        <v>282994</v>
      </c>
      <c r="AE74" s="7"/>
      <c r="AJ74" s="10" t="s">
        <v>35</v>
      </c>
      <c r="AK74" s="6" t="s">
        <v>19</v>
      </c>
      <c r="AL74" s="66" t="s">
        <v>75</v>
      </c>
      <c r="AM74" s="6" t="s">
        <v>42</v>
      </c>
      <c r="AN74" s="82"/>
      <c r="AO74" s="10" t="s">
        <v>35</v>
      </c>
      <c r="AP74" s="6" t="s">
        <v>19</v>
      </c>
      <c r="AQ74" s="66" t="s">
        <v>75</v>
      </c>
      <c r="AR74" s="6" t="s">
        <v>42</v>
      </c>
    </row>
    <row r="75" spans="1:44" x14ac:dyDescent="0.25">
      <c r="N75" s="268" t="s">
        <v>96</v>
      </c>
      <c r="O75" s="269"/>
      <c r="P75" s="154">
        <f t="shared" si="18"/>
        <v>14349.339345502818</v>
      </c>
      <c r="Q75" s="83">
        <v>14.7</v>
      </c>
      <c r="R75" s="184"/>
      <c r="AC75" s="178">
        <v>4</v>
      </c>
      <c r="AD75" s="6">
        <v>298146</v>
      </c>
      <c r="AE75" s="7"/>
      <c r="AJ75" s="1" t="s">
        <v>66</v>
      </c>
      <c r="AK75" s="12">
        <v>134000</v>
      </c>
      <c r="AL75" s="115">
        <f t="shared" ref="AL75:AL81" si="19">AM102</f>
        <v>9.9990000000000006</v>
      </c>
      <c r="AM75" s="93">
        <f t="shared" ref="AM75:AM81" si="20">(AL75-$AL$88)/($AL$87-$AL$88)</f>
        <v>0.10020720846691962</v>
      </c>
      <c r="AO75" s="1" t="s">
        <v>66</v>
      </c>
      <c r="AP75" s="12">
        <v>134000</v>
      </c>
      <c r="AQ75" s="103">
        <f t="shared" ref="AQ75:AQ81" si="21">AR102</f>
        <v>0</v>
      </c>
      <c r="AR75" s="120" t="e">
        <f t="shared" ref="AR75:AR81" si="22">(AQ75-$AQ$88)/($AQ$87-$AQ$88)</f>
        <v>#DIV/0!</v>
      </c>
    </row>
    <row r="76" spans="1:44" ht="16.5" thickBot="1" x14ac:dyDescent="0.3">
      <c r="N76" s="270" t="s">
        <v>122</v>
      </c>
      <c r="O76" s="271"/>
      <c r="P76" s="155">
        <f t="shared" si="18"/>
        <v>18163.268722114775</v>
      </c>
      <c r="Q76" s="158">
        <v>13.6</v>
      </c>
      <c r="AC76" s="263">
        <v>5</v>
      </c>
      <c r="AD76" s="6">
        <v>302097</v>
      </c>
      <c r="AE76" s="7"/>
      <c r="AJ76" s="1" t="s">
        <v>36</v>
      </c>
      <c r="AK76" s="8">
        <v>67000</v>
      </c>
      <c r="AL76" s="116">
        <f t="shared" si="19"/>
        <v>14.9985</v>
      </c>
      <c r="AM76" s="57">
        <f t="shared" si="20"/>
        <v>0.22241380408354713</v>
      </c>
      <c r="AO76" s="1" t="s">
        <v>36</v>
      </c>
      <c r="AP76" s="8">
        <v>67000</v>
      </c>
      <c r="AQ76" s="123">
        <f t="shared" si="21"/>
        <v>0</v>
      </c>
      <c r="AR76" s="127" t="e">
        <f t="shared" si="22"/>
        <v>#DIV/0!</v>
      </c>
    </row>
    <row r="77" spans="1:44" x14ac:dyDescent="0.25">
      <c r="N77" s="270" t="s">
        <v>45</v>
      </c>
      <c r="O77" s="271"/>
      <c r="P77" s="271"/>
      <c r="Q77" s="272"/>
      <c r="AC77" s="178">
        <v>6</v>
      </c>
      <c r="AD77" s="6">
        <v>333911</v>
      </c>
      <c r="AE77" s="7"/>
      <c r="AJ77" s="1" t="s">
        <v>37</v>
      </c>
      <c r="AK77" s="8">
        <v>43000</v>
      </c>
      <c r="AL77" s="116">
        <f t="shared" si="19"/>
        <v>15.997499999999999</v>
      </c>
      <c r="AM77" s="57">
        <f t="shared" si="20"/>
        <v>0.24683312381972292</v>
      </c>
      <c r="AO77" s="1" t="s">
        <v>37</v>
      </c>
      <c r="AP77" s="8">
        <v>43000</v>
      </c>
      <c r="AQ77" s="123">
        <f t="shared" si="21"/>
        <v>0</v>
      </c>
      <c r="AR77" s="127" t="e">
        <f t="shared" si="22"/>
        <v>#DIV/0!</v>
      </c>
    </row>
    <row r="78" spans="1:44" x14ac:dyDescent="0.25">
      <c r="N78" s="169" t="s">
        <v>46</v>
      </c>
      <c r="O78" s="265">
        <v>-4.6669999999999998</v>
      </c>
      <c r="P78" s="18" t="s">
        <v>47</v>
      </c>
      <c r="Q78" s="266">
        <v>59.37</v>
      </c>
      <c r="AC78" s="178">
        <v>7</v>
      </c>
      <c r="AD78" s="6">
        <v>348416</v>
      </c>
      <c r="AE78" s="7"/>
      <c r="AJ78" s="1" t="s">
        <v>38</v>
      </c>
      <c r="AK78" s="8">
        <v>29000</v>
      </c>
      <c r="AL78" s="116">
        <f t="shared" si="19"/>
        <v>16.996500000000001</v>
      </c>
      <c r="AM78" s="57">
        <f t="shared" si="20"/>
        <v>0.27125244355589878</v>
      </c>
      <c r="AO78" s="1" t="s">
        <v>38</v>
      </c>
      <c r="AP78" s="8">
        <v>29000</v>
      </c>
      <c r="AQ78" s="123">
        <f t="shared" si="21"/>
        <v>0</v>
      </c>
      <c r="AR78" s="127" t="e">
        <f t="shared" si="22"/>
        <v>#DIV/0!</v>
      </c>
    </row>
    <row r="79" spans="1:44" ht="16.5" thickBot="1" x14ac:dyDescent="0.3">
      <c r="Q79" s="17"/>
      <c r="AC79" s="178">
        <v>8</v>
      </c>
      <c r="AD79" s="6">
        <v>376426</v>
      </c>
      <c r="AE79" s="7"/>
      <c r="AJ79" s="1" t="s">
        <v>67</v>
      </c>
      <c r="AK79" s="8">
        <v>20100</v>
      </c>
      <c r="AL79" s="116">
        <f t="shared" si="19"/>
        <v>18</v>
      </c>
      <c r="AM79" s="57">
        <f t="shared" si="20"/>
        <v>0.2957817602278231</v>
      </c>
      <c r="AO79" s="1" t="s">
        <v>67</v>
      </c>
      <c r="AP79" s="8">
        <v>20100</v>
      </c>
      <c r="AQ79" s="123">
        <f t="shared" si="21"/>
        <v>0</v>
      </c>
      <c r="AR79" s="127" t="e">
        <f t="shared" si="22"/>
        <v>#DIV/0!</v>
      </c>
    </row>
    <row r="80" spans="1:44" x14ac:dyDescent="0.25">
      <c r="AC80" s="263">
        <v>9</v>
      </c>
      <c r="AD80" s="6">
        <v>361110</v>
      </c>
      <c r="AE80" s="7"/>
      <c r="AJ80" s="1" t="s">
        <v>16</v>
      </c>
      <c r="AK80" s="86">
        <f>EXP((AM80-$AM$83)/$AK$83)</f>
        <v>14048.894563716642</v>
      </c>
      <c r="AL80" s="117">
        <f t="shared" si="19"/>
        <v>19.998000000000001</v>
      </c>
      <c r="AM80" s="57">
        <f t="shared" si="20"/>
        <v>0.34462039970017472</v>
      </c>
      <c r="AO80" s="1" t="s">
        <v>16</v>
      </c>
      <c r="AP80" s="86" t="e">
        <f>EXP((AR80-$AR$83)/$AP$83)</f>
        <v>#DIV/0!</v>
      </c>
      <c r="AQ80" s="124">
        <f t="shared" si="21"/>
        <v>0</v>
      </c>
      <c r="AR80" s="127" t="e">
        <f t="shared" si="22"/>
        <v>#DIV/0!</v>
      </c>
    </row>
    <row r="81" spans="18:44" ht="16.5" thickBot="1" x14ac:dyDescent="0.3">
      <c r="AC81" s="178">
        <v>10</v>
      </c>
      <c r="AD81" s="6">
        <v>379439</v>
      </c>
      <c r="AE81" s="7"/>
      <c r="AJ81" s="12" t="s">
        <v>39</v>
      </c>
      <c r="AK81" s="87">
        <f>EXP((AM81-$AM$83)/$AK$83)</f>
        <v>69891.459749129092</v>
      </c>
      <c r="AL81" s="118">
        <f t="shared" si="19"/>
        <v>13.5</v>
      </c>
      <c r="AM81" s="58">
        <f t="shared" si="20"/>
        <v>0.18578482447928343</v>
      </c>
      <c r="AO81" s="12" t="s">
        <v>39</v>
      </c>
      <c r="AP81" s="87" t="e">
        <f>EXP((AR81-$AR$83)/$AP$83)</f>
        <v>#DIV/0!</v>
      </c>
      <c r="AQ81" s="125">
        <f t="shared" si="21"/>
        <v>0</v>
      </c>
      <c r="AR81" s="128" t="e">
        <f t="shared" si="22"/>
        <v>#DIV/0!</v>
      </c>
    </row>
    <row r="82" spans="18:44" x14ac:dyDescent="0.25">
      <c r="AC82" s="178">
        <v>11</v>
      </c>
      <c r="AD82" s="6">
        <v>379808</v>
      </c>
      <c r="AE82" s="7"/>
      <c r="AJ82" s="62" t="s">
        <v>45</v>
      </c>
      <c r="AK82" s="63"/>
      <c r="AL82" s="63"/>
      <c r="AM82" s="99"/>
      <c r="AO82" s="24" t="s">
        <v>45</v>
      </c>
      <c r="AP82" s="63"/>
      <c r="AQ82" s="63"/>
      <c r="AR82" s="99"/>
    </row>
    <row r="83" spans="18:44" x14ac:dyDescent="0.25">
      <c r="AC83" s="193">
        <v>12</v>
      </c>
      <c r="AD83" s="10">
        <v>402022</v>
      </c>
      <c r="AE83" s="11"/>
      <c r="AJ83" s="24" t="s">
        <v>46</v>
      </c>
      <c r="AK83" s="84">
        <v>-9.9000000000000005E-2</v>
      </c>
      <c r="AL83" s="25" t="s">
        <v>47</v>
      </c>
      <c r="AM83" s="85">
        <v>1.2901</v>
      </c>
      <c r="AO83" s="24" t="s">
        <v>46</v>
      </c>
      <c r="AP83" s="129"/>
      <c r="AQ83" s="25" t="s">
        <v>47</v>
      </c>
      <c r="AR83" s="130"/>
    </row>
    <row r="84" spans="18:44" x14ac:dyDescent="0.25">
      <c r="R84" s="286"/>
      <c r="S84" s="286"/>
      <c r="T84" s="286"/>
      <c r="U84" s="286"/>
      <c r="V84" s="286"/>
      <c r="W84" s="286"/>
      <c r="AJ84" s="90"/>
      <c r="AK84" s="91"/>
      <c r="AL84" s="91"/>
      <c r="AM84" s="92"/>
      <c r="AO84" s="90"/>
      <c r="AP84" s="91"/>
      <c r="AQ84" s="91"/>
      <c r="AR84" s="92"/>
    </row>
    <row r="85" spans="18:44" x14ac:dyDescent="0.25">
      <c r="R85" s="5"/>
      <c r="S85" s="5"/>
      <c r="T85" s="5"/>
      <c r="U85" s="5"/>
      <c r="V85" s="170"/>
      <c r="W85" s="20"/>
      <c r="AJ85" s="24" t="s">
        <v>69</v>
      </c>
      <c r="AK85" s="25"/>
      <c r="AL85" s="25"/>
      <c r="AM85" s="26"/>
      <c r="AO85" s="24" t="s">
        <v>71</v>
      </c>
      <c r="AP85" s="25"/>
      <c r="AQ85" s="25"/>
      <c r="AR85" s="26"/>
    </row>
    <row r="86" spans="18:44" x14ac:dyDescent="0.25">
      <c r="R86" s="5"/>
      <c r="S86" s="5"/>
      <c r="T86" s="5"/>
      <c r="U86" s="5"/>
      <c r="V86" s="20"/>
      <c r="W86" s="20"/>
      <c r="AJ86" s="40" t="s">
        <v>48</v>
      </c>
      <c r="AK86" s="12" t="s">
        <v>49</v>
      </c>
      <c r="AL86" s="3" t="s">
        <v>43</v>
      </c>
      <c r="AM86" s="22" t="s">
        <v>64</v>
      </c>
      <c r="AO86" s="40" t="s">
        <v>48</v>
      </c>
      <c r="AP86" s="12" t="s">
        <v>49</v>
      </c>
      <c r="AQ86" s="3" t="s">
        <v>43</v>
      </c>
      <c r="AR86" s="22" t="s">
        <v>64</v>
      </c>
    </row>
    <row r="87" spans="18:44" x14ac:dyDescent="0.25">
      <c r="R87" s="5"/>
      <c r="S87" s="5"/>
      <c r="T87" s="5"/>
      <c r="U87" s="5"/>
      <c r="V87" s="20"/>
      <c r="W87" s="20"/>
      <c r="AJ87" s="3" t="s">
        <v>51</v>
      </c>
      <c r="AK87" s="89" t="s">
        <v>41</v>
      </c>
      <c r="AL87" s="88">
        <f>AL94*AL92*AL93</f>
        <v>46.809730538487919</v>
      </c>
      <c r="AM87" s="39" t="s">
        <v>63</v>
      </c>
      <c r="AO87" s="3" t="s">
        <v>51</v>
      </c>
      <c r="AP87" s="89" t="s">
        <v>41</v>
      </c>
      <c r="AQ87" s="88">
        <f>AQ94*AQ92*AQ93</f>
        <v>0</v>
      </c>
      <c r="AR87" s="39" t="s">
        <v>63</v>
      </c>
    </row>
    <row r="88" spans="18:44" ht="31.5" x14ac:dyDescent="0.25">
      <c r="R88" s="70"/>
      <c r="S88" s="70"/>
      <c r="T88" s="70"/>
      <c r="U88" s="70"/>
      <c r="V88" s="20"/>
      <c r="W88" s="20"/>
      <c r="AJ88" s="71" t="s">
        <v>60</v>
      </c>
      <c r="AK88" s="27" t="s">
        <v>40</v>
      </c>
      <c r="AL88" s="121">
        <f>AM101</f>
        <v>5.8994999999999997</v>
      </c>
      <c r="AM88" s="73" t="s">
        <v>21</v>
      </c>
      <c r="AO88" s="71" t="s">
        <v>60</v>
      </c>
      <c r="AP88" s="27" t="s">
        <v>40</v>
      </c>
      <c r="AQ88" s="121">
        <f>AR101</f>
        <v>0</v>
      </c>
      <c r="AR88" s="73" t="s">
        <v>21</v>
      </c>
    </row>
    <row r="89" spans="18:44" ht="47.25" x14ac:dyDescent="0.25">
      <c r="R89" s="5"/>
      <c r="S89" s="174"/>
      <c r="T89" s="5"/>
      <c r="U89" s="5"/>
      <c r="V89" s="172"/>
      <c r="W89" s="20"/>
      <c r="AJ89" s="31" t="s">
        <v>62</v>
      </c>
      <c r="AK89" s="41" t="s">
        <v>61</v>
      </c>
      <c r="AL89" s="7">
        <f>AL79-AL75</f>
        <v>8.0009999999999994</v>
      </c>
      <c r="AM89" s="78" t="s">
        <v>70</v>
      </c>
      <c r="AO89" s="31" t="s">
        <v>62</v>
      </c>
      <c r="AP89" s="41" t="s">
        <v>61</v>
      </c>
      <c r="AQ89" s="122">
        <f>AQ79-AQ75</f>
        <v>0</v>
      </c>
      <c r="AR89" s="78" t="s">
        <v>70</v>
      </c>
    </row>
    <row r="90" spans="18:44" x14ac:dyDescent="0.25">
      <c r="R90" s="5"/>
      <c r="S90" s="174"/>
      <c r="T90" s="5"/>
      <c r="U90" s="5"/>
      <c r="V90" s="20"/>
      <c r="W90" s="20"/>
      <c r="AJ90" s="1" t="s">
        <v>50</v>
      </c>
      <c r="AK90" s="62" t="s">
        <v>59</v>
      </c>
      <c r="AL90" s="33">
        <f>AL87-(AL88+AL89)</f>
        <v>32.909230538487918</v>
      </c>
      <c r="AM90" s="67" t="s">
        <v>65</v>
      </c>
      <c r="AO90" s="1" t="s">
        <v>50</v>
      </c>
      <c r="AP90" s="62" t="s">
        <v>59</v>
      </c>
      <c r="AQ90" s="33">
        <f>AQ87-(AQ88+AQ89)</f>
        <v>0</v>
      </c>
      <c r="AR90" s="67" t="s">
        <v>65</v>
      </c>
    </row>
    <row r="91" spans="18:44" x14ac:dyDescent="0.25">
      <c r="R91" s="5"/>
      <c r="S91" s="174"/>
      <c r="T91" s="5"/>
      <c r="U91" s="5"/>
      <c r="V91" s="20"/>
      <c r="W91" s="20"/>
      <c r="AJ91" s="24" t="s">
        <v>52</v>
      </c>
      <c r="AK91" s="25"/>
      <c r="AL91" s="25"/>
      <c r="AM91" s="26"/>
      <c r="AO91" s="24" t="s">
        <v>52</v>
      </c>
      <c r="AP91" s="25"/>
      <c r="AQ91" s="25"/>
      <c r="AR91" s="26"/>
    </row>
    <row r="92" spans="18:44" x14ac:dyDescent="0.25">
      <c r="R92" s="5"/>
      <c r="S92" s="174"/>
      <c r="T92" s="5"/>
      <c r="U92" s="5"/>
      <c r="V92" s="20"/>
      <c r="W92" s="20"/>
      <c r="AJ92" s="23" t="s">
        <v>53</v>
      </c>
      <c r="AK92" s="28" t="s">
        <v>56</v>
      </c>
      <c r="AL92" s="79">
        <f>(1)^2</f>
        <v>1</v>
      </c>
      <c r="AM92" s="16"/>
      <c r="AO92" s="23" t="s">
        <v>53</v>
      </c>
      <c r="AP92" s="28" t="s">
        <v>56</v>
      </c>
      <c r="AQ92" s="131"/>
      <c r="AR92" s="16"/>
    </row>
    <row r="93" spans="18:44" x14ac:dyDescent="0.25">
      <c r="R93" s="5"/>
      <c r="S93" s="5"/>
      <c r="T93" s="5"/>
      <c r="U93" s="5"/>
      <c r="V93" s="20"/>
      <c r="W93" s="20"/>
      <c r="AJ93" s="22" t="s">
        <v>54</v>
      </c>
      <c r="AK93" s="42" t="s">
        <v>55</v>
      </c>
      <c r="AL93" s="83">
        <v>14.9</v>
      </c>
      <c r="AM93" s="6"/>
      <c r="AO93" s="22" t="s">
        <v>54</v>
      </c>
      <c r="AP93" s="42" t="s">
        <v>55</v>
      </c>
      <c r="AQ93" s="132"/>
      <c r="AR93" s="6"/>
    </row>
    <row r="94" spans="18:44" x14ac:dyDescent="0.25">
      <c r="R94" s="5"/>
      <c r="S94" s="5"/>
      <c r="T94" s="5"/>
      <c r="U94" s="5"/>
      <c r="V94" s="20"/>
      <c r="W94" s="20"/>
      <c r="AJ94" s="35" t="s">
        <v>57</v>
      </c>
      <c r="AK94" s="77" t="s">
        <v>58</v>
      </c>
      <c r="AL94" s="32">
        <f>PI()</f>
        <v>3.1415926535897931</v>
      </c>
      <c r="AM94" s="10"/>
      <c r="AO94" s="35" t="s">
        <v>57</v>
      </c>
      <c r="AP94" s="77" t="s">
        <v>58</v>
      </c>
      <c r="AQ94" s="32">
        <f>PI()</f>
        <v>3.1415926535897931</v>
      </c>
      <c r="AR94" s="10"/>
    </row>
    <row r="95" spans="18:44" x14ac:dyDescent="0.25">
      <c r="R95" s="5"/>
      <c r="S95" s="5"/>
      <c r="T95" s="5"/>
      <c r="U95" s="5"/>
      <c r="V95" s="20"/>
      <c r="W95" s="20"/>
      <c r="AJ95" s="90"/>
      <c r="AK95" s="91"/>
      <c r="AL95" s="91"/>
      <c r="AM95" s="92"/>
      <c r="AO95" s="90"/>
      <c r="AP95" s="91"/>
      <c r="AQ95" s="91"/>
      <c r="AR95" s="92"/>
    </row>
    <row r="96" spans="18:44" x14ac:dyDescent="0.25">
      <c r="R96" s="20"/>
      <c r="S96" s="20"/>
      <c r="T96" s="20"/>
      <c r="U96" s="20"/>
      <c r="V96" s="20"/>
      <c r="W96" s="171"/>
      <c r="AJ96" s="94" t="s">
        <v>83</v>
      </c>
      <c r="AK96" s="89"/>
      <c r="AL96" s="89"/>
      <c r="AM96" s="95"/>
      <c r="AO96" s="94" t="s">
        <v>84</v>
      </c>
      <c r="AP96" s="89"/>
      <c r="AQ96" s="89"/>
      <c r="AR96" s="95"/>
    </row>
    <row r="97" spans="18:44" x14ac:dyDescent="0.25">
      <c r="R97" s="20"/>
      <c r="S97" s="20"/>
      <c r="T97" s="20"/>
      <c r="U97" s="20"/>
      <c r="V97" s="20"/>
      <c r="W97" s="171"/>
      <c r="AJ97" s="31" t="s">
        <v>73</v>
      </c>
      <c r="AK97" s="94">
        <v>0.45</v>
      </c>
      <c r="AL97" s="95"/>
      <c r="AM97" s="72" t="s">
        <v>74</v>
      </c>
      <c r="AO97" s="31" t="s">
        <v>73</v>
      </c>
      <c r="AP97" s="94">
        <v>0.45</v>
      </c>
      <c r="AQ97" s="95"/>
      <c r="AR97" s="72" t="s">
        <v>74</v>
      </c>
    </row>
    <row r="98" spans="18:44" x14ac:dyDescent="0.25">
      <c r="R98" s="5"/>
      <c r="S98" s="5"/>
      <c r="T98" s="5"/>
      <c r="U98" s="5"/>
      <c r="V98" s="5"/>
      <c r="AJ98" s="31" t="s">
        <v>76</v>
      </c>
      <c r="AK98" s="104">
        <v>1</v>
      </c>
      <c r="AL98" s="105"/>
      <c r="AM98" s="40" t="s">
        <v>77</v>
      </c>
      <c r="AO98" s="31" t="s">
        <v>76</v>
      </c>
      <c r="AP98" s="136">
        <v>1</v>
      </c>
      <c r="AQ98" s="137"/>
      <c r="AR98" s="40" t="s">
        <v>77</v>
      </c>
    </row>
    <row r="99" spans="18:44" x14ac:dyDescent="0.25">
      <c r="AJ99" s="24"/>
      <c r="AK99" s="25"/>
      <c r="AL99" s="25"/>
      <c r="AM99" s="26"/>
      <c r="AO99" s="24"/>
      <c r="AP99" s="25"/>
      <c r="AQ99" s="25"/>
      <c r="AR99" s="26"/>
    </row>
    <row r="100" spans="18:44" x14ac:dyDescent="0.25">
      <c r="AJ100" s="3"/>
      <c r="AK100" s="29" t="s">
        <v>78</v>
      </c>
      <c r="AL100" s="40" t="s">
        <v>79</v>
      </c>
      <c r="AM100" s="16" t="s">
        <v>27</v>
      </c>
      <c r="AO100" s="3"/>
      <c r="AP100" s="29" t="s">
        <v>78</v>
      </c>
      <c r="AQ100" s="40" t="s">
        <v>79</v>
      </c>
      <c r="AR100" s="16" t="s">
        <v>27</v>
      </c>
    </row>
    <row r="101" spans="18:44" x14ac:dyDescent="0.25">
      <c r="AJ101" s="96" t="s">
        <v>80</v>
      </c>
      <c r="AK101" s="80">
        <v>13.11</v>
      </c>
      <c r="AL101" s="110">
        <f t="shared" ref="AL101:AL108" si="23">AK101*$AK$98</f>
        <v>13.11</v>
      </c>
      <c r="AM101" s="107">
        <f t="shared" ref="AM101:AM108" si="24">AL101*$AK$97</f>
        <v>5.8994999999999997</v>
      </c>
      <c r="AO101" s="96" t="s">
        <v>80</v>
      </c>
      <c r="AP101" s="133"/>
      <c r="AQ101" s="100">
        <f t="shared" ref="AQ101:AQ108" si="25">AP101*$AP$98</f>
        <v>0</v>
      </c>
      <c r="AR101" s="51">
        <f t="shared" ref="AR101:AR108" si="26">AQ101*$AP$97</f>
        <v>0</v>
      </c>
    </row>
    <row r="102" spans="18:44" x14ac:dyDescent="0.25">
      <c r="AJ102" s="1" t="s">
        <v>81</v>
      </c>
      <c r="AK102" s="81">
        <v>22.22</v>
      </c>
      <c r="AL102" s="111">
        <f t="shared" si="23"/>
        <v>22.22</v>
      </c>
      <c r="AM102" s="108">
        <f t="shared" si="24"/>
        <v>9.9990000000000006</v>
      </c>
      <c r="AO102" s="1" t="s">
        <v>81</v>
      </c>
      <c r="AP102" s="134"/>
      <c r="AQ102" s="101">
        <f t="shared" si="25"/>
        <v>0</v>
      </c>
      <c r="AR102" s="47">
        <f t="shared" si="26"/>
        <v>0</v>
      </c>
    </row>
    <row r="103" spans="18:44" x14ac:dyDescent="0.25">
      <c r="AJ103" s="1" t="s">
        <v>36</v>
      </c>
      <c r="AK103" s="81">
        <v>33.33</v>
      </c>
      <c r="AL103" s="111">
        <f t="shared" si="23"/>
        <v>33.33</v>
      </c>
      <c r="AM103" s="108">
        <f t="shared" si="24"/>
        <v>14.9985</v>
      </c>
      <c r="AO103" s="1" t="s">
        <v>36</v>
      </c>
      <c r="AP103" s="134"/>
      <c r="AQ103" s="101">
        <f t="shared" si="25"/>
        <v>0</v>
      </c>
      <c r="AR103" s="47">
        <f t="shared" si="26"/>
        <v>0</v>
      </c>
    </row>
    <row r="104" spans="18:44" x14ac:dyDescent="0.25">
      <c r="AJ104" s="1" t="s">
        <v>37</v>
      </c>
      <c r="AK104" s="81">
        <v>35.549999999999997</v>
      </c>
      <c r="AL104" s="111">
        <f t="shared" si="23"/>
        <v>35.549999999999997</v>
      </c>
      <c r="AM104" s="108">
        <f t="shared" si="24"/>
        <v>15.997499999999999</v>
      </c>
      <c r="AO104" s="1" t="s">
        <v>37</v>
      </c>
      <c r="AP104" s="134"/>
      <c r="AQ104" s="101">
        <f t="shared" si="25"/>
        <v>0</v>
      </c>
      <c r="AR104" s="47">
        <f t="shared" si="26"/>
        <v>0</v>
      </c>
    </row>
    <row r="105" spans="18:44" x14ac:dyDescent="0.25">
      <c r="AJ105" s="1" t="s">
        <v>38</v>
      </c>
      <c r="AK105" s="81">
        <v>37.770000000000003</v>
      </c>
      <c r="AL105" s="111">
        <f t="shared" si="23"/>
        <v>37.770000000000003</v>
      </c>
      <c r="AM105" s="108">
        <f t="shared" si="24"/>
        <v>16.996500000000001</v>
      </c>
      <c r="AO105" s="1" t="s">
        <v>38</v>
      </c>
      <c r="AP105" s="134"/>
      <c r="AQ105" s="101">
        <f t="shared" si="25"/>
        <v>0</v>
      </c>
      <c r="AR105" s="47">
        <f t="shared" si="26"/>
        <v>0</v>
      </c>
    </row>
    <row r="106" spans="18:44" x14ac:dyDescent="0.25">
      <c r="AJ106" s="1" t="s">
        <v>82</v>
      </c>
      <c r="AK106" s="81">
        <v>40</v>
      </c>
      <c r="AL106" s="111">
        <f t="shared" si="23"/>
        <v>40</v>
      </c>
      <c r="AM106" s="108">
        <f t="shared" si="24"/>
        <v>18</v>
      </c>
      <c r="AO106" s="1" t="s">
        <v>82</v>
      </c>
      <c r="AP106" s="134"/>
      <c r="AQ106" s="101">
        <f t="shared" si="25"/>
        <v>0</v>
      </c>
      <c r="AR106" s="47">
        <f t="shared" si="26"/>
        <v>0</v>
      </c>
    </row>
    <row r="107" spans="18:44" x14ac:dyDescent="0.25">
      <c r="AJ107" s="1" t="s">
        <v>16</v>
      </c>
      <c r="AK107" s="81">
        <v>44.44</v>
      </c>
      <c r="AL107" s="111">
        <f t="shared" si="23"/>
        <v>44.44</v>
      </c>
      <c r="AM107" s="108">
        <f t="shared" si="24"/>
        <v>19.998000000000001</v>
      </c>
      <c r="AO107" s="1" t="s">
        <v>16</v>
      </c>
      <c r="AP107" s="134"/>
      <c r="AQ107" s="101">
        <f t="shared" si="25"/>
        <v>0</v>
      </c>
      <c r="AR107" s="47">
        <f t="shared" si="26"/>
        <v>0</v>
      </c>
    </row>
    <row r="108" spans="18:44" x14ac:dyDescent="0.25">
      <c r="AJ108" s="1" t="s">
        <v>39</v>
      </c>
      <c r="AK108" s="106">
        <v>30</v>
      </c>
      <c r="AL108" s="112">
        <f t="shared" si="23"/>
        <v>30</v>
      </c>
      <c r="AM108" s="109">
        <f t="shared" si="24"/>
        <v>13.5</v>
      </c>
      <c r="AO108" s="1" t="s">
        <v>39</v>
      </c>
      <c r="AP108" s="135"/>
      <c r="AQ108" s="126">
        <f t="shared" si="25"/>
        <v>0</v>
      </c>
      <c r="AR108" s="52">
        <f t="shared" si="26"/>
        <v>0</v>
      </c>
    </row>
  </sheetData>
  <mergeCells count="78">
    <mergeCell ref="N73:O73"/>
    <mergeCell ref="N75:O75"/>
    <mergeCell ref="N64:O64"/>
    <mergeCell ref="N65:O65"/>
    <mergeCell ref="N66:O66"/>
    <mergeCell ref="N67:O67"/>
    <mergeCell ref="N68:O68"/>
    <mergeCell ref="N69:O69"/>
    <mergeCell ref="N72:O72"/>
    <mergeCell ref="AC45:AH45"/>
    <mergeCell ref="N63:O63"/>
    <mergeCell ref="AC9:AH9"/>
    <mergeCell ref="AC1:AH1"/>
    <mergeCell ref="AC2:AH2"/>
    <mergeCell ref="AC35:AH35"/>
    <mergeCell ref="AC25:AH25"/>
    <mergeCell ref="AC26:AH26"/>
    <mergeCell ref="AC37:AH37"/>
    <mergeCell ref="AC15:AH15"/>
    <mergeCell ref="AC14:AH14"/>
    <mergeCell ref="T2:T3"/>
    <mergeCell ref="S2:S3"/>
    <mergeCell ref="R2:R3"/>
    <mergeCell ref="Q2:Q3"/>
    <mergeCell ref="AC55:AC57"/>
    <mergeCell ref="R84:W84"/>
    <mergeCell ref="N18:R18"/>
    <mergeCell ref="N19:N20"/>
    <mergeCell ref="N71:O71"/>
    <mergeCell ref="A10:I10"/>
    <mergeCell ref="A11:A12"/>
    <mergeCell ref="C11:D11"/>
    <mergeCell ref="E11:G11"/>
    <mergeCell ref="K10:W10"/>
    <mergeCell ref="Q11:R11"/>
    <mergeCell ref="N11:P11"/>
    <mergeCell ref="L11:L12"/>
    <mergeCell ref="K11:K12"/>
    <mergeCell ref="S11:U11"/>
    <mergeCell ref="N58:Q58"/>
    <mergeCell ref="N50:O50"/>
    <mergeCell ref="AC8:AH8"/>
    <mergeCell ref="AC10:AH10"/>
    <mergeCell ref="K28:L28"/>
    <mergeCell ref="K18:L18"/>
    <mergeCell ref="A1:I1"/>
    <mergeCell ref="P2:P3"/>
    <mergeCell ref="K2:K3"/>
    <mergeCell ref="L2:M2"/>
    <mergeCell ref="A2:A3"/>
    <mergeCell ref="E2:G2"/>
    <mergeCell ref="C2:D2"/>
    <mergeCell ref="Y10:AA10"/>
    <mergeCell ref="AU47:AY47"/>
    <mergeCell ref="AJ72:AM72"/>
    <mergeCell ref="AU50:AV50"/>
    <mergeCell ref="AU51:AV51"/>
    <mergeCell ref="AU52:AV52"/>
    <mergeCell ref="AU53:AV53"/>
    <mergeCell ref="AU49:AV49"/>
    <mergeCell ref="AU54:AV54"/>
    <mergeCell ref="AO72:AR72"/>
    <mergeCell ref="N74:O74"/>
    <mergeCell ref="N76:O76"/>
    <mergeCell ref="N77:Q77"/>
    <mergeCell ref="AC71:AE71"/>
    <mergeCell ref="AU48:AY48"/>
    <mergeCell ref="AO73:AR73"/>
    <mergeCell ref="AJ73:AM73"/>
    <mergeCell ref="AC54:AI54"/>
    <mergeCell ref="N51:O51"/>
    <mergeCell ref="N52:O52"/>
    <mergeCell ref="N53:O53"/>
    <mergeCell ref="N55:O55"/>
    <mergeCell ref="N54:O54"/>
    <mergeCell ref="N56:O56"/>
    <mergeCell ref="N57:O57"/>
    <mergeCell ref="N70:O70"/>
  </mergeCells>
  <pageMargins left="0.7" right="0.7" top="0.78740157499999996" bottom="0.78740157499999996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Malcolm Rose</cp:lastModifiedBy>
  <dcterms:created xsi:type="dcterms:W3CDTF">2018-05-17T11:10:40Z</dcterms:created>
  <dcterms:modified xsi:type="dcterms:W3CDTF">2018-06-14T14:54:56Z</dcterms:modified>
</cp:coreProperties>
</file>