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barsaidakramov/Desktop/data_program_rehersal/kickstarter-analysis/"/>
    </mc:Choice>
  </mc:AlternateContent>
  <xr:revisionPtr revIDLastSave="0" documentId="13_ncr:1_{16866216-3B51-4D44-8DBC-BEED78C594BF}" xr6:coauthVersionLast="47" xr6:coauthVersionMax="47" xr10:uidLastSave="{00000000-0000-0000-0000-000000000000}"/>
  <bookViews>
    <workbookView xWindow="28800" yWindow="0" windowWidth="38400" windowHeight="21600" activeTab="2" xr2:uid="{00000000-000D-0000-FFFF-FFFF00000000}"/>
  </bookViews>
  <sheets>
    <sheet name="Theater Outcomes by Launch Date" sheetId="3" r:id="rId1"/>
    <sheet name="Kickstarter" sheetId="1" r:id="rId2"/>
    <sheet name="Outcomes Based on Goals" sheetId="2" r:id="rId3"/>
  </sheets>
  <calcPr calcId="191029"/>
  <pivotCaches>
    <pivotCache cacheId="2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H5" i="2"/>
  <c r="H6" i="2"/>
  <c r="H7" i="2"/>
  <c r="H8" i="2"/>
  <c r="H9" i="2"/>
  <c r="H10" i="2"/>
  <c r="H11" i="2"/>
  <c r="H12" i="2"/>
  <c r="H13" i="2"/>
  <c r="G2" i="2"/>
  <c r="G3" i="2"/>
  <c r="G4" i="2"/>
  <c r="G5" i="2"/>
  <c r="G6" i="2"/>
  <c r="G7" i="2"/>
  <c r="G8" i="2"/>
  <c r="G9" i="2"/>
  <c r="G10" i="2"/>
  <c r="G11" i="2"/>
  <c r="G12" i="2"/>
  <c r="G13" i="2"/>
  <c r="F2" i="2"/>
  <c r="F3" i="2"/>
  <c r="F4" i="2"/>
  <c r="F5" i="2"/>
  <c r="F6" i="2"/>
  <c r="F7" i="2"/>
  <c r="F8" i="2"/>
  <c r="F9" i="2"/>
  <c r="F10" i="2"/>
  <c r="F11" i="2"/>
  <c r="F12" i="2"/>
  <c r="F13" i="2"/>
  <c r="D13" i="2"/>
  <c r="C13" i="2"/>
  <c r="D2" i="2"/>
  <c r="C2" i="2"/>
  <c r="B13" i="2"/>
  <c r="B2" i="2"/>
  <c r="E3" i="2"/>
  <c r="E4" i="2"/>
  <c r="E5" i="2"/>
  <c r="E6" i="2"/>
  <c r="E7" i="2"/>
  <c r="E8" i="2"/>
  <c r="E9" i="2"/>
  <c r="E10" i="2"/>
  <c r="E11" i="2"/>
  <c r="E12" i="2"/>
  <c r="D12" i="2"/>
  <c r="D11" i="2"/>
  <c r="D10" i="2"/>
  <c r="D9" i="2"/>
  <c r="D8" i="2"/>
  <c r="D7" i="2"/>
  <c r="D6" i="2"/>
  <c r="D5" i="2"/>
  <c r="D4" i="2"/>
  <c r="D3" i="2"/>
  <c r="C12" i="2"/>
  <c r="C11" i="2"/>
  <c r="C10" i="2"/>
  <c r="C9" i="2"/>
  <c r="C8" i="2"/>
  <c r="C7" i="2"/>
  <c r="C6" i="2"/>
  <c r="C5" i="2"/>
  <c r="C4" i="2"/>
  <c r="C3" i="2"/>
  <c r="B12" i="2"/>
  <c r="B11" i="2"/>
  <c r="B10" i="2"/>
  <c r="B9" i="2"/>
  <c r="B8" i="2"/>
  <c r="B7" i="2"/>
  <c r="B6" i="2"/>
  <c r="B5" i="2"/>
  <c r="B3" i="2"/>
  <c r="B4" i="2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R4037" i="1"/>
  <c r="Q4037" i="1"/>
  <c r="P4037" i="1"/>
  <c r="O4037" i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R4032" i="1"/>
  <c r="Q4032" i="1"/>
  <c r="P4032" i="1"/>
  <c r="O4032" i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R3943" i="1"/>
  <c r="Q3943" i="1"/>
  <c r="P3943" i="1"/>
  <c r="O3943" i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R3882" i="1"/>
  <c r="Q3882" i="1"/>
  <c r="P3882" i="1"/>
  <c r="O3882" i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R3845" i="1"/>
  <c r="Q3845" i="1"/>
  <c r="P3845" i="1"/>
  <c r="O3845" i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R3783" i="1"/>
  <c r="Q3783" i="1"/>
  <c r="P3783" i="1"/>
  <c r="O3783" i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R3717" i="1"/>
  <c r="Q3717" i="1"/>
  <c r="P3717" i="1"/>
  <c r="O3717" i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R3712" i="1"/>
  <c r="Q3712" i="1"/>
  <c r="P3712" i="1"/>
  <c r="O3712" i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R3655" i="1"/>
  <c r="Q3655" i="1"/>
  <c r="P3655" i="1"/>
  <c r="O3655" i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R3626" i="1"/>
  <c r="Q3626" i="1"/>
  <c r="P3626" i="1"/>
  <c r="O3626" i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R3589" i="1"/>
  <c r="Q3589" i="1"/>
  <c r="P3589" i="1"/>
  <c r="O3589" i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R3576" i="1"/>
  <c r="Q3576" i="1"/>
  <c r="P3576" i="1"/>
  <c r="O3576" i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R3519" i="1"/>
  <c r="Q3519" i="1"/>
  <c r="P3519" i="1"/>
  <c r="O3519" i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R3509" i="1"/>
  <c r="Q3509" i="1"/>
  <c r="P3509" i="1"/>
  <c r="O3509" i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R3480" i="1"/>
  <c r="Q3480" i="1"/>
  <c r="P3480" i="1"/>
  <c r="O3480" i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R3389" i="1"/>
  <c r="Q3389" i="1"/>
  <c r="P3389" i="1"/>
  <c r="O3389" i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R3379" i="1"/>
  <c r="Q3379" i="1"/>
  <c r="P3379" i="1"/>
  <c r="O3379" i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R3366" i="1"/>
  <c r="Q3366" i="1"/>
  <c r="P3366" i="1"/>
  <c r="O3366" i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R3340" i="1"/>
  <c r="Q3340" i="1"/>
  <c r="P3340" i="1"/>
  <c r="O3340" i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R3212" i="1"/>
  <c r="Q3212" i="1"/>
  <c r="P3212" i="1"/>
  <c r="O3212" i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R3197" i="1"/>
  <c r="Q3197" i="1"/>
  <c r="P3197" i="1"/>
  <c r="O3197" i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R3076" i="1"/>
  <c r="Q3076" i="1"/>
  <c r="P3076" i="1"/>
  <c r="O3076" i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R3050" i="1"/>
  <c r="Q3050" i="1"/>
  <c r="P3050" i="1"/>
  <c r="O3050" i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R3019" i="1"/>
  <c r="Q3019" i="1"/>
  <c r="P3019" i="1"/>
  <c r="O3019" i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R2841" i="1"/>
  <c r="Q2841" i="1"/>
  <c r="P2841" i="1"/>
  <c r="O2841" i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R2836" i="1"/>
  <c r="Q2836" i="1"/>
  <c r="P2836" i="1"/>
  <c r="O2836" i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R2681" i="1"/>
  <c r="Q2681" i="1"/>
  <c r="P2681" i="1"/>
  <c r="O2681" i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R2676" i="1"/>
  <c r="Q2676" i="1"/>
  <c r="P2676" i="1"/>
  <c r="O2676" i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R2585" i="1"/>
  <c r="Q2585" i="1"/>
  <c r="P2585" i="1"/>
  <c r="O2585" i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R2580" i="1"/>
  <c r="Q2580" i="1"/>
  <c r="P2580" i="1"/>
  <c r="O2580" i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R2523" i="1"/>
  <c r="Q2523" i="1"/>
  <c r="P2523" i="1"/>
  <c r="O2523" i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R2366" i="1"/>
  <c r="Q2366" i="1"/>
  <c r="P2366" i="1"/>
  <c r="O2366" i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R2171" i="1"/>
  <c r="Q2171" i="1"/>
  <c r="P2171" i="1"/>
  <c r="O2171" i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R2110" i="1"/>
  <c r="Q2110" i="1"/>
  <c r="P2110" i="1"/>
  <c r="O2110" i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R2100" i="1"/>
  <c r="Q2100" i="1"/>
  <c r="P2100" i="1"/>
  <c r="O2100" i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R2078" i="1"/>
  <c r="Q2078" i="1"/>
  <c r="P2078" i="1"/>
  <c r="O2078" i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R2068" i="1"/>
  <c r="Q2068" i="1"/>
  <c r="P2068" i="1"/>
  <c r="O2068" i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R1915" i="1"/>
  <c r="Q1915" i="1"/>
  <c r="P1915" i="1"/>
  <c r="O1915" i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R1851" i="1"/>
  <c r="Q1851" i="1"/>
  <c r="P1851" i="1"/>
  <c r="O1851" i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R1846" i="1"/>
  <c r="Q1846" i="1"/>
  <c r="P1846" i="1"/>
  <c r="O1846" i="1"/>
  <c r="Q1845" i="1"/>
  <c r="P1845" i="1"/>
  <c r="O1845" i="1"/>
  <c r="R1845" i="1" s="1"/>
  <c r="R1844" i="1"/>
  <c r="Q1844" i="1"/>
  <c r="P1844" i="1"/>
  <c r="O1844" i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R1785" i="1"/>
  <c r="Q1785" i="1"/>
  <c r="P1785" i="1"/>
  <c r="O1785" i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R1678" i="1"/>
  <c r="Q1678" i="1"/>
  <c r="P1678" i="1"/>
  <c r="O1678" i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R1673" i="1"/>
  <c r="Q1673" i="1"/>
  <c r="P1673" i="1"/>
  <c r="O1673" i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R1530" i="1"/>
  <c r="Q1530" i="1"/>
  <c r="P1530" i="1"/>
  <c r="O1530" i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R1514" i="1"/>
  <c r="Q1514" i="1"/>
  <c r="P1514" i="1"/>
  <c r="O1514" i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R1488" i="1"/>
  <c r="Q1488" i="1"/>
  <c r="P1488" i="1"/>
  <c r="O1488" i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R1473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R1386" i="1"/>
  <c r="Q1386" i="1"/>
  <c r="P1386" i="1"/>
  <c r="O1386" i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R1376" i="1"/>
  <c r="Q1376" i="1"/>
  <c r="P1376" i="1"/>
  <c r="O1376" i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R1281" i="1"/>
  <c r="Q1281" i="1"/>
  <c r="P1281" i="1"/>
  <c r="O1281" i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R1249" i="1"/>
  <c r="Q1249" i="1"/>
  <c r="P1249" i="1"/>
  <c r="O1249" i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R1232" i="1"/>
  <c r="Q1232" i="1"/>
  <c r="P1232" i="1"/>
  <c r="O1232" i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R1168" i="1"/>
  <c r="Q1168" i="1"/>
  <c r="P1168" i="1"/>
  <c r="O1168" i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R977" i="1"/>
  <c r="Q977" i="1"/>
  <c r="P977" i="1"/>
  <c r="O977" i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R929" i="1"/>
  <c r="Q929" i="1"/>
  <c r="P929" i="1"/>
  <c r="O929" i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R890" i="1"/>
  <c r="Q890" i="1"/>
  <c r="P890" i="1"/>
  <c r="O890" i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R874" i="1"/>
  <c r="Q874" i="1"/>
  <c r="P874" i="1"/>
  <c r="O874" i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R864" i="1"/>
  <c r="Q864" i="1"/>
  <c r="P864" i="1"/>
  <c r="O864" i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R769" i="1"/>
  <c r="Q769" i="1"/>
  <c r="P769" i="1"/>
  <c r="O769" i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R746" i="1"/>
  <c r="Q746" i="1"/>
  <c r="P746" i="1"/>
  <c r="O746" i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R698" i="1"/>
  <c r="Q698" i="1"/>
  <c r="P698" i="1"/>
  <c r="O698" i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R677" i="1"/>
  <c r="Q677" i="1"/>
  <c r="P677" i="1"/>
  <c r="O677" i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R672" i="1"/>
  <c r="Q672" i="1"/>
  <c r="P672" i="1"/>
  <c r="O672" i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R608" i="1"/>
  <c r="Q608" i="1"/>
  <c r="P608" i="1"/>
  <c r="O608" i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R577" i="1"/>
  <c r="Q577" i="1"/>
  <c r="P577" i="1"/>
  <c r="O577" i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R481" i="1"/>
  <c r="Q481" i="1"/>
  <c r="P481" i="1"/>
  <c r="O481" i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R216" i="1"/>
  <c r="Q216" i="1"/>
  <c r="P216" i="1"/>
  <c r="O216" i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E13" i="2" l="1"/>
  <c r="E2" i="2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<sst xmlns="http://schemas.openxmlformats.org/spreadsheetml/2006/main" count="24744" uniqueCount="8348">
  <si>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</si>
  <si>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</si>
  <si>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</si>
  <si>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</si>
  <si>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</si>
  <si>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</si>
  <si>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</si>
  <si>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</si>
  <si>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</si>
  <si>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</si>
  <si>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</si>
  <si>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</si>
  <si>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</si>
  <si>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</si>
  <si>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</si>
  <si>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</si>
  <si>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</si>
  <si>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</si>
  <si>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</si>
  <si>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</si>
  <si>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</si>
  <si>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</si>
  <si>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</si>
  <si>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</si>
  <si>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</si>
  <si>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</si>
  <si>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</si>
  <si>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</si>
  <si>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</si>
  <si>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</si>
  <si>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</si>
  <si>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</si>
  <si>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</si>
  <si>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</si>
  <si>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</si>
  <si>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</si>
  <si>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</si>
  <si>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</si>
  <si>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</si>
  <si>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</si>
  <si>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</si>
  <si>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</si>
  <si>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</si>
  <si>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</si>
  <si>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</si>
  <si>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</si>
  <si>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</si>
  <si>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</si>
  <si>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</si>
  <si>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</si>
  <si>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</si>
  <si>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</si>
  <si>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</si>
  <si>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</si>
  <si>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</si>
  <si>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</si>
  <si>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</si>
  <si>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</si>
  <si>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</si>
  <si>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</si>
  <si>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</si>
  <si>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</si>
  <si>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</si>
  <si>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</si>
  <si>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</si>
  <si>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</si>
  <si>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</si>
  <si>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</si>
  <si>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</si>
  <si>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</si>
  <si>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</si>
  <si>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</si>
  <si>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</si>
  <si>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</si>
  <si>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</si>
  <si>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</si>
  <si>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</si>
  <si>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</si>
  <si>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</si>
  <si>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</si>
  <si>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</si>
  <si>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</si>
  <si>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</si>
  <si>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</si>
  <si>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</si>
  <si>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</si>
  <si>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</si>
  <si>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</si>
  <si>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</si>
  <si>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</si>
  <si>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</si>
  <si>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</si>
  <si>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</si>
  <si>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</si>
  <si>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</si>
  <si>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</si>
  <si>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</si>
  <si>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</si>
  <si>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</si>
  <si>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</si>
  <si>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</si>
  <si>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</si>
  <si>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</si>
  <si>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</si>
  <si>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</si>
  <si>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</si>
  <si>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</si>
  <si>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</si>
  <si>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</si>
  <si>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</si>
  <si>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</si>
  <si>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</si>
  <si>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</si>
  <si>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</si>
  <si>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</si>
  <si>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</si>
  <si>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</si>
  <si>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</si>
  <si>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</si>
  <si>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</si>
  <si>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</si>
  <si>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</si>
  <si>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</si>
  <si>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</si>
  <si>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</si>
  <si>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</si>
  <si>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</si>
  <si>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</si>
  <si>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</si>
  <si>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</si>
  <si>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</si>
  <si>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</si>
  <si>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</si>
  <si>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</si>
  <si>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</si>
  <si>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</si>
  <si>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</si>
  <si>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</si>
  <si>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</si>
  <si>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</si>
  <si>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</si>
  <si>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</si>
  <si>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</si>
  <si>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</si>
  <si>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</si>
  <si>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</si>
  <si>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</si>
  <si>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</si>
  <si>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</si>
  <si>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</si>
  <si>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</si>
  <si>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</si>
  <si>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</si>
  <si>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</si>
  <si>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</si>
  <si>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</si>
  <si>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</si>
  <si>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</si>
  <si>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</si>
  <si>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</si>
  <si>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</si>
  <si>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</si>
  <si>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</si>
  <si>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</si>
  <si>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</si>
  <si>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</si>
  <si>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</si>
  <si>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</si>
  <si>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</si>
  <si>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</si>
  <si>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</si>
  <si>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</si>
  <si>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</si>
  <si>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</si>
  <si>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</si>
  <si>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</si>
  <si>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</si>
  <si>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</si>
  <si>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</si>
  <si>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</si>
  <si>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</si>
  <si>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</si>
  <si>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</si>
  <si>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</si>
  <si>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</si>
  <si>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</si>
  <si>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</si>
  <si>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</si>
  <si>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</si>
  <si>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</si>
  <si>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</si>
  <si>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</si>
  <si>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</si>
  <si>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</si>
  <si>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</si>
  <si>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</si>
  <si>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</si>
  <si>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</si>
  <si>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</si>
  <si>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</si>
  <si>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</si>
  <si>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</si>
  <si>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</si>
  <si>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</si>
  <si>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</si>
  <si>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</si>
  <si>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</si>
  <si>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</si>
  <si>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</si>
  <si>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</si>
  <si>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</si>
  <si>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</si>
  <si>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</si>
  <si>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</si>
  <si>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</si>
  <si>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</si>
  <si>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</si>
  <si>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</si>
  <si>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</si>
  <si>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</si>
  <si>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</si>
  <si>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</si>
  <si>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</si>
  <si>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</si>
  <si>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</si>
  <si>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</si>
  <si>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</si>
  <si>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</si>
  <si>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</si>
  <si>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</si>
  <si>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</si>
  <si>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</si>
  <si>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</si>
  <si>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</si>
  <si>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</si>
  <si>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</si>
  <si>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</si>
  <si>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</si>
  <si>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</si>
  <si>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</si>
  <si>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</si>
  <si>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</si>
  <si>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</si>
  <si>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</si>
  <si>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</si>
  <si>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</si>
  <si>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</si>
  <si>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</si>
  <si>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</si>
  <si>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</si>
  <si>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</si>
  <si>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</si>
  <si>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</si>
  <si>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</si>
  <si>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</si>
  <si>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</si>
  <si>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</si>
  <si>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</si>
  <si>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</si>
  <si>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</si>
  <si>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</si>
  <si>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</si>
  <si>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</si>
  <si>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</si>
  <si>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</si>
  <si>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</si>
  <si>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</si>
  <si>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</si>
  <si>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</si>
  <si>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</si>
  <si>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</si>
  <si>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</si>
  <si>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</si>
  <si>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</si>
  <si>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</si>
  <si>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</si>
  <si>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</si>
  <si>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</si>
  <si>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</si>
  <si>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</si>
  <si>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</si>
  <si>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</si>
  <si>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</si>
  <si>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</si>
  <si>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</si>
  <si>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</si>
  <si>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</si>
  <si>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</si>
  <si>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</si>
  <si>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</si>
  <si>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</si>
  <si>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</si>
  <si>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</si>
  <si>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</si>
  <si>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</si>
  <si>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</si>
  <si>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</si>
  <si>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</si>
  <si>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</si>
  <si>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</si>
  <si>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</si>
  <si>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</si>
  <si>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</si>
  <si>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</si>
  <si>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</si>
  <si>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</si>
  <si>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</si>
  <si>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</si>
  <si>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</si>
  <si>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</si>
  <si>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</si>
  <si>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</si>
  <si>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</si>
  <si>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</si>
  <si>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</si>
  <si>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</si>
  <si>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</si>
  <si>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</si>
  <si>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</si>
  <si>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</si>
  <si>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</si>
  <si>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</si>
  <si>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</si>
  <si>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</si>
  <si>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</si>
  <si>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</si>
  <si>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</si>
  <si>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</si>
  <si>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</si>
  <si>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</si>
  <si>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</si>
  <si>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</si>
  <si>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</si>
  <si>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</si>
  <si>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</si>
  <si>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</si>
  <si>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</si>
  <si>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</si>
  <si>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</si>
  <si>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</si>
  <si>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</si>
  <si>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</si>
  <si>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</si>
  <si>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</si>
  <si>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</si>
  <si>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</si>
  <si>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</si>
  <si>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</si>
  <si>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</si>
  <si>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</si>
  <si>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</si>
  <si>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</si>
  <si>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</si>
  <si>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</si>
  <si>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</si>
  <si>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</si>
  <si>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</si>
  <si>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</si>
  <si>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</si>
  <si>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</si>
  <si>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</si>
  <si>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</si>
  <si>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</si>
  <si>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</si>
  <si>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</si>
  <si>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</si>
  <si>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</si>
  <si>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</si>
  <si>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</si>
  <si>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</si>
  <si>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</si>
  <si>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</si>
  <si>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</si>
  <si>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</si>
  <si>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</si>
  <si>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</si>
  <si>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</si>
  <si>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</si>
  <si>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</si>
  <si>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</si>
  <si>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</si>
  <si>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</si>
  <si>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</si>
  <si>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</si>
  <si>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</si>
  <si>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</si>
  <si>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</si>
  <si>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</si>
  <si>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</si>
  <si>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</si>
  <si>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</si>
  <si>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</si>
  <si>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</si>
  <si>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</si>
  <si>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</si>
  <si>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</si>
  <si>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</si>
  <si>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</si>
  <si>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</si>
  <si>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</si>
  <si>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</si>
  <si>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</si>
  <si>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</si>
  <si>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</si>
  <si>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</si>
  <si>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</si>
  <si>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</si>
  <si>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</si>
  <si>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</si>
  <si>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</si>
  <si>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</si>
  <si>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</si>
  <si>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</si>
  <si>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</si>
  <si>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</si>
  <si>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</si>
  <si>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</si>
  <si>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</si>
  <si>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</si>
  <si>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</si>
  <si>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</si>
  <si>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</si>
  <si>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</si>
  <si>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</si>
  <si>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</si>
  <si>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</si>
  <si>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</si>
  <si>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</si>
  <si>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</si>
  <si>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</si>
  <si>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</si>
  <si>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</si>
  <si>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</si>
  <si>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</si>
  <si>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</si>
  <si>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</si>
  <si>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</si>
  <si>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</si>
  <si>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</si>
  <si>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</si>
  <si>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</si>
  <si>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</si>
  <si>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</si>
  <si>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</si>
  <si>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</si>
  <si>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</si>
  <si>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</si>
  <si>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</si>
  <si>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</si>
  <si>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</si>
  <si>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</si>
  <si>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</si>
  <si>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</si>
  <si>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</si>
  <si>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</si>
  <si>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</si>
  <si>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</si>
  <si>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</si>
  <si>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</si>
  <si>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</si>
  <si>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</si>
  <si>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</si>
  <si>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</si>
  <si>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</si>
  <si>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</si>
  <si>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</si>
  <si>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</si>
  <si>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</si>
  <si>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</si>
  <si>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</si>
  <si>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</si>
  <si>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</si>
  <si>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</si>
  <si>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</si>
  <si>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</si>
  <si>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</si>
  <si>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</si>
  <si>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</si>
  <si>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</si>
  <si>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</si>
  <si>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</si>
  <si>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</si>
  <si>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</si>
  <si>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</si>
  <si>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</si>
  <si>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</si>
  <si>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</si>
  <si>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</si>
  <si>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</si>
  <si>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</si>
  <si>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</si>
  <si>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</si>
  <si>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</si>
  <si>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</si>
  <si>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</si>
  <si>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</si>
  <si>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</si>
  <si>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</si>
  <si>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</si>
  <si>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</si>
  <si>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</si>
  <si>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</si>
  <si>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</si>
  <si>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</si>
  <si>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</si>
  <si>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</si>
  <si>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</si>
  <si>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</si>
  <si>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</si>
  <si>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</si>
  <si>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</si>
  <si>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</si>
  <si>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</si>
  <si>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</si>
  <si>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</si>
  <si>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</si>
  <si>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</si>
  <si>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</si>
  <si>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</si>
  <si>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</si>
  <si>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</si>
  <si>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</si>
  <si>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</si>
  <si>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</si>
  <si>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</si>
  <si>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</si>
  <si>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</si>
  <si>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</si>
  <si>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</si>
  <si>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</si>
  <si>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</si>
  <si>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</si>
  <si>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</si>
  <si>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</si>
  <si>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</si>
  <si>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</si>
  <si>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</si>
  <si>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</si>
  <si>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</si>
  <si>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</si>
  <si>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</si>
  <si>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</si>
  <si>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</si>
  <si>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</si>
  <si>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</si>
  <si>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</si>
  <si>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</si>
  <si>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</si>
  <si>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</si>
  <si>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</si>
  <si>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</si>
  <si>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</si>
  <si>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</si>
  <si>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</si>
  <si>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</si>
  <si>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</si>
  <si>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</si>
  <si>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</si>
  <si>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</si>
  <si>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</si>
  <si>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</si>
  <si>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</si>
  <si>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</si>
  <si>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</si>
  <si>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</si>
  <si>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</si>
  <si>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</si>
  <si>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</si>
  <si>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</si>
  <si>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</si>
  <si>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</si>
  <si>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</si>
  <si>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</si>
  <si>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</si>
  <si>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</si>
  <si>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</si>
  <si>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</si>
  <si>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</si>
  <si>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</si>
  <si>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</si>
  <si>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</si>
  <si>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</si>
  <si>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</si>
  <si>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</si>
  <si>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</si>
  <si>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</si>
  <si>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</si>
  <si>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</si>
  <si>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</si>
  <si>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</si>
  <si>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</si>
  <si>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</si>
  <si>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</si>
  <si>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</si>
  <si>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</si>
  <si>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</si>
  <si>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</si>
  <si>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</si>
  <si>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</si>
  <si>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</si>
  <si>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</si>
  <si>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</si>
  <si>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</si>
  <si>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</si>
  <si>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</si>
  <si>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</si>
  <si>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</si>
  <si>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</si>
  <si>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</si>
  <si>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</si>
  <si>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</si>
  <si>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</si>
  <si>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</si>
  <si>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</si>
  <si>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</si>
  <si>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</si>
  <si>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</si>
  <si>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</si>
  <si>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</si>
  <si>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</si>
  <si>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</si>
  <si>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</si>
  <si>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</si>
  <si>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</si>
  <si>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</si>
  <si>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</si>
  <si>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</si>
  <si>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</si>
  <si>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</si>
  <si>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</si>
  <si>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</si>
  <si>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</si>
  <si>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</si>
  <si>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</si>
  <si>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</si>
  <si>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</si>
  <si>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</si>
  <si>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</si>
  <si>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</si>
  <si>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</si>
  <si>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</si>
  <si>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</si>
  <si>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</si>
  <si>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</si>
  <si>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</si>
  <si>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</si>
  <si>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</si>
  <si>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</si>
  <si>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</si>
  <si>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</si>
  <si>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</si>
  <si>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</si>
  <si>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</si>
  <si>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</si>
  <si>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</si>
  <si>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</si>
  <si>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</si>
  <si>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</si>
  <si>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</si>
  <si>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</si>
  <si>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</si>
  <si>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</si>
  <si>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</si>
  <si>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</si>
  <si>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</si>
  <si>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</si>
  <si>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</si>
  <si>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</si>
  <si>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</si>
  <si>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</si>
  <si>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</si>
  <si>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</si>
  <si>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</si>
  <si>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</si>
  <si>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</si>
  <si>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</si>
  <si>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</si>
  <si>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</si>
  <si>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</si>
  <si>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</si>
  <si>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</si>
  <si>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</si>
  <si>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</si>
  <si>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</si>
  <si>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</si>
  <si>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</si>
  <si>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</si>
  <si>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</si>
  <si>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</si>
  <si>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</si>
  <si>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</si>
  <si>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</si>
  <si>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</si>
  <si>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</si>
  <si>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</si>
  <si>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</si>
  <si>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</si>
  <si>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</si>
  <si>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</si>
  <si>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</si>
  <si>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</si>
  <si>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</si>
  <si>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</si>
  <si>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</si>
  <si>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</si>
  <si>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</si>
  <si>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</si>
  <si>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</si>
  <si>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</si>
  <si>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</si>
  <si>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</si>
  <si>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</si>
  <si>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</si>
  <si>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</si>
  <si>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</si>
  <si>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</si>
  <si>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</si>
  <si>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</si>
  <si>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</si>
  <si>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</si>
  <si>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</si>
  <si>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</si>
  <si>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</si>
  <si>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</si>
  <si>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</si>
  <si>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</si>
  <si>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</si>
  <si>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</si>
  <si>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</si>
  <si>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</si>
  <si>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</si>
  <si>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</si>
  <si>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</si>
  <si>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</si>
  <si>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</si>
  <si>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</si>
  <si>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</si>
  <si>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</si>
  <si>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</si>
  <si>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</si>
  <si>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</si>
  <si>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</si>
  <si>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</si>
  <si>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</si>
  <si>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</si>
  <si>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</si>
  <si>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</si>
  <si>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</si>
  <si>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</si>
  <si>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</si>
  <si>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</si>
  <si>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</si>
  <si>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</si>
  <si>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</si>
  <si>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</si>
  <si>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</si>
  <si>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</si>
  <si>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</si>
  <si>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</si>
  <si>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</si>
  <si>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</si>
  <si>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</si>
  <si>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</si>
  <si>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</si>
  <si>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</si>
  <si>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</si>
  <si>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</si>
  <si>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</si>
  <si>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</si>
  <si>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</si>
  <si>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</si>
  <si>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</si>
  <si>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</si>
  <si>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</si>
  <si>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</si>
  <si>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</si>
  <si>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</si>
  <si>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</si>
  <si>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</si>
  <si>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</si>
  <si>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</si>
  <si>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</si>
  <si>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</si>
  <si>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</si>
  <si>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</si>
  <si>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</si>
  <si>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</si>
  <si>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</si>
  <si>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</si>
  <si>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</si>
  <si>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</si>
  <si>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</si>
  <si>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</si>
  <si>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</si>
  <si>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</si>
  <si>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</si>
  <si>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</si>
  <si>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</si>
  <si>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</si>
  <si>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</si>
  <si>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</si>
  <si>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</si>
  <si>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</si>
  <si>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</si>
  <si>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</si>
  <si>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</si>
  <si>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</si>
  <si>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</si>
  <si>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</si>
  <si>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</si>
  <si>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</si>
  <si>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</si>
  <si>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</si>
  <si>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</si>
  <si>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</si>
  <si>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</si>
  <si>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</si>
  <si>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</si>
  <si>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</si>
  <si>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</si>
  <si>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</si>
  <si>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</si>
  <si>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</si>
  <si>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</si>
  <si>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</si>
  <si>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</si>
  <si>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</si>
  <si>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</si>
  <si>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</si>
  <si>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</si>
  <si>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</si>
  <si>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</si>
  <si>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</si>
  <si>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</si>
  <si>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</si>
  <si>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</si>
  <si>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</si>
  <si>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</si>
  <si>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</si>
  <si>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</si>
  <si>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</si>
  <si>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</si>
  <si>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</si>
  <si>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</si>
  <si>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</si>
  <si>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</si>
  <si>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</si>
  <si>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</si>
  <si>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</si>
  <si>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</si>
  <si>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</si>
  <si>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</si>
  <si>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</si>
  <si>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</si>
  <si>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</si>
  <si>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</si>
  <si>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</si>
  <si>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</si>
  <si>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</si>
  <si>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</si>
  <si>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</si>
  <si>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</si>
  <si>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</si>
  <si>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</si>
  <si>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</si>
  <si>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</si>
  <si>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</si>
  <si>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</si>
  <si>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</si>
  <si>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</si>
  <si>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</si>
  <si>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</si>
  <si>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</si>
  <si>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</si>
  <si>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</si>
  <si>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</si>
  <si>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</si>
  <si>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</si>
  <si>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</si>
  <si>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</si>
  <si>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</si>
  <si>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</si>
  <si>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</si>
  <si>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</si>
  <si>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</si>
  <si>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</si>
  <si>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</si>
  <si>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</si>
  <si>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</si>
  <si>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</si>
  <si>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</si>
  <si>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</si>
  <si>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</si>
  <si>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</si>
  <si>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</si>
  <si>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</si>
  <si>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</si>
  <si>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</si>
  <si>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</si>
  <si>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</si>
  <si>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</si>
  <si>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</si>
  <si>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</si>
  <si>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</si>
  <si>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</si>
  <si>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</si>
  <si>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</si>
  <si>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</si>
  <si>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</si>
  <si>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</si>
  <si>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</si>
  <si>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</si>
  <si>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</si>
  <si>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</si>
  <si>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</si>
  <si>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</si>
  <si>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</si>
  <si>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</si>
  <si>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</si>
  <si>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</si>
  <si>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</si>
  <si>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</si>
  <si>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</si>
  <si>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</si>
  <si>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</si>
  <si>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</si>
  <si>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</si>
  <si>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</si>
  <si>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</si>
  <si>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</si>
  <si>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</si>
  <si>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</si>
  <si>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</si>
  <si>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</si>
  <si>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</si>
  <si>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</si>
  <si>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</si>
  <si>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</si>
  <si>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</si>
  <si>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</si>
  <si>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</si>
  <si>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</si>
  <si>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</si>
  <si>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</si>
  <si>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</si>
  <si>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</si>
  <si>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</si>
  <si>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</si>
  <si>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</si>
  <si>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</si>
  <si>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</si>
  <si>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</si>
  <si>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</si>
  <si>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</si>
  <si>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</si>
  <si>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</si>
  <si>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</si>
  <si>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</si>
  <si>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</si>
  <si>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</si>
  <si>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</si>
  <si>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</si>
  <si>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</si>
  <si>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</si>
  <si>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</si>
  <si>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</si>
  <si>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</si>
  <si>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</si>
  <si>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</si>
  <si>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</si>
  <si>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</si>
  <si>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</si>
  <si>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</si>
  <si>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</si>
  <si>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</si>
  <si>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</si>
  <si>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</si>
  <si>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</si>
  <si>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</si>
  <si>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</si>
  <si>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</si>
  <si>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</si>
  <si>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</si>
  <si>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</si>
  <si>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</si>
  <si>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</si>
  <si>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</si>
  <si>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</si>
  <si>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</si>
  <si>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</si>
  <si>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</si>
  <si>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</si>
  <si>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</si>
  <si>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</si>
  <si>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</si>
  <si>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</si>
  <si>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</si>
  <si>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</si>
  <si>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</si>
  <si>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</si>
  <si>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</si>
  <si>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</si>
  <si>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</si>
  <si>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</si>
  <si>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</si>
  <si>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</si>
  <si>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</si>
  <si>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</si>
  <si>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</si>
  <si>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</si>
  <si>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</si>
  <si>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</si>
  <si>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</si>
  <si>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</si>
  <si>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</si>
  <si>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</si>
  <si>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</si>
  <si>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</si>
  <si>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</si>
  <si>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</si>
  <si>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</si>
  <si>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</si>
  <si>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</si>
  <si>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</si>
  <si>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</si>
  <si>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</si>
  <si>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</si>
  <si>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</si>
  <si>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</si>
  <si>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</si>
  <si>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</si>
  <si>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</si>
  <si>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</si>
  <si>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</si>
  <si>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</si>
  <si>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</si>
  <si>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</si>
  <si>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</si>
  <si>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</si>
  <si>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</si>
  <si>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</si>
  <si>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</si>
  <si>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</si>
  <si>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</si>
  <si>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</si>
  <si>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</si>
  <si>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</si>
  <si>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</si>
  <si>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</si>
  <si>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</si>
  <si>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</si>
  <si>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</si>
  <si>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</si>
  <si>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</si>
  <si>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</si>
  <si>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</si>
  <si>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</si>
  <si>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</si>
  <si>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</si>
  <si>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</si>
  <si>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</si>
  <si>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</si>
  <si>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</si>
  <si>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</si>
  <si>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</si>
  <si>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</si>
  <si>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</si>
  <si>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</si>
  <si>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</si>
  <si>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</si>
  <si>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</si>
  <si>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</si>
  <si>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</si>
  <si>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</si>
  <si>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</si>
  <si>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</si>
  <si>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</si>
  <si>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</si>
  <si>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</si>
  <si>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</si>
  <si>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</si>
  <si>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</si>
  <si>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</si>
  <si>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</si>
  <si>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</si>
  <si>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</si>
  <si>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</si>
  <si>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</si>
  <si>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</si>
  <si>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</si>
  <si>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</si>
  <si>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</si>
  <si>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</si>
  <si>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</si>
  <si>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</si>
  <si>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</si>
  <si>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</si>
  <si>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</si>
  <si>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</si>
  <si>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</si>
  <si>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</si>
  <si>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</si>
  <si>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</si>
  <si>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</si>
  <si>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</si>
  <si>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</si>
  <si>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</si>
  <si>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</si>
  <si>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</si>
  <si>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</si>
  <si>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</si>
  <si>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</si>
  <si>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</si>
  <si>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</si>
  <si>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</si>
  <si>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</si>
  <si>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</si>
  <si>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</si>
  <si>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</si>
  <si>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</si>
  <si>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</si>
  <si>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</si>
  <si>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</si>
  <si>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</si>
  <si>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</si>
  <si>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</si>
  <si>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</si>
  <si>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</si>
  <si>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</si>
  <si>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</si>
  <si>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</si>
  <si>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</si>
  <si>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</si>
  <si>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</si>
  <si>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</si>
  <si>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</si>
  <si>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</si>
  <si>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</si>
  <si>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</si>
  <si>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</si>
  <si>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</si>
  <si>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</si>
  <si>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</si>
  <si>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</si>
  <si>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</si>
  <si>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</si>
  <si>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</si>
  <si>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</si>
  <si>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</si>
  <si>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</si>
  <si>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</si>
  <si>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</si>
  <si>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</si>
  <si>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</si>
  <si>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</si>
  <si>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</si>
  <si>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</si>
  <si>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</si>
  <si>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</si>
  <si>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</si>
  <si>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</si>
  <si>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</si>
  <si>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</si>
  <si>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</si>
  <si>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</si>
  <si>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</si>
  <si>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</si>
  <si>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</si>
  <si>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</si>
  <si>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</si>
  <si>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</si>
  <si>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</si>
  <si>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</si>
  <si>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</si>
  <si>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</si>
  <si>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</si>
  <si>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</si>
  <si>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</si>
  <si>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</si>
  <si>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</si>
  <si>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</si>
  <si>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</si>
  <si>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</si>
  <si>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</si>
  <si>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</si>
  <si>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</si>
  <si>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</si>
  <si>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</si>
  <si>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</si>
  <si>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</si>
  <si>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</si>
  <si>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</si>
  <si>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</si>
  <si>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</si>
  <si>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</si>
  <si>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</si>
  <si>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</si>
  <si>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</si>
  <si>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</si>
  <si>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</si>
  <si>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</si>
  <si>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</si>
  <si>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</si>
  <si>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</si>
  <si>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</si>
  <si>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</si>
  <si>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</si>
  <si>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</si>
  <si>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</si>
  <si>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</si>
  <si>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</si>
  <si>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</si>
  <si>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</si>
  <si>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</si>
  <si>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</si>
  <si>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</si>
  <si>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</si>
  <si>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</si>
  <si>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</si>
  <si>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</si>
  <si>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</si>
  <si>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</si>
  <si>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</si>
  <si>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</si>
  <si>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</si>
  <si>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</si>
  <si>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</si>
  <si>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</si>
  <si>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</si>
  <si>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</si>
  <si>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</si>
  <si>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</si>
  <si>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</si>
  <si>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</si>
  <si>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</si>
  <si>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</si>
  <si>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</si>
  <si>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</si>
  <si>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</si>
  <si>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</si>
  <si>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</si>
  <si>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</si>
  <si>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</si>
  <si>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</si>
  <si>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</si>
  <si>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</si>
  <si>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</si>
  <si>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</si>
  <si>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</si>
  <si>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</si>
  <si>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</si>
  <si>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</si>
  <si>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</si>
  <si>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</si>
  <si>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</si>
  <si>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</si>
  <si>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</si>
  <si>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</si>
  <si>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</si>
  <si>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</si>
  <si>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</si>
  <si>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</si>
  <si>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</si>
  <si>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</si>
  <si>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</si>
  <si>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</si>
  <si>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</si>
  <si>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</si>
  <si>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</si>
  <si>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</si>
  <si>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</si>
  <si>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</si>
  <si>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</si>
  <si>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</si>
  <si>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</si>
  <si>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</si>
  <si>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</si>
  <si>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</si>
  <si>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</si>
  <si>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</si>
  <si>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</si>
  <si>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</si>
  <si>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</si>
  <si>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</si>
  <si>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</si>
  <si>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</si>
  <si>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</si>
  <si>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</si>
  <si>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</si>
  <si>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</si>
  <si>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</si>
  <si>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</si>
  <si>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</si>
  <si>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</si>
  <si>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</si>
  <si>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</si>
  <si>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</si>
  <si>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</si>
  <si>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</si>
  <si>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</si>
  <si>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</si>
  <si>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</si>
  <si>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</si>
  <si>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</si>
  <si>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</si>
  <si>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</si>
  <si>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</si>
  <si>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</si>
  <si>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</si>
  <si>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</si>
  <si>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</si>
  <si>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</si>
  <si>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</si>
  <si>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</si>
  <si>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</si>
  <si>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</si>
  <si>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</si>
  <si>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</si>
  <si>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</si>
  <si>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</si>
  <si>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</si>
  <si>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</si>
  <si>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</si>
  <si>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</si>
  <si>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</si>
  <si>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</si>
  <si>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</si>
  <si>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</si>
  <si>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</si>
  <si>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</si>
  <si>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</si>
  <si>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</si>
  <si>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</si>
  <si>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</si>
  <si>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</si>
  <si>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</si>
  <si>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</si>
  <si>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</si>
  <si>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</si>
  <si>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</si>
  <si>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</si>
  <si>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</si>
  <si>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</si>
  <si>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</si>
  <si>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</si>
  <si>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</si>
  <si>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</si>
  <si>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</si>
  <si>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</si>
  <si>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</si>
  <si>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</si>
  <si>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</si>
  <si>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</si>
  <si>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</si>
  <si>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</si>
  <si>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</si>
  <si>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</si>
  <si>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</si>
  <si>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</si>
  <si>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</si>
  <si>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</si>
  <si>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</si>
  <si>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</si>
  <si>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</si>
  <si>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</si>
  <si>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</si>
  <si>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</si>
  <si>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</si>
  <si>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</si>
  <si>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</si>
  <si>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</si>
  <si>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</si>
  <si>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</si>
  <si>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</si>
  <si>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</si>
  <si>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</si>
  <si>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</si>
  <si>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</si>
  <si>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</si>
  <si>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</si>
  <si>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</si>
  <si>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</si>
  <si>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</si>
  <si>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</si>
  <si>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</si>
  <si>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</si>
  <si>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</si>
  <si>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</si>
  <si>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</si>
  <si>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</si>
  <si>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</si>
  <si>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</si>
  <si>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</si>
  <si>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</si>
  <si>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</si>
  <si>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</si>
  <si>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</si>
  <si>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</si>
  <si>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</si>
  <si>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</si>
  <si>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</si>
  <si>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</si>
  <si>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</si>
  <si>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</si>
  <si>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</si>
  <si>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</si>
  <si>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</si>
  <si>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</si>
  <si>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</si>
  <si>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</si>
  <si>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</si>
  <si>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</si>
  <si>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</si>
  <si>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</si>
  <si>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</si>
  <si>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</si>
  <si>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</si>
  <si>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</si>
  <si>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</si>
  <si>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</si>
  <si>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</si>
  <si>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</si>
  <si>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</si>
  <si>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</si>
  <si>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</si>
  <si>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</si>
  <si>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</si>
  <si>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</si>
  <si>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</si>
  <si>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</si>
  <si>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</si>
  <si>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</si>
  <si>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</si>
  <si>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</si>
  <si>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</si>
  <si>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</si>
  <si>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</si>
  <si>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</si>
  <si>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</si>
  <si>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</si>
  <si>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</si>
  <si>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</si>
  <si>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</si>
  <si>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</si>
  <si>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</si>
  <si>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</si>
  <si>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</si>
  <si>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</si>
  <si>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</si>
  <si>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</si>
  <si>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</si>
  <si>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</si>
  <si>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</si>
  <si>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</si>
  <si>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</si>
  <si>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</si>
  <si>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</si>
  <si>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</si>
  <si>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</si>
  <si>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</si>
  <si>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</si>
  <si>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</si>
  <si>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</si>
  <si>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</si>
  <si>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</si>
  <si>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</si>
  <si>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</si>
  <si>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</si>
  <si>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</si>
  <si>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</si>
  <si>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</si>
  <si>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</si>
  <si>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</si>
  <si>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</si>
  <si>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</si>
  <si>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</si>
  <si>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</si>
  <si>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</si>
  <si>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</si>
  <si>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</si>
  <si>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</si>
  <si>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</si>
  <si>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</si>
  <si>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</si>
  <si>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</si>
  <si>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</si>
  <si>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</si>
  <si>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</si>
  <si>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</si>
  <si>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</si>
  <si>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</si>
  <si>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</si>
  <si>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</si>
  <si>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</si>
  <si>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</si>
  <si>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</si>
  <si>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</si>
  <si>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</si>
  <si>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</si>
  <si>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</si>
  <si>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</si>
  <si>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</si>
  <si>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</si>
  <si>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</si>
  <si>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</si>
  <si>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</si>
  <si>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</si>
  <si>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</si>
  <si>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</si>
  <si>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</si>
  <si>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</si>
  <si>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</si>
  <si>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</si>
  <si>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</si>
  <si>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</si>
  <si>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</si>
  <si>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</si>
  <si>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</si>
  <si>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</si>
  <si>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</si>
  <si>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</si>
  <si>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</si>
  <si>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</si>
  <si>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</si>
  <si>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</si>
  <si>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</si>
  <si>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</si>
  <si>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</si>
  <si>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</si>
  <si>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</si>
  <si>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</si>
  <si>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</si>
  <si>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</si>
  <si>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</si>
  <si>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</si>
  <si>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</si>
  <si>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</si>
  <si>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</si>
  <si>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</si>
  <si>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</si>
  <si>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</si>
  <si>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</si>
  <si>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</si>
  <si>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</si>
  <si>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</si>
  <si>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</si>
  <si>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</si>
  <si>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</si>
  <si>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</si>
  <si>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</si>
  <si>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</si>
  <si>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</si>
  <si>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</si>
  <si>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</si>
  <si>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</si>
  <si>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</si>
  <si>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</si>
  <si>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</si>
  <si>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</si>
  <si>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</si>
  <si>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</si>
  <si>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</si>
  <si>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</si>
  <si>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</si>
  <si>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</si>
  <si>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</si>
  <si>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</si>
  <si>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</si>
  <si>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</si>
  <si>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</si>
  <si>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</si>
  <si>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</si>
  <si>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</si>
  <si>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</si>
  <si>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</si>
  <si>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</si>
  <si>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</si>
  <si>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</si>
  <si>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</si>
  <si>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</si>
  <si>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</si>
  <si>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</si>
  <si>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</si>
  <si>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</si>
  <si>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</si>
  <si>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</si>
  <si>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</si>
  <si>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</si>
  <si>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</si>
  <si>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</si>
  <si>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</si>
  <si>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</si>
  <si>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</si>
  <si>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</si>
  <si>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</si>
  <si>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</si>
  <si>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</si>
  <si>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</si>
  <si>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</si>
  <si>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</si>
  <si>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</si>
  <si>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</si>
  <si>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</si>
  <si>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</si>
  <si>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</si>
  <si>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</si>
  <si>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</si>
  <si>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</si>
  <si>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</si>
  <si>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</si>
  <si>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</si>
  <si>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</si>
  <si>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</si>
  <si>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</si>
  <si>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</si>
  <si>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</si>
  <si>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</si>
  <si>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</si>
  <si>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</si>
  <si>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</si>
  <si>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</si>
  <si>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</si>
  <si>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</si>
  <si>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</si>
  <si>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</si>
  <si>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</si>
  <si>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</si>
  <si>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</si>
  <si>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</si>
  <si>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</si>
  <si>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</si>
  <si>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</si>
  <si>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</si>
  <si>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</si>
  <si>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</si>
  <si>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</si>
  <si>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</si>
  <si>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</si>
  <si>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</si>
  <si>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</si>
  <si>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</si>
  <si>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</si>
  <si>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</si>
  <si>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</si>
  <si>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</si>
  <si>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</si>
  <si>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</si>
  <si>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</si>
  <si>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</si>
  <si>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</si>
  <si>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</si>
  <si>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</si>
  <si>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</si>
  <si>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</si>
  <si>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</si>
  <si>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</si>
  <si>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</si>
  <si>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</si>
  <si>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</si>
  <si>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</si>
  <si>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</si>
  <si>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</si>
  <si>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</si>
  <si>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</si>
  <si>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</si>
  <si>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</si>
  <si>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</si>
  <si>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</si>
  <si>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</si>
  <si>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</si>
  <si>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</si>
  <si>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</si>
  <si>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</si>
  <si>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</si>
  <si>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</si>
  <si>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</si>
  <si>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</si>
  <si>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</si>
  <si>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</si>
  <si>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</si>
  <si>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</si>
  <si>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</si>
  <si>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</si>
  <si>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</si>
  <si>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</si>
  <si>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</si>
  <si>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</si>
  <si>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</si>
  <si>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</si>
  <si>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</si>
  <si>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</si>
  <si>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</si>
  <si>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</si>
  <si>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</si>
  <si>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</si>
  <si>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</si>
  <si>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</si>
  <si>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</si>
  <si>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</si>
  <si>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</si>
  <si>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</si>
  <si>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</si>
  <si>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</si>
  <si>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</si>
  <si>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</si>
  <si>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</si>
  <si>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</si>
  <si>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</si>
  <si>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</si>
  <si>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</si>
  <si>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</si>
  <si>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</si>
  <si>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</si>
  <si>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</si>
  <si>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</si>
  <si>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</si>
  <si>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</si>
  <si>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</si>
  <si>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</si>
  <si>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</si>
  <si>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</si>
  <si>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</si>
  <si>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</si>
  <si>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</si>
  <si>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</si>
  <si>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</si>
  <si>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</si>
  <si>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</si>
  <si>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</si>
  <si>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</si>
  <si>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</si>
  <si>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</si>
  <si>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</si>
  <si>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</si>
  <si>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</si>
  <si>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</si>
  <si>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</si>
  <si>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</si>
  <si>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</si>
  <si>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</si>
  <si>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</si>
  <si>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</si>
  <si>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</si>
  <si>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</si>
  <si>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</si>
  <si>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</si>
  <si>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</si>
  <si>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</si>
  <si>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</si>
  <si>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</si>
  <si>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</si>
  <si>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</si>
  <si>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</si>
  <si>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</si>
  <si>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</si>
  <si>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</si>
  <si>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</si>
  <si>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</si>
  <si>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</si>
  <si>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</si>
  <si>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</si>
  <si>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</si>
  <si>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</si>
  <si>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</si>
  <si>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</si>
  <si>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</si>
  <si>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</si>
  <si>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</si>
  <si>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</si>
  <si>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</si>
  <si>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</si>
  <si>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</si>
  <si>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</si>
  <si>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</si>
  <si>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</si>
  <si>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</si>
  <si>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</si>
  <si>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</si>
  <si>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</si>
  <si>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</si>
  <si>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</si>
  <si>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</si>
  <si>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</si>
  <si>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</si>
  <si>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</si>
  <si>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</si>
  <si>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</si>
  <si>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</si>
  <si>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</si>
  <si>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</si>
  <si>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</si>
  <si>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</si>
  <si>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</si>
  <si>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</si>
  <si>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</si>
  <si>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</si>
  <si>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</si>
  <si>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</si>
  <si>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</si>
  <si>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</si>
  <si>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</si>
  <si>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</si>
  <si>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</si>
  <si>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</si>
  <si>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</si>
  <si>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</si>
  <si>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</si>
  <si>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</si>
  <si>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</si>
  <si>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</si>
  <si>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</si>
  <si>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</si>
  <si>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</si>
  <si>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</si>
  <si>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</si>
  <si>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</si>
  <si>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</si>
  <si>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</si>
  <si>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</si>
  <si>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</si>
  <si>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</si>
  <si>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</si>
  <si>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</si>
  <si>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</si>
  <si>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</si>
  <si>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</si>
  <si>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</si>
  <si>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</si>
  <si>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</si>
  <si>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</si>
  <si>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</si>
  <si>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</si>
  <si>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</si>
  <si>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</si>
  <si>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</si>
  <si>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</si>
  <si>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</si>
  <si>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</si>
  <si>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</si>
  <si>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</si>
  <si>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</si>
  <si>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</si>
  <si>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</si>
  <si>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</si>
  <si>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</si>
  <si>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</si>
  <si>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</si>
  <si>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</si>
  <si>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</si>
  <si>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</si>
  <si>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</si>
  <si>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</si>
  <si>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</si>
  <si>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</si>
  <si>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</si>
  <si>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</si>
  <si>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</si>
  <si>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</si>
  <si>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</si>
  <si>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</si>
  <si>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</si>
  <si>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</si>
  <si>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</si>
  <si>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</si>
  <si>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</si>
  <si>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</si>
  <si>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</si>
  <si>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</si>
  <si>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</si>
  <si>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</si>
  <si>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</si>
  <si>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</si>
  <si>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</si>
  <si>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</si>
  <si>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</si>
  <si>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</si>
  <si>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</si>
  <si>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</si>
  <si>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</si>
  <si>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</si>
  <si>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</si>
  <si>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</si>
  <si>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</si>
  <si>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</si>
  <si>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</si>
  <si>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</si>
  <si>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</si>
  <si>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</si>
  <si>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</si>
  <si>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</si>
  <si>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</si>
  <si>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</si>
  <si>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</si>
  <si>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</si>
  <si>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</si>
  <si>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</si>
  <si>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</si>
  <si>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</si>
  <si>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</si>
  <si>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</si>
  <si>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</si>
  <si>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</si>
  <si>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</si>
  <si>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</si>
  <si>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</si>
  <si>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</si>
  <si>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</si>
  <si>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</si>
  <si>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</si>
  <si>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</si>
  <si>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</si>
  <si>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</si>
  <si>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</si>
  <si>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</si>
  <si>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</si>
  <si>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</si>
  <si>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</si>
  <si>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</si>
  <si>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</si>
  <si>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</si>
  <si>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</si>
  <si>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</si>
  <si>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</si>
  <si>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</si>
  <si>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</si>
  <si>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</si>
  <si>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</si>
  <si>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</si>
  <si>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</si>
  <si>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</si>
  <si>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</si>
  <si>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</si>
  <si>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</si>
  <si>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</si>
  <si>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</si>
  <si>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</si>
  <si>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</si>
  <si>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</si>
  <si>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</si>
  <si>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</si>
  <si>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</si>
  <si>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</si>
  <si>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</si>
  <si>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</si>
  <si>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</si>
  <si>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</si>
  <si>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</si>
  <si>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</si>
  <si>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</si>
  <si>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</si>
  <si>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</si>
  <si>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</si>
  <si>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</si>
  <si>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</si>
  <si>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</si>
  <si>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</si>
  <si>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</si>
  <si>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</si>
  <si>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</si>
  <si>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</si>
  <si>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</si>
  <si>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</si>
  <si>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</si>
  <si>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</si>
  <si>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</si>
  <si>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</si>
  <si>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</si>
  <si>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</si>
  <si>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</si>
  <si>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</si>
  <si>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</si>
  <si>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</si>
  <si>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</si>
  <si>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</si>
  <si>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</si>
  <si>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</si>
  <si>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</si>
  <si>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</si>
  <si>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</si>
  <si>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</si>
  <si>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</si>
  <si>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</si>
  <si>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</si>
  <si>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</si>
  <si>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</si>
  <si>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</si>
  <si>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</si>
  <si>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</si>
  <si>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</si>
  <si>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</si>
  <si>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</si>
  <si>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</si>
  <si>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</si>
  <si>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</si>
  <si>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</si>
  <si>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</si>
  <si>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</si>
  <si>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</si>
  <si>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</si>
  <si>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</si>
  <si>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</si>
  <si>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</si>
  <si>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</si>
  <si>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</si>
  <si>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</si>
  <si>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</si>
  <si>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</si>
  <si>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</si>
  <si>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</si>
  <si>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</si>
  <si>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</si>
  <si>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</si>
  <si>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</si>
  <si>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</si>
  <si>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</si>
  <si>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</si>
  <si>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</si>
  <si>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</si>
  <si>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</si>
  <si>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</si>
  <si>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</si>
  <si>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</si>
  <si>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</si>
  <si>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</si>
  <si>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</si>
  <si>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</si>
  <si>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</si>
  <si>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</si>
  <si>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</si>
  <si>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</si>
  <si>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</si>
  <si>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</si>
  <si>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</si>
  <si>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</si>
  <si>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</si>
  <si>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</si>
  <si>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</si>
  <si>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</si>
  <si>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</si>
  <si>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</si>
  <si>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</si>
  <si>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</si>
  <si>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</si>
  <si>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</si>
  <si>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</si>
  <si>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</si>
  <si>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</si>
  <si>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</si>
  <si>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</si>
  <si>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</si>
  <si>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</si>
  <si>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</si>
  <si>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</si>
  <si>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</si>
  <si>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</si>
  <si>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</si>
  <si>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</si>
  <si>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</si>
  <si>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</si>
  <si>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</si>
  <si>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</si>
  <si>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</si>
  <si>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</si>
  <si>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</si>
  <si>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</si>
  <si>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</si>
  <si>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</si>
  <si>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</si>
  <si>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</si>
  <si>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</si>
  <si>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</si>
  <si>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</si>
  <si>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</si>
  <si>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</si>
  <si>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</si>
  <si>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</si>
  <si>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</si>
  <si>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</si>
  <si>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</si>
  <si>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</si>
  <si>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</si>
  <si>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</si>
  <si>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</si>
  <si>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</si>
  <si>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</si>
  <si>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</si>
  <si>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</si>
  <si>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</si>
  <si>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</si>
  <si>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</si>
  <si>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</si>
  <si>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</si>
  <si>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</si>
  <si>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</si>
  <si>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</si>
  <si>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</si>
  <si>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</si>
  <si>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</si>
  <si>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</si>
  <si>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</si>
  <si>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</si>
  <si>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</si>
  <si>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</si>
  <si>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</si>
  <si>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</si>
  <si>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</si>
  <si>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</si>
  <si>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</si>
  <si>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</si>
  <si>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</si>
  <si>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</si>
  <si>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</si>
  <si>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</si>
  <si>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</si>
  <si>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</si>
  <si>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</si>
  <si>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</si>
  <si>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</si>
  <si>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</si>
  <si>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</si>
  <si>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</si>
  <si>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</si>
  <si>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</si>
  <si>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</si>
  <si>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</si>
  <si>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</si>
  <si>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</si>
  <si>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</si>
  <si>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</si>
  <si>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</si>
  <si>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</si>
  <si>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</si>
  <si>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</si>
  <si>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</si>
  <si>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</si>
  <si>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</si>
  <si>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</si>
  <si>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</si>
  <si>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</si>
  <si>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</si>
  <si>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</si>
  <si>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</si>
  <si>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</si>
  <si>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</si>
  <si>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</si>
  <si>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</si>
  <si>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</si>
  <si>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</si>
  <si>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</si>
  <si>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</si>
  <si>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</si>
  <si>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</si>
  <si>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</si>
  <si>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</si>
  <si>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</si>
  <si>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</si>
  <si>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</si>
  <si>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</si>
  <si>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</si>
  <si>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</si>
  <si>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</si>
  <si>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</si>
  <si>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</si>
  <si>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</si>
  <si>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</si>
  <si>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</si>
  <si>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</si>
  <si>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</si>
  <si>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</si>
  <si>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</si>
  <si>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</si>
  <si>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</si>
  <si>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</si>
  <si>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</si>
  <si>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</si>
  <si>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</si>
  <si>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</si>
  <si>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</si>
  <si>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</si>
  <si>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</si>
  <si>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</si>
  <si>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</si>
  <si>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</si>
  <si>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</si>
  <si>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</si>
  <si>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</si>
  <si>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</si>
  <si>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</si>
  <si>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</si>
  <si>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</si>
  <si>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</si>
  <si>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</si>
  <si>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</si>
  <si>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</si>
  <si>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</si>
  <si>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</si>
  <si>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</si>
  <si>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</si>
  <si>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</si>
  <si>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</si>
  <si>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</si>
  <si>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</si>
  <si>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</si>
  <si>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</si>
  <si>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</si>
  <si>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</si>
  <si>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</si>
  <si>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</si>
  <si>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</si>
  <si>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</si>
  <si>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</si>
  <si>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</si>
  <si>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</si>
  <si>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</si>
  <si>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</si>
  <si>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</si>
  <si>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</si>
  <si>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</si>
  <si>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</si>
  <si>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</si>
  <si>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</si>
  <si>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</si>
  <si>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</si>
  <si>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</si>
  <si>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</si>
  <si>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</si>
  <si>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</si>
  <si>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</si>
  <si>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</si>
  <si>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</si>
  <si>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</si>
  <si>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</si>
  <si>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</si>
  <si>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</si>
  <si>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</si>
  <si>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</si>
  <si>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</si>
  <si>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</si>
  <si>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</si>
  <si>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</si>
  <si>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</si>
  <si>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</si>
  <si>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</si>
  <si>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</si>
  <si>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</si>
  <si>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</si>
  <si>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</si>
  <si>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</si>
  <si>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</si>
  <si>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</si>
  <si>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</si>
  <si>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</si>
  <si>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</si>
  <si>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</si>
  <si>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</si>
  <si>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</si>
  <si>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</si>
  <si>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</si>
  <si>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</si>
  <si>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</si>
  <si>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</si>
  <si>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</si>
  <si>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</si>
  <si>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</si>
  <si>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</si>
  <si>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</si>
  <si>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</si>
  <si>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</si>
  <si>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</si>
  <si>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</si>
  <si>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</si>
  <si>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</si>
  <si>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</si>
  <si>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</si>
  <si>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</si>
  <si>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</si>
  <si>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</si>
  <si>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</si>
  <si>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</si>
  <si>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</si>
  <si>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</si>
  <si>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</si>
  <si>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</si>
  <si>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</si>
  <si>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</si>
  <si>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</si>
  <si>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</si>
  <si>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</si>
  <si>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</si>
  <si>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</si>
  <si>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</si>
  <si>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</si>
  <si>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</si>
  <si>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</si>
  <si>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</si>
  <si>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</si>
  <si>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</si>
  <si>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</si>
  <si>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</si>
  <si>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</si>
  <si>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</si>
  <si>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</si>
  <si>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</si>
  <si>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</si>
  <si>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</si>
  <si>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</si>
  <si>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</si>
  <si>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</si>
  <si>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</si>
  <si>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</si>
  <si>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</si>
  <si>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</si>
  <si>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</si>
  <si>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</si>
  <si>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</si>
  <si>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</si>
  <si>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</si>
  <si>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</si>
  <si>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</si>
  <si>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</si>
  <si>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</si>
  <si>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</si>
  <si>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</si>
  <si>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</si>
  <si>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</si>
  <si>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</si>
  <si>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</si>
  <si>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</si>
  <si>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</si>
  <si>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</si>
  <si>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</si>
  <si>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</si>
  <si>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</si>
  <si>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</si>
  <si>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</si>
  <si>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</si>
  <si>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</si>
  <si>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</si>
  <si>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</si>
  <si>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</si>
  <si>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</si>
  <si>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</si>
  <si>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</si>
  <si>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</si>
  <si>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</si>
  <si>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</si>
  <si>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</si>
  <si>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</si>
  <si>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</si>
  <si>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</si>
  <si>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</si>
  <si>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</si>
  <si>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</si>
  <si>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</si>
  <si>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</si>
  <si>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</si>
  <si>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</si>
  <si>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</si>
  <si>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</si>
  <si>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</si>
  <si>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</si>
  <si>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</si>
  <si>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</si>
  <si>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</si>
  <si>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</si>
  <si>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</si>
  <si>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</si>
  <si>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</si>
  <si>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</si>
  <si>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</si>
  <si>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</si>
  <si>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</si>
  <si>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</si>
  <si>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</si>
  <si>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</si>
  <si>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</si>
  <si>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</si>
  <si>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</si>
  <si>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</si>
  <si>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</si>
  <si>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</si>
  <si>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</si>
  <si>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</si>
  <si>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</si>
  <si>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</si>
  <si>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</si>
  <si>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</si>
  <si>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</si>
  <si>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</si>
  <si>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</si>
  <si>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</si>
  <si>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</si>
  <si>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</si>
  <si>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</si>
  <si>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</si>
  <si>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</si>
  <si>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</si>
  <si>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</si>
  <si>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</si>
  <si>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</si>
  <si>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</si>
  <si>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</si>
  <si>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</si>
  <si>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</si>
  <si>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</si>
  <si>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</si>
  <si>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</si>
  <si>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</si>
  <si>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</si>
  <si>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</si>
  <si>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</si>
  <si>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</si>
  <si>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</si>
  <si>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</si>
  <si>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</si>
  <si>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</si>
  <si>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</si>
  <si>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</si>
  <si>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</si>
  <si>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</si>
  <si>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</si>
  <si>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</si>
  <si>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</si>
  <si>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</si>
  <si>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</si>
  <si>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</si>
  <si>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</si>
  <si>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</si>
  <si>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</si>
  <si>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</si>
  <si>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</si>
  <si>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</si>
  <si>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</si>
  <si>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</si>
  <si>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</si>
  <si>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</si>
  <si>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</si>
  <si>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</si>
  <si>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</si>
  <si>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</si>
  <si>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</si>
  <si>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</si>
  <si>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</si>
  <si>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</si>
  <si>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</si>
  <si>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</si>
  <si>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</si>
  <si>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</si>
  <si>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</si>
  <si>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</si>
  <si>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</si>
  <si>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</si>
  <si>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</si>
  <si>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</si>
  <si>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</si>
  <si>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</si>
  <si>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</si>
  <si>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</si>
  <si>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</si>
  <si>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</si>
  <si>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</si>
  <si>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</si>
  <si>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</si>
  <si>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</si>
  <si>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</si>
  <si>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</si>
  <si>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</si>
  <si>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</si>
  <si>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</si>
  <si>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</si>
  <si>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</si>
  <si>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</si>
  <si>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</si>
  <si>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</si>
  <si>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</si>
  <si>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</si>
  <si>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</si>
  <si>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</si>
  <si>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</si>
  <si>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</si>
  <si>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</si>
  <si>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</si>
  <si>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</si>
  <si>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</si>
  <si>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</si>
  <si>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</si>
  <si>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</si>
  <si>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</si>
  <si>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</si>
  <si>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</si>
  <si>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</si>
  <si>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</si>
  <si>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</si>
  <si>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</si>
  <si>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</si>
  <si>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</si>
  <si>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</si>
  <si>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</si>
  <si>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</si>
  <si>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</si>
  <si>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</si>
  <si>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</si>
  <si>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</si>
  <si>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</si>
  <si>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</si>
  <si>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</si>
  <si>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</si>
  <si>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</si>
  <si>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</si>
  <si>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</si>
  <si>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</si>
  <si>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</si>
  <si>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</si>
  <si>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</si>
  <si>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</si>
  <si>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</si>
  <si>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</si>
  <si>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</si>
  <si>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</si>
  <si>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</si>
  <si>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</si>
  <si>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</si>
  <si>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</si>
  <si>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</si>
  <si>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</si>
  <si>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</si>
  <si>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</si>
  <si>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</si>
  <si>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</si>
  <si>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</si>
  <si>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</si>
  <si>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</si>
  <si>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</si>
  <si>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</si>
  <si>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</si>
  <si>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</si>
  <si>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</si>
  <si>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</si>
  <si>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</si>
  <si>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</si>
  <si>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</si>
  <si>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</si>
  <si>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</si>
  <si>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</si>
  <si>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</si>
  <si>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</si>
  <si>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</si>
  <si>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</si>
  <si>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</si>
  <si>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</si>
  <si>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</si>
  <si>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</si>
  <si>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</si>
  <si>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</si>
  <si>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</si>
  <si>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</si>
  <si>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</si>
  <si>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</si>
  <si>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</si>
  <si>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</si>
  <si>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</si>
  <si>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</si>
  <si>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</si>
  <si>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</si>
  <si>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</si>
  <si>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</si>
  <si>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</si>
  <si>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</si>
  <si>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</si>
  <si>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</si>
  <si>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</si>
  <si>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</si>
  <si>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</si>
  <si>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</si>
  <si>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</si>
  <si>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</si>
  <si>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</si>
  <si>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</si>
  <si>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</si>
  <si>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</si>
  <si>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</si>
  <si>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</si>
  <si>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</si>
  <si>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</si>
  <si>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</si>
  <si>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</si>
  <si>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</si>
  <si>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</si>
  <si>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</si>
  <si>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</si>
  <si>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</si>
  <si>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</si>
  <si>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</si>
  <si>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</si>
  <si>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</si>
  <si>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</si>
  <si>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</si>
  <si>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</si>
  <si>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</si>
  <si>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</si>
  <si>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</si>
  <si>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</si>
  <si>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</si>
  <si>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</si>
  <si>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</si>
  <si>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</si>
  <si>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</si>
  <si>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</si>
  <si>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</si>
  <si>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</si>
  <si>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</si>
  <si>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</si>
  <si>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</si>
  <si>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</si>
  <si>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</si>
  <si>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</si>
  <si>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</si>
  <si>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</si>
  <si>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</si>
  <si>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</si>
  <si>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</si>
  <si>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</si>
  <si>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</si>
  <si>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</si>
  <si>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</si>
  <si>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</si>
  <si>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</si>
  <si>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</si>
  <si>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</si>
  <si>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</si>
  <si>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</si>
  <si>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</si>
  <si>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</si>
  <si>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</si>
  <si>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</si>
  <si>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</si>
  <si>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</si>
  <si>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</si>
  <si>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</si>
  <si>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</si>
  <si>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</si>
  <si>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</si>
  <si>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</si>
  <si>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</si>
  <si>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</si>
  <si>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</si>
  <si>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</si>
  <si>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</si>
  <si>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</si>
  <si>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</si>
  <si>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</si>
  <si>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</si>
  <si>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</si>
  <si>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</si>
  <si>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</si>
  <si>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</si>
  <si>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</si>
  <si>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</si>
  <si>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</si>
  <si>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</si>
  <si>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</si>
  <si>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</si>
  <si>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</si>
  <si>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</si>
  <si>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</si>
  <si>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</si>
  <si>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</si>
  <si>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</si>
  <si>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</si>
  <si>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</si>
  <si>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</si>
  <si>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</si>
  <si>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</si>
  <si>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</si>
  <si>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</si>
  <si>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</si>
  <si>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</si>
  <si>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</si>
  <si>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</si>
  <si>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</si>
  <si>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</si>
  <si>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</si>
  <si>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</si>
  <si>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</si>
  <si>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</si>
  <si>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</si>
  <si>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</si>
  <si>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</si>
  <si>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</si>
  <si>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</si>
  <si>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</si>
  <si>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</si>
  <si>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</si>
  <si>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</si>
  <si>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</si>
  <si>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</si>
  <si>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</si>
  <si>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</si>
  <si>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</si>
  <si>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</si>
  <si>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</si>
  <si>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</si>
  <si>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</si>
  <si>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</si>
  <si>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</si>
  <si>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</si>
  <si>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</si>
  <si>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</si>
  <si>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</si>
  <si>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</si>
  <si>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</si>
  <si>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</si>
  <si>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</si>
  <si>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</si>
  <si>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</si>
  <si>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</si>
  <si>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</si>
  <si>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</si>
  <si>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</si>
  <si>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</si>
  <si>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</si>
  <si>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</si>
  <si>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</si>
  <si>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</si>
  <si>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</si>
  <si>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</si>
  <si>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</si>
  <si>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</si>
  <si>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</si>
  <si>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</si>
  <si>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</si>
  <si>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</si>
  <si>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</si>
  <si>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</si>
  <si>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</si>
  <si>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</si>
  <si>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</si>
  <si>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</si>
  <si>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</si>
  <si>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</si>
  <si>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</si>
  <si>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</si>
  <si>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</si>
  <si>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</si>
  <si>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</si>
  <si>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</si>
  <si>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</si>
  <si>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</si>
  <si>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</si>
  <si>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</si>
  <si>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</si>
  <si>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</si>
  <si>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</si>
  <si>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</si>
  <si>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</si>
  <si>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</si>
  <si>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</si>
  <si>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</si>
  <si>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</si>
  <si>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</si>
  <si>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</si>
  <si>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</si>
  <si>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</si>
  <si>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</si>
  <si>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</si>
  <si>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</si>
  <si>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</si>
  <si>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</si>
  <si>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</si>
  <si>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</si>
  <si>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</si>
  <si>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</si>
  <si>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</si>
  <si>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</si>
  <si>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</si>
  <si>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</si>
  <si>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</si>
  <si>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</si>
  <si>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</si>
  <si>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</si>
  <si>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</si>
  <si>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</si>
  <si>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</si>
  <si>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</si>
  <si>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</si>
  <si>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</si>
  <si>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</si>
  <si>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</si>
  <si>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</si>
  <si>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</si>
  <si>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</si>
  <si>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</si>
  <si>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</si>
  <si>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</si>
  <si>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</si>
  <si>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</si>
  <si>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</si>
  <si>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</si>
  <si>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</si>
  <si>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</si>
  <si>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</si>
  <si>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</si>
  <si>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</si>
  <si>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</si>
  <si>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</si>
  <si>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</si>
  <si>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</si>
  <si>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</si>
  <si>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</si>
  <si>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</si>
  <si>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</si>
  <si>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</si>
  <si>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</si>
  <si>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</si>
  <si>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</si>
  <si>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</si>
  <si>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</si>
  <si>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</si>
  <si>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</si>
  <si>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</si>
  <si>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</si>
  <si>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</si>
  <si>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</si>
  <si>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</si>
  <si>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</si>
  <si>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</si>
  <si>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</si>
  <si>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</si>
  <si>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</si>
  <si>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</si>
  <si>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</si>
  <si>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</si>
  <si>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</si>
  <si>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</si>
  <si>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</si>
  <si>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</si>
  <si>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</si>
  <si>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</si>
  <si>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</si>
  <si>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</si>
  <si>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</si>
  <si>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</si>
  <si>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</si>
  <si>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</si>
  <si>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</si>
  <si>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</si>
  <si>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</si>
  <si>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</si>
  <si>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</si>
  <si>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</si>
  <si>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</si>
  <si>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</si>
  <si>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</si>
  <si>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</si>
  <si>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</si>
  <si>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</si>
  <si>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</si>
  <si>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</si>
  <si>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</si>
  <si>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</si>
  <si>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</si>
  <si>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</si>
  <si>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</si>
  <si>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</si>
  <si>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</si>
  <si>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</si>
  <si>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</si>
  <si>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</si>
  <si>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</si>
  <si>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</si>
  <si>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</si>
  <si>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</si>
  <si>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</si>
  <si>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</si>
  <si>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</si>
  <si>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</si>
  <si>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</si>
  <si>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</si>
  <si>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</si>
  <si>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</si>
  <si>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</si>
  <si>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</si>
  <si>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</si>
  <si>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</si>
  <si>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</si>
  <si>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</si>
  <si>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</si>
  <si>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</si>
  <si>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</si>
  <si>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</si>
  <si>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</si>
  <si>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</si>
  <si>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</si>
  <si>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</si>
  <si>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</si>
  <si>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</si>
  <si>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</si>
  <si>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</si>
  <si>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</si>
  <si>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</si>
  <si>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</si>
  <si>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</si>
  <si>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</si>
  <si>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</si>
  <si>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</si>
  <si>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</si>
  <si>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</si>
  <si>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</si>
  <si>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</si>
  <si>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</si>
  <si>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</si>
  <si>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</si>
  <si>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</si>
  <si>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</si>
  <si>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</si>
  <si>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</si>
  <si>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</si>
  <si>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</si>
  <si>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</si>
  <si>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</si>
  <si>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</si>
  <si>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</si>
  <si>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</si>
  <si>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</si>
  <si>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</si>
  <si>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</si>
  <si>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</si>
  <si>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</si>
  <si>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</si>
  <si>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</si>
  <si>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</si>
  <si>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</si>
  <si>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</si>
  <si>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</si>
  <si>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</si>
  <si>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</si>
  <si>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</si>
  <si>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</si>
  <si>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</si>
  <si>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</si>
  <si>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</si>
  <si>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</si>
  <si>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</si>
  <si>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</si>
  <si>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</si>
  <si>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</si>
  <si>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</si>
  <si>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</si>
  <si>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</si>
  <si>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</si>
  <si>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</si>
  <si>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</si>
  <si>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</si>
  <si>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</si>
  <si>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</si>
  <si>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</si>
  <si>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</si>
  <si>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</si>
  <si>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</si>
  <si>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</si>
  <si>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</si>
  <si>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</si>
  <si>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</si>
  <si>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</si>
  <si>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</si>
  <si>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</si>
  <si>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</si>
  <si>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</si>
  <si>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</si>
  <si>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</si>
  <si>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</si>
  <si>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</si>
  <si>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</si>
  <si>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</si>
  <si>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</si>
  <si>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</si>
  <si>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</si>
  <si>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</si>
  <si>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</si>
  <si>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</si>
  <si>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</si>
  <si>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</si>
  <si>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</si>
  <si>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</si>
  <si>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</si>
  <si>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</si>
  <si>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</si>
  <si>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</si>
  <si>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</si>
  <si>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</si>
  <si>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</si>
  <si>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</si>
  <si>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</si>
  <si>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</si>
  <si>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</si>
  <si>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</si>
  <si>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</si>
  <si>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</si>
  <si>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</si>
  <si>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</si>
  <si>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</si>
  <si>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</si>
  <si>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</si>
  <si>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</si>
  <si>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</si>
  <si>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</si>
  <si>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</si>
  <si>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</si>
  <si>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</si>
  <si>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</si>
  <si>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</si>
  <si>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</si>
  <si>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</si>
  <si>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</si>
  <si>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</si>
  <si>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</si>
  <si>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</si>
  <si>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</si>
  <si>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</si>
  <si>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</si>
  <si>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</si>
  <si>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</si>
  <si>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</si>
  <si>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</si>
  <si>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</si>
  <si>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</si>
  <si>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</si>
  <si>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</si>
  <si>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</si>
  <si>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</si>
  <si>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</si>
  <si>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</si>
  <si>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</si>
  <si>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</si>
  <si>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</si>
  <si>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</si>
  <si>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</si>
  <si>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</si>
  <si>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</si>
  <si>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</si>
  <si>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</si>
  <si>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</si>
  <si>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</si>
  <si>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</si>
  <si>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</si>
  <si>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</si>
  <si>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</si>
  <si>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</si>
  <si>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</si>
  <si>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</si>
  <si>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</si>
  <si>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</si>
  <si>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</si>
  <si>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</si>
  <si>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</si>
  <si>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</si>
  <si>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</si>
  <si>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</si>
  <si>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</si>
  <si>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</si>
  <si>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</si>
  <si>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</si>
  <si>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</si>
  <si>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</si>
  <si>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</si>
  <si>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</si>
  <si>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</si>
  <si>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</si>
  <si>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</si>
  <si>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</si>
  <si>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</si>
  <si>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</si>
  <si>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</si>
  <si>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</si>
  <si>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</si>
  <si>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</si>
  <si>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</si>
  <si>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</si>
  <si>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</si>
  <si>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</si>
  <si>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</si>
  <si>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</si>
  <si>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</si>
  <si>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</si>
  <si>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</si>
  <si>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</si>
  <si>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</si>
  <si>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</si>
  <si>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</si>
  <si>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</si>
  <si>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</si>
  <si>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</si>
  <si>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</si>
  <si>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</si>
  <si>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</si>
  <si>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</si>
  <si>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</si>
  <si>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</si>
  <si>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</si>
  <si>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</si>
  <si>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</si>
  <si>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</si>
  <si>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</si>
  <si>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</si>
  <si>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</si>
  <si>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</si>
  <si>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</si>
  <si>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</si>
  <si>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</si>
  <si>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</si>
  <si>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</si>
  <si>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</si>
  <si>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</si>
  <si>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</si>
  <si>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</si>
  <si>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</si>
  <si>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</si>
  <si>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</si>
  <si>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</si>
  <si>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</si>
  <si>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</si>
  <si>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</si>
  <si>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</si>
  <si>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</si>
  <si>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</si>
  <si>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</si>
  <si>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</si>
  <si>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</si>
  <si>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</si>
  <si>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</si>
  <si>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</si>
  <si>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</si>
  <si>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</si>
  <si>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</si>
  <si>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</si>
  <si>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</si>
  <si>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</si>
  <si>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</si>
  <si>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</si>
  <si>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</si>
  <si>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</si>
  <si>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</si>
  <si>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</si>
  <si>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</si>
  <si>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</si>
  <si>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</si>
  <si>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</si>
  <si>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</si>
  <si>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</si>
  <si>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</si>
  <si>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</si>
  <si>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</si>
  <si>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</si>
  <si>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</si>
  <si>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</si>
  <si>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</si>
  <si>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</si>
  <si>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</si>
  <si>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</si>
  <si>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</si>
  <si>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</si>
  <si>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</si>
  <si>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</si>
  <si>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</si>
  <si>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</si>
  <si>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</si>
  <si>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</si>
  <si>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</si>
  <si>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</si>
  <si>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</si>
  <si>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</si>
  <si>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</si>
  <si>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</si>
  <si>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</si>
  <si>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</si>
  <si>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</si>
  <si>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</si>
  <si>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</si>
  <si>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</si>
  <si>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</si>
  <si>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</si>
  <si>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</si>
  <si>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</si>
  <si>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</si>
  <si>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</si>
  <si>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</si>
  <si>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</si>
  <si>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</si>
  <si>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</si>
  <si>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</si>
  <si>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</si>
  <si>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</si>
  <si>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</si>
  <si>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</si>
  <si>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</si>
  <si>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</si>
  <si>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</si>
  <si>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</si>
  <si>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</si>
  <si>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</si>
  <si>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</si>
  <si>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</si>
  <si>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</si>
  <si>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</si>
  <si>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</si>
  <si>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</si>
  <si>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</si>
  <si>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</si>
  <si>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</si>
  <si>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</si>
  <si>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</si>
  <si>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</si>
  <si>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</si>
  <si>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</si>
  <si>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</si>
  <si>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</si>
  <si>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</si>
  <si>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</si>
  <si>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</si>
  <si>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</si>
  <si>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</si>
  <si>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</si>
  <si>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</si>
  <si>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</si>
  <si>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</si>
  <si>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</si>
  <si>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</si>
  <si>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</si>
  <si>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</si>
  <si>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</si>
  <si>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</si>
  <si>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</si>
  <si>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</si>
  <si>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</si>
  <si>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</si>
  <si>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</si>
  <si>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</si>
  <si>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</si>
  <si>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</si>
  <si>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</si>
  <si>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</si>
  <si>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</si>
  <si>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</si>
  <si>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</si>
  <si>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</si>
  <si>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</si>
  <si>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</si>
  <si>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</si>
  <si>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</si>
  <si>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</si>
  <si>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</si>
  <si>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</si>
  <si>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</si>
  <si>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</si>
  <si>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</si>
  <si>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</si>
  <si>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</si>
  <si>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</si>
  <si>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</si>
  <si>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</si>
  <si>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</si>
  <si>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</si>
  <si>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</si>
  <si>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</si>
  <si>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</si>
  <si>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</si>
  <si>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</si>
  <si>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</si>
  <si>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</si>
  <si>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</si>
  <si>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</si>
  <si>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</si>
  <si>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</si>
  <si>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</si>
  <si>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</si>
  <si>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</si>
  <si>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</si>
  <si>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</si>
  <si>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</si>
  <si>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</si>
  <si>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</si>
  <si>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</si>
  <si>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</si>
  <si>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</si>
  <si>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</si>
  <si>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</si>
  <si>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</si>
  <si>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</si>
  <si>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</si>
  <si>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</si>
  <si>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</si>
  <si>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</si>
  <si>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</si>
  <si>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</si>
  <si>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</si>
  <si>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</si>
  <si>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</si>
  <si>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</si>
  <si>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</si>
  <si>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</si>
  <si>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</si>
  <si>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</si>
  <si>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</si>
  <si>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</si>
  <si>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</si>
  <si>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</si>
  <si>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</si>
  <si>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</si>
  <si>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</si>
  <si>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</si>
  <si>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</si>
  <si>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</si>
  <si>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</si>
  <si>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</si>
  <si>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</si>
  <si>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</si>
  <si>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</si>
  <si>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</si>
  <si>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</si>
  <si>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</si>
  <si>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</si>
  <si>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</si>
  <si>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</si>
  <si>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</si>
  <si>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</si>
  <si>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</si>
  <si>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</si>
  <si>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</si>
  <si>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</si>
  <si>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</si>
  <si>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</si>
  <si>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</si>
  <si>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</si>
  <si>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</si>
  <si>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</si>
  <si>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</si>
  <si>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</si>
  <si>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</si>
  <si>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</si>
  <si>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</si>
  <si>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</si>
  <si>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</si>
  <si>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</si>
  <si>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</si>
  <si>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</si>
  <si>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</si>
  <si>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</si>
  <si>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</si>
  <si>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</si>
  <si>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</si>
  <si>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</si>
  <si>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</si>
  <si>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</si>
  <si>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</si>
  <si>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</si>
  <si>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</si>
  <si>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</si>
  <si>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</si>
  <si>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</si>
  <si>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</si>
  <si>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</si>
  <si>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</si>
  <si>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</si>
  <si>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</si>
  <si>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</si>
  <si>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</si>
  <si>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</si>
  <si>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</si>
  <si>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</si>
  <si>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</si>
  <si>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</si>
  <si>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</si>
  <si>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</si>
  <si>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</si>
  <si>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</si>
  <si>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</si>
  <si>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</si>
  <si>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</si>
  <si>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</si>
  <si>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</si>
  <si>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</si>
  <si>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</si>
  <si>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</si>
  <si>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</si>
  <si>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</si>
  <si>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</si>
  <si>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</si>
  <si>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</si>
  <si>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</si>
  <si>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</si>
  <si>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</si>
  <si>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</si>
  <si>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</si>
  <si>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</si>
  <si>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</si>
  <si>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</si>
  <si>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</si>
  <si>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</si>
  <si>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</si>
  <si>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</si>
  <si>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</si>
  <si>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</si>
  <si>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</si>
  <si>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</si>
  <si>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</si>
  <si>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</si>
  <si>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</si>
  <si>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</si>
  <si>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</si>
  <si>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</si>
  <si>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</si>
  <si>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</si>
  <si>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</si>
  <si>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</si>
  <si>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</si>
  <si>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</si>
  <si>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</si>
  <si>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</si>
  <si>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</si>
  <si>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</si>
  <si>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</si>
  <si>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</si>
  <si>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</si>
  <si>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</si>
  <si>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</si>
  <si>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</si>
  <si>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</si>
  <si>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</si>
  <si>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</si>
  <si>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</si>
  <si>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</si>
  <si>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</si>
  <si>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</si>
  <si>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</si>
  <si>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</si>
  <si>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</si>
  <si>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</si>
  <si>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</si>
  <si>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</si>
  <si>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</si>
  <si>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</si>
  <si>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</si>
  <si>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</si>
  <si>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</si>
  <si>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</si>
  <si>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</si>
  <si>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</si>
  <si>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</si>
  <si>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</si>
  <si>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</si>
  <si>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</si>
  <si>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</si>
  <si>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</si>
  <si>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</si>
  <si>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</si>
  <si>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</si>
  <si>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</si>
  <si>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</si>
  <si>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</si>
  <si>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</si>
  <si>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</si>
  <si>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</si>
  <si>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</si>
  <si>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</si>
  <si>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</si>
  <si>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</si>
  <si>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</si>
  <si>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</si>
  <si>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</si>
  <si>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</si>
  <si>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</si>
  <si>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</si>
  <si>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</si>
  <si>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</si>
  <si>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</si>
  <si>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</si>
  <si>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</si>
  <si>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</si>
  <si>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</si>
  <si>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</si>
  <si>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</si>
  <si>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</si>
  <si>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</si>
  <si>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</si>
  <si>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</si>
  <si>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</si>
  <si>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</si>
  <si>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</si>
  <si>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</si>
  <si>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</si>
  <si>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</si>
  <si>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</si>
  <si>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</si>
  <si>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</si>
  <si>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</si>
  <si>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</si>
  <si>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</si>
  <si>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</si>
  <si>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</si>
  <si>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</si>
  <si>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</si>
  <si>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</si>
  <si>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</si>
  <si>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</si>
  <si>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</si>
  <si>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</si>
  <si>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</si>
  <si>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</si>
  <si>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</si>
  <si>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</si>
  <si>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</si>
  <si>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</si>
  <si>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</si>
  <si>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</si>
  <si>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</si>
  <si>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</si>
  <si>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</si>
  <si>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</si>
  <si>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</si>
  <si>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</si>
  <si>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</si>
  <si>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</si>
  <si>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</si>
  <si>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</si>
  <si>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</si>
  <si>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</si>
  <si>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</si>
  <si>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</si>
  <si>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</si>
  <si>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</si>
  <si>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</si>
  <si>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</si>
  <si>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</si>
  <si>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</si>
  <si>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</si>
  <si>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</si>
  <si>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</si>
  <si>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</si>
  <si>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</si>
  <si>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</si>
  <si>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</si>
  <si>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</si>
  <si>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</si>
  <si>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</si>
  <si>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</si>
  <si>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</si>
  <si>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</si>
  <si>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</si>
  <si>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</si>
  <si>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</si>
  <si>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</si>
  <si>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</si>
  <si>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</si>
  <si>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</si>
  <si>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</si>
  <si>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</si>
  <si>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</si>
  <si>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</si>
  <si>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</si>
  <si>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</si>
  <si>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</si>
  <si>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</si>
  <si>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</si>
  <si>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</si>
  <si>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</si>
  <si>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</si>
  <si>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</si>
  <si>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</si>
  <si>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</si>
  <si>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</si>
  <si>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</si>
  <si>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</si>
  <si>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</si>
  <si>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</si>
  <si>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</si>
  <si>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</si>
  <si>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</si>
  <si>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</si>
  <si>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</si>
  <si>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</si>
  <si>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</si>
  <si>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</si>
  <si>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</si>
  <si>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</si>
  <si>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</si>
  <si>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</si>
  <si>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</si>
  <si>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</si>
  <si>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</si>
  <si>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</si>
  <si>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</si>
  <si>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</si>
  <si>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</si>
  <si>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</si>
  <si>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</si>
  <si>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</si>
  <si>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</si>
  <si>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</si>
  <si>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</si>
  <si>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</si>
  <si>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</si>
  <si>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</si>
  <si>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</si>
  <si>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</si>
  <si>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</si>
  <si>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</si>
  <si>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</si>
  <si>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</si>
  <si>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</si>
  <si>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</si>
  <si>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</si>
  <si>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</si>
  <si>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</si>
  <si>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</si>
  <si>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</si>
  <si>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</si>
  <si>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</si>
  <si>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</si>
  <si>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</si>
  <si>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</si>
  <si>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</si>
  <si>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</si>
  <si>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</si>
  <si>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</si>
  <si>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</si>
  <si>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</si>
  <si>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</si>
  <si>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</si>
  <si>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</si>
  <si>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</si>
  <si>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</si>
  <si>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</si>
  <si>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</si>
  <si>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</si>
  <si>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</si>
  <si>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</si>
  <si>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</si>
  <si>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</si>
  <si>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</si>
  <si>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</si>
  <si>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</si>
  <si>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</si>
  <si>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</si>
  <si>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</si>
  <si>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</si>
  <si>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</si>
  <si>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</si>
  <si>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</si>
  <si>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</si>
  <si>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</si>
  <si>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</si>
  <si>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</si>
  <si>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</si>
  <si>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</si>
  <si>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</si>
  <si>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</si>
  <si>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</si>
  <si>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</si>
  <si>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</si>
  <si>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</si>
  <si>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</si>
  <si>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</si>
  <si>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</si>
  <si>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</si>
  <si>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</si>
  <si>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</si>
  <si>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</si>
  <si>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</si>
  <si>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</si>
  <si>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</si>
  <si>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</si>
  <si>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</si>
  <si>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</si>
  <si>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</si>
  <si>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</si>
  <si>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</si>
  <si>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</si>
  <si>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</si>
  <si>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</si>
  <si>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</si>
  <si>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</si>
  <si>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</si>
  <si>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</si>
  <si>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</si>
  <si>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</si>
  <si>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</si>
  <si>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</si>
  <si>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</si>
  <si>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</si>
  <si>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</si>
  <si>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</si>
  <si>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</si>
  <si>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</si>
  <si>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</si>
  <si>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</si>
  <si>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</si>
  <si>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</si>
  <si>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</si>
  <si>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</si>
  <si>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</si>
  <si>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</si>
  <si>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</si>
  <si>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</si>
  <si>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</si>
  <si>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</si>
  <si>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</si>
  <si>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</si>
  <si>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</si>
  <si>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</si>
  <si>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</si>
  <si>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</si>
  <si>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</si>
  <si>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</si>
  <si>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</si>
  <si>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</si>
  <si>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</si>
  <si>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</si>
  <si>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</si>
  <si>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</si>
  <si>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</si>
  <si>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</si>
  <si>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</si>
  <si>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</si>
  <si>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</si>
  <si>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</si>
  <si>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</si>
  <si>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</si>
  <si>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</si>
  <si>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</si>
  <si>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</si>
  <si>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</si>
  <si>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</si>
  <si>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</si>
  <si>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</si>
  <si>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</si>
  <si>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</si>
  <si>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</si>
  <si>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</si>
  <si>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</si>
  <si>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</si>
  <si>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</si>
  <si>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</si>
  <si>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</si>
  <si>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</si>
  <si>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</si>
  <si>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</si>
  <si>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</si>
  <si>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</si>
  <si>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</si>
  <si>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</si>
  <si>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</si>
  <si>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</si>
  <si>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</si>
  <si>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</si>
  <si>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</si>
  <si>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</si>
  <si>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</si>
  <si>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</si>
  <si>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</si>
  <si>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</si>
  <si>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</si>
  <si>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</si>
  <si>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</si>
  <si>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</si>
  <si>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</si>
  <si>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</si>
  <si>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</si>
  <si>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</si>
  <si>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</si>
  <si>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</si>
  <si>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</si>
  <si>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</si>
  <si>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</si>
  <si>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</si>
  <si>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</si>
  <si>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</si>
  <si>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</si>
  <si>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</si>
  <si>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</si>
  <si>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</si>
  <si>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</si>
  <si>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</si>
  <si>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</si>
  <si>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</si>
  <si>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</si>
  <si>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</si>
  <si>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</si>
  <si>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</si>
  <si>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</si>
  <si>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</si>
  <si>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</si>
  <si>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</si>
  <si>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</si>
  <si>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</si>
  <si>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</si>
  <si>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</si>
  <si>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</si>
  <si>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</si>
  <si>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</si>
  <si>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</si>
  <si>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</si>
  <si>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</si>
  <si>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</si>
  <si>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</si>
  <si>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</si>
  <si>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</si>
  <si>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</si>
  <si>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</si>
  <si>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</si>
  <si>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</si>
  <si>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</si>
  <si>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</si>
  <si>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</si>
  <si>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</si>
  <si>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</si>
  <si>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</si>
  <si>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</si>
  <si>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</si>
  <si>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</si>
  <si>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</si>
  <si>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</si>
  <si>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</si>
  <si>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</si>
  <si>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</si>
  <si>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</si>
  <si>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</si>
  <si>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</si>
  <si>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</si>
  <si>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</si>
  <si>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</si>
  <si>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</si>
  <si>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</si>
  <si>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</si>
  <si>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</si>
  <si>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</si>
  <si>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</si>
  <si>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</si>
  <si>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</si>
  <si>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</si>
  <si>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</si>
  <si>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</si>
  <si>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</si>
  <si>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</si>
  <si>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</si>
  <si>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</si>
  <si>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</si>
  <si>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</si>
  <si>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</si>
  <si>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</si>
  <si>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</si>
  <si>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</si>
  <si>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</si>
  <si>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</si>
  <si>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</si>
  <si>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</si>
  <si>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</si>
  <si>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</si>
  <si>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</si>
  <si>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</si>
  <si>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</si>
  <si>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</si>
  <si>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</si>
  <si>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</si>
  <si>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</si>
  <si>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</si>
  <si>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</si>
  <si>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</si>
  <si>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</si>
  <si>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</si>
  <si>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</si>
  <si>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</si>
  <si>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</si>
  <si>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</si>
  <si>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</si>
  <si>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</si>
  <si>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</si>
  <si>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</si>
  <si>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</si>
  <si>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</si>
  <si>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</si>
  <si>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</si>
  <si>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</si>
  <si>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</si>
  <si>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</si>
  <si>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</si>
  <si>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</si>
  <si>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</si>
  <si>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</si>
  <si>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</si>
  <si>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</si>
  <si>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</si>
  <si>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</si>
  <si>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</si>
  <si>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</si>
  <si>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</si>
  <si>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</si>
  <si>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</si>
  <si>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</si>
  <si>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</si>
  <si>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</si>
  <si>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</si>
  <si>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</si>
  <si>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</si>
  <si>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</si>
  <si>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</si>
  <si>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</si>
  <si>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</si>
  <si>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</si>
  <si>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</si>
  <si>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</si>
  <si>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</si>
  <si>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</si>
  <si>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</si>
  <si>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</si>
  <si>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</si>
  <si>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</si>
  <si>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</si>
  <si>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</si>
  <si>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</si>
  <si>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</si>
  <si>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</si>
  <si>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</si>
  <si>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</si>
  <si>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</si>
  <si>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</si>
  <si>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</si>
  <si>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</si>
  <si>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</si>
  <si>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</si>
  <si>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</si>
  <si>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</si>
  <si>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</si>
  <si>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</si>
  <si>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</si>
  <si>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</si>
  <si>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</si>
  <si>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</si>
  <si>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</si>
  <si>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</si>
  <si>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</si>
  <si>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</si>
  <si>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</si>
  <si>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</si>
  <si>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</si>
  <si>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</si>
  <si>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</si>
  <si>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</si>
  <si>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</si>
  <si>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</si>
  <si>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</si>
  <si>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</si>
  <si>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</si>
  <si>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</si>
  <si>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</si>
  <si>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</si>
  <si>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</si>
  <si>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</si>
  <si>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</si>
  <si>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</si>
  <si>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</si>
  <si>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</si>
  <si>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</si>
  <si>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</si>
  <si>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</si>
  <si>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</si>
  <si>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</si>
  <si>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</si>
  <si>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</si>
  <si>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</si>
  <si>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</si>
  <si>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</si>
  <si>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</si>
  <si>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</si>
  <si>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</si>
  <si>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</si>
  <si>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</si>
  <si>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</si>
  <si>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</si>
  <si>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</si>
  <si>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</si>
  <si>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</si>
  <si>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</si>
  <si>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</si>
  <si>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</si>
  <si>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</si>
  <si>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</si>
  <si>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</si>
  <si>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</si>
  <si>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</si>
  <si>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</si>
  <si>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</si>
  <si>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</si>
  <si>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</si>
  <si>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</si>
  <si>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</si>
  <si>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</si>
  <si>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</si>
  <si>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</si>
  <si>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</si>
  <si>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</si>
  <si>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</si>
  <si>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</si>
  <si>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</si>
  <si>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</si>
  <si>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</si>
  <si>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</si>
  <si>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</si>
  <si>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</si>
  <si>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</si>
  <si>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</si>
  <si>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</si>
  <si>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</si>
  <si>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</si>
  <si>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</si>
  <si>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</si>
  <si>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</si>
  <si>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</si>
  <si>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</si>
  <si>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</si>
  <si>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</si>
  <si>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</si>
  <si>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</si>
  <si>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</si>
  <si>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</si>
  <si>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</si>
  <si>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</si>
  <si>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</si>
  <si>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</si>
  <si>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</si>
  <si>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</si>
  <si>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</si>
  <si>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</si>
  <si>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</si>
  <si>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</si>
  <si>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</si>
  <si>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</si>
  <si>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</si>
  <si>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</si>
  <si>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</si>
  <si>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</si>
  <si>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</si>
  <si>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</si>
  <si>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</si>
  <si>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</si>
  <si>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</si>
  <si>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</si>
  <si>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</si>
  <si>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</si>
  <si>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</si>
  <si>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</si>
  <si>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</si>
  <si>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</si>
  <si>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</si>
  <si>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</si>
  <si>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</si>
  <si>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</si>
  <si>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</si>
  <si>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</si>
  <si>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</si>
  <si>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</si>
  <si>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</si>
  <si>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</si>
  <si>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</si>
  <si>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</si>
  <si>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</si>
  <si>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</si>
  <si>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</si>
  <si>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</si>
  <si>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</si>
  <si>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</si>
  <si>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</si>
  <si>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</si>
  <si>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</si>
  <si>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</si>
  <si>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</si>
  <si>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</si>
  <si>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</si>
  <si>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</si>
  <si>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</si>
  <si>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</si>
  <si>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</si>
  <si>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</si>
  <si>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</si>
  <si>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</si>
  <si>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</si>
  <si>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</si>
  <si>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</si>
  <si>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</si>
  <si>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</si>
  <si>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</si>
  <si>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</si>
  <si>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</si>
  <si>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</si>
  <si>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</si>
  <si>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</si>
  <si>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</si>
  <si>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</si>
  <si>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</si>
  <si>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</si>
  <si>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</si>
  <si>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</si>
  <si>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</si>
  <si>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</si>
  <si>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</si>
  <si>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</si>
  <si>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</si>
  <si>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</si>
  <si>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</si>
  <si>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</si>
  <si>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</si>
  <si>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</si>
  <si>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</si>
  <si>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</si>
  <si>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</si>
  <si>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</si>
  <si>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</si>
  <si>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</si>
  <si>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</si>
  <si>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</si>
  <si>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</si>
  <si>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</si>
  <si>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</si>
  <si>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</si>
  <si>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</si>
  <si>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</si>
  <si>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</si>
  <si>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</si>
  <si>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</si>
  <si>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</si>
  <si>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</si>
  <si>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</si>
  <si>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</si>
  <si>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</si>
  <si>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</si>
  <si>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</si>
  <si>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</si>
  <si>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</si>
  <si>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</si>
  <si>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</si>
  <si>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</si>
  <si>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</si>
  <si>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</si>
  <si>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</si>
  <si>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</si>
  <si>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</si>
  <si>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</si>
  <si>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</si>
  <si>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</si>
  <si>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</si>
  <si>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</si>
  <si>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</si>
  <si>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</si>
  <si>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</si>
  <si>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</si>
  <si>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</si>
  <si>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</si>
  <si>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</si>
  <si>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</si>
  <si>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</si>
  <si>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</si>
  <si>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</si>
  <si>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</si>
  <si>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</si>
  <si>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</si>
  <si>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</si>
  <si>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</si>
  <si>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</si>
  <si>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</si>
  <si>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</si>
  <si>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</si>
  <si>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</si>
  <si>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</si>
  <si>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</si>
  <si>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</si>
  <si>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</si>
  <si>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</si>
  <si>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</si>
  <si>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</si>
  <si>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</si>
  <si>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</si>
  <si>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</si>
  <si>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</si>
  <si>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</si>
  <si>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</si>
  <si>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</si>
  <si>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</si>
  <si>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</si>
  <si>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</si>
  <si>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</si>
  <si>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</si>
  <si>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</si>
  <si>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</si>
  <si>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</si>
  <si>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</si>
  <si>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</si>
  <si>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</si>
  <si>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</si>
  <si>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</si>
  <si>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</si>
  <si>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</si>
  <si>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</si>
  <si>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</si>
  <si>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</si>
  <si>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</si>
  <si>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</si>
  <si>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</si>
  <si>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</si>
  <si>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</si>
  <si>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</si>
  <si>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</si>
  <si>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</si>
  <si>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</si>
  <si>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</si>
  <si>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</si>
  <si>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</si>
  <si>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</si>
  <si>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</si>
  <si>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</si>
  <si>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</si>
  <si>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</si>
  <si>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</si>
  <si>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</si>
  <si>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</si>
  <si>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</si>
  <si>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</si>
  <si>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</si>
  <si>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</si>
  <si>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</si>
  <si>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</si>
  <si>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</si>
  <si>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</si>
  <si>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</si>
  <si>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</si>
  <si>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</si>
  <si>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</si>
  <si>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</si>
  <si>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</si>
  <si>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</si>
  <si>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</si>
  <si>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</si>
  <si>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</si>
  <si>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</si>
  <si>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</si>
  <si>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</si>
  <si>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</si>
  <si>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</si>
  <si>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</si>
  <si>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</si>
  <si>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</si>
  <si>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</si>
  <si>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</si>
  <si>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</si>
  <si>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</si>
  <si>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</si>
  <si>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</si>
  <si>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</si>
  <si>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</si>
  <si>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</si>
  <si>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</si>
  <si>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</si>
  <si>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</si>
  <si>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</si>
  <si>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</si>
  <si>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</si>
  <si>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</si>
  <si>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</si>
  <si>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</si>
  <si>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</si>
  <si>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</si>
  <si>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</si>
  <si>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</si>
  <si>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</si>
  <si>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</si>
  <si>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</si>
  <si>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</si>
  <si>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</si>
  <si>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</si>
  <si>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</si>
  <si>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</si>
  <si>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</si>
  <si>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</si>
  <si>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</si>
  <si>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</si>
  <si>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</si>
  <si>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</si>
  <si>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</si>
  <si>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</si>
  <si>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</si>
  <si>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</si>
  <si>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</si>
  <si>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</si>
  <si>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</si>
  <si>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</si>
  <si>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</si>
  <si>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</si>
  <si>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</si>
  <si>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</si>
  <si>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</si>
  <si>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</si>
  <si>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</si>
  <si>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</si>
  <si>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</si>
  <si>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</si>
  <si>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</si>
  <si>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</si>
  <si>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</si>
  <si>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</si>
  <si>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</si>
  <si>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</si>
  <si>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</si>
  <si>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</si>
  <si>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</si>
  <si>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</si>
  <si>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</si>
  <si>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</si>
  <si>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</si>
  <si>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</si>
  <si>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</si>
  <si>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</si>
  <si>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</si>
  <si>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</si>
  <si>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</si>
  <si>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</si>
  <si>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</si>
  <si>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</si>
  <si>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</si>
  <si>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</si>
  <si>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</si>
  <si>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</si>
  <si>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</si>
  <si>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</si>
  <si>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</si>
  <si>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</si>
  <si>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</si>
  <si>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</si>
  <si>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</si>
  <si>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</si>
  <si>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</si>
  <si>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</si>
  <si>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</si>
  <si>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</si>
  <si>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</si>
  <si>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</si>
  <si>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</si>
  <si>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</si>
  <si>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</si>
  <si>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</si>
  <si>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</si>
  <si>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</si>
  <si>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</si>
  <si>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</si>
  <si>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</si>
  <si>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</si>
  <si>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</si>
  <si>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</si>
  <si>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</si>
  <si>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</si>
  <si>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</si>
  <si>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</si>
  <si>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</si>
  <si>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</si>
  <si>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</si>
  <si>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</si>
  <si>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</si>
  <si>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</si>
  <si>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</si>
  <si>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</si>
  <si>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</si>
  <si>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</si>
  <si>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</si>
  <si>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</si>
  <si>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</si>
  <si>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</si>
  <si>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</si>
  <si>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</si>
  <si>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</si>
  <si>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</si>
  <si>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</si>
  <si>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</si>
  <si>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</si>
  <si>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</si>
  <si>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</si>
  <si>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</si>
  <si>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</si>
  <si>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</si>
  <si>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</si>
  <si>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</si>
  <si>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</si>
  <si>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</si>
  <si>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</si>
  <si>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</si>
  <si>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</si>
  <si>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</si>
  <si>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</si>
  <si>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</si>
  <si>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</si>
  <si>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</si>
  <si>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</si>
  <si>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</si>
  <si>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</si>
  <si>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</si>
  <si>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</si>
  <si>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</si>
  <si>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</si>
  <si>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</si>
  <si>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</si>
  <si>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</si>
  <si>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</si>
  <si>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</si>
  <si>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</si>
  <si>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</si>
  <si>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</si>
  <si>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</si>
  <si>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</si>
  <si>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</si>
  <si>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</si>
  <si>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</si>
  <si>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</si>
  <si>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</si>
  <si>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</si>
  <si>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</si>
  <si>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</si>
  <si>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</si>
  <si>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</si>
  <si>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</si>
  <si>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</si>
  <si>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</si>
  <si>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</si>
  <si>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</si>
  <si>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</si>
  <si>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</si>
  <si>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</si>
  <si>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</si>
  <si>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</si>
  <si>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</si>
  <si>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</si>
  <si>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</si>
  <si>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</si>
  <si>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</si>
  <si>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</si>
  <si>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</si>
  <si>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</si>
  <si>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</si>
  <si>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</si>
  <si>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</si>
  <si>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</si>
  <si>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</si>
  <si>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</si>
  <si>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</si>
  <si>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</si>
  <si>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</si>
  <si>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</si>
  <si>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</si>
  <si>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</si>
  <si>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</si>
  <si>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</si>
  <si>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</si>
  <si>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</si>
  <si>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</si>
  <si>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</si>
  <si>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</si>
  <si>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</si>
  <si>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</si>
  <si>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</si>
  <si>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</si>
  <si>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</si>
  <si>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</si>
  <si>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</si>
  <si>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</si>
  <si>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</si>
  <si>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</si>
  <si>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</si>
  <si>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</si>
  <si>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</si>
  <si>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</si>
  <si>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</si>
  <si>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</si>
  <si>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</si>
  <si>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</si>
  <si>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</si>
  <si>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</si>
  <si>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</si>
  <si>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</si>
  <si>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</si>
  <si>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</si>
  <si>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</si>
  <si>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</si>
  <si>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</si>
  <si>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</si>
  <si>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</si>
  <si>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</si>
  <si>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</si>
  <si>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</si>
  <si>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</si>
  <si>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</si>
  <si>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</si>
  <si>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</si>
  <si>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</si>
  <si>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</si>
  <si>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</si>
  <si>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</si>
  <si>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</si>
  <si>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</si>
  <si>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</si>
  <si>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</si>
  <si>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</si>
  <si>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</si>
  <si>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</si>
  <si>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</si>
  <si>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</si>
  <si>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</si>
  <si>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</si>
  <si>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</si>
  <si>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</si>
  <si>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</si>
  <si>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</si>
  <si>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</si>
  <si>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</si>
  <si>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</si>
  <si>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</si>
  <si>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</si>
  <si>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</si>
  <si>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</si>
  <si>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</si>
  <si>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</si>
  <si>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</si>
  <si>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</si>
  <si>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</si>
  <si>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</si>
  <si>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</si>
  <si>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</si>
  <si>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</si>
  <si>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</si>
  <si>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</si>
  <si>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</si>
  <si>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</si>
  <si>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</si>
  <si>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</si>
  <si>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</si>
  <si>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</si>
  <si>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</si>
  <si>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</si>
  <si>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</si>
  <si>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</si>
  <si>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</si>
  <si>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</si>
  <si>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</si>
  <si>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</si>
  <si>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</si>
  <si>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</si>
  <si>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</si>
  <si>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</si>
  <si>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</si>
  <si>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</si>
  <si>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</si>
  <si>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</si>
  <si>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</si>
  <si>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</si>
  <si>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</si>
  <si>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</si>
  <si>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</si>
  <si>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</si>
  <si>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</si>
  <si>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</si>
  <si>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</si>
  <si>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</si>
  <si>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</si>
  <si>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</si>
  <si>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</si>
  <si>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</si>
  <si>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</si>
  <si>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</si>
  <si>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</si>
  <si>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</si>
  <si>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</si>
  <si>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</si>
  <si>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</si>
  <si>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</si>
  <si>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</si>
  <si>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</si>
  <si>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</si>
  <si>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</si>
  <si>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</si>
  <si>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</si>
  <si>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</si>
  <si>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</si>
  <si>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</si>
  <si>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</si>
  <si>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</si>
  <si>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</si>
  <si>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</si>
  <si>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</si>
  <si>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</si>
  <si>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</si>
  <si>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</si>
  <si>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</si>
  <si>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</si>
  <si>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</si>
  <si>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</si>
  <si>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</si>
  <si>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</si>
  <si>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</si>
  <si>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</si>
  <si>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</si>
  <si>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</si>
  <si>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</si>
  <si>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</si>
  <si>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</si>
  <si>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</si>
  <si>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</si>
  <si>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</si>
  <si>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</si>
  <si>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</si>
  <si>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</si>
  <si>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</si>
  <si>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</si>
  <si>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</si>
  <si>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</si>
  <si>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</si>
  <si>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</si>
  <si>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</si>
  <si>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</si>
  <si>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</si>
  <si>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</si>
  <si>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</si>
  <si>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</si>
  <si>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</si>
  <si>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</si>
  <si>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</si>
  <si>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</si>
  <si>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</si>
  <si>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</si>
  <si>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</si>
  <si>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</si>
  <si>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</si>
  <si>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</si>
  <si>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</si>
  <si>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</si>
  <si>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</si>
  <si>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</si>
  <si>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</si>
  <si>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</si>
  <si>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</si>
  <si>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</si>
  <si>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</si>
  <si>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</si>
  <si>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</si>
  <si>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</si>
  <si>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</si>
  <si>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</si>
  <si>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</si>
  <si>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</si>
  <si>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</si>
  <si>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</si>
  <si>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</si>
  <si>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</si>
  <si>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</si>
  <si>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</si>
  <si>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</si>
  <si>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</si>
  <si>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</si>
  <si>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</si>
  <si>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</si>
  <si>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</si>
  <si>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</si>
  <si>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</si>
  <si>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</si>
  <si>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</si>
  <si>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</si>
  <si>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</si>
  <si>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</si>
  <si>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</si>
  <si>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</si>
  <si>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</si>
  <si>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</si>
  <si>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</si>
  <si>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</si>
  <si>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</si>
  <si>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</si>
  <si>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</si>
  <si>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</si>
  <si>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</si>
  <si>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</si>
  <si>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</si>
  <si>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</si>
  <si>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</si>
  <si>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</si>
  <si>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</si>
  <si>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</si>
  <si>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</si>
  <si>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</si>
  <si>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</si>
  <si>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</si>
  <si>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</si>
  <si>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</si>
  <si>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</si>
  <si>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</si>
  <si>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</si>
  <si>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</si>
  <si>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</si>
  <si>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</si>
  <si>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</si>
  <si>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</si>
  <si>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</si>
  <si>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</si>
  <si>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</si>
  <si>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</si>
  <si>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</si>
  <si>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</si>
  <si>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</si>
  <si>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</si>
  <si>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</si>
  <si>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</si>
  <si>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</si>
  <si>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</si>
  <si>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</si>
  <si>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</si>
  <si>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</si>
  <si>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</si>
  <si>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</si>
  <si>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</si>
  <si>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</si>
  <si>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</si>
  <si>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</si>
  <si>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</si>
  <si>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</si>
  <si>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</si>
  <si>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</si>
  <si>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</si>
  <si>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</si>
  <si>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</si>
  <si>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</si>
  <si>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</si>
  <si>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</si>
  <si>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</si>
  <si>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</si>
  <si>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</si>
  <si>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</si>
  <si>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</si>
  <si>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</si>
  <si>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</si>
  <si>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</si>
  <si>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</si>
  <si>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</si>
  <si>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</si>
  <si>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</si>
  <si>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</si>
  <si>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</si>
  <si>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</si>
  <si>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</si>
  <si>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</si>
  <si>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</si>
  <si>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</si>
  <si>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</si>
  <si>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</si>
  <si>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</si>
  <si>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</si>
  <si>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</si>
  <si>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</si>
  <si>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</si>
  <si>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</si>
  <si>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</si>
  <si>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</si>
  <si>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</si>
  <si>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</si>
  <si>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</si>
  <si>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</si>
  <si>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</si>
  <si>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</si>
  <si>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</si>
  <si>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</si>
  <si>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</si>
  <si>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</si>
  <si>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</si>
  <si>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</si>
  <si>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</si>
  <si>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</si>
  <si>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</si>
  <si>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</si>
  <si>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</si>
  <si>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</si>
  <si>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</si>
  <si>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</si>
  <si>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</si>
  <si>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</si>
  <si>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</si>
  <si>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</si>
  <si>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</si>
  <si>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</si>
  <si>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</si>
  <si>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</si>
  <si>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</si>
  <si>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</si>
  <si>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</si>
  <si>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</si>
  <si>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</si>
  <si>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</si>
  <si>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</si>
  <si>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</si>
  <si>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</si>
  <si>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</si>
  <si>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</si>
  <si>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</si>
  <si>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</si>
  <si>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</si>
  <si>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</si>
  <si>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</si>
  <si>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</si>
  <si>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</si>
  <si>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</si>
  <si>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</si>
  <si>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</si>
  <si>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</si>
  <si>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</si>
  <si>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</si>
  <si>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</si>
  <si>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</si>
  <si>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</si>
  <si>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</si>
  <si>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</si>
  <si>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</si>
  <si>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</si>
  <si>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</si>
  <si>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</si>
  <si>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</si>
  <si>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</si>
  <si>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</si>
  <si>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</si>
  <si>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</si>
  <si>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</si>
  <si>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</si>
  <si>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</si>
  <si>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</si>
  <si>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</si>
  <si>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</si>
  <si>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</si>
  <si>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</si>
  <si>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</si>
  <si>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</si>
  <si>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</si>
  <si>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</si>
  <si>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</si>
  <si>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</si>
  <si>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</si>
  <si>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</si>
  <si>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</si>
  <si>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</si>
  <si>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</si>
  <si>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</si>
  <si>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</si>
  <si>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</si>
  <si>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</si>
  <si>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</si>
  <si>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</si>
  <si>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</si>
  <si>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</si>
  <si>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</si>
  <si>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</si>
  <si>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</si>
  <si>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</si>
  <si>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</si>
  <si>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</si>
  <si>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</si>
  <si>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</si>
  <si>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</si>
  <si>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</si>
  <si>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</si>
  <si>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</si>
  <si>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</si>
  <si>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</si>
  <si>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</si>
  <si>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</si>
  <si>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</si>
  <si>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</si>
  <si>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</si>
  <si>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</si>
  <si>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</si>
  <si>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</si>
  <si>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</si>
  <si>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</si>
  <si>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</si>
  <si>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</si>
  <si>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</si>
  <si>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</si>
  <si>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</si>
  <si>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</si>
  <si>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</si>
  <si>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</si>
  <si>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</si>
  <si>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</si>
  <si>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</si>
  <si>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</si>
  <si>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</si>
  <si>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</si>
  <si>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</si>
  <si>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</si>
  <si>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</si>
  <si>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</si>
  <si>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</si>
  <si>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</si>
  <si>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</si>
  <si>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</si>
  <si>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</si>
  <si>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</si>
  <si>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</si>
  <si>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</si>
  <si>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</si>
  <si>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</si>
  <si>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</si>
  <si>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</si>
  <si>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</si>
  <si>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</si>
  <si>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</si>
  <si>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</si>
  <si>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</si>
  <si>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</si>
  <si>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</si>
  <si>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</si>
  <si>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</si>
  <si>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</si>
  <si>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</si>
  <si>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</si>
  <si>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</si>
  <si>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</si>
  <si>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</si>
  <si>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</si>
  <si>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</si>
  <si>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</si>
  <si>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</si>
  <si>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</si>
  <si>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</si>
  <si>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</si>
  <si>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</si>
  <si>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</si>
  <si>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</si>
  <si>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</si>
  <si>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</si>
  <si>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</si>
  <si>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</si>
  <si>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</si>
  <si>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</si>
  <si>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</si>
  <si>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</si>
  <si>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</si>
  <si>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</si>
  <si>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</si>
  <si>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</si>
  <si>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</si>
  <si>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</si>
  <si>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</si>
  <si>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</si>
  <si>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</si>
  <si>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</si>
  <si>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</si>
  <si>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</si>
  <si>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</si>
  <si>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</si>
  <si>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</si>
  <si>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</si>
  <si>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</si>
  <si>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</si>
  <si>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</si>
  <si>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</si>
  <si>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</si>
  <si>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</si>
  <si>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</si>
  <si>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</si>
  <si>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</si>
  <si>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</si>
  <si>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</si>
  <si>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</si>
  <si>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</si>
  <si>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</si>
  <si>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</si>
  <si>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</si>
  <si>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</si>
  <si>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</si>
  <si>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</si>
  <si>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</si>
  <si>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</si>
  <si>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</si>
  <si>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</si>
  <si>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</si>
  <si>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</si>
  <si>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</si>
  <si>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</si>
  <si>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</si>
  <si>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</si>
  <si>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</si>
  <si>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</si>
  <si>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</si>
  <si>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</si>
  <si>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</si>
  <si>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</si>
  <si>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</si>
  <si>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</si>
  <si>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</si>
  <si>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</si>
  <si>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</si>
  <si>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</si>
  <si>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</si>
  <si>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</si>
  <si>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</si>
  <si>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</si>
  <si>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</si>
  <si>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</si>
  <si>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</si>
  <si>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</si>
  <si>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</si>
  <si>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</si>
  <si>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</si>
  <si>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</si>
  <si>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</si>
  <si>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</si>
  <si>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</si>
  <si>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</si>
  <si>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</si>
  <si>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</si>
  <si>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</si>
  <si>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</si>
  <si>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</si>
  <si>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</si>
  <si>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</si>
  <si>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</si>
  <si>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</si>
  <si>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</si>
  <si>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</si>
  <si>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</si>
  <si>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</si>
  <si>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</si>
  <si>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</si>
  <si>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</si>
  <si>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</si>
  <si>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</si>
  <si>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</si>
  <si>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</si>
  <si>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</si>
  <si>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</si>
  <si>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</si>
  <si>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</si>
  <si>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</si>
  <si>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</si>
  <si>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</si>
  <si>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</si>
  <si>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</si>
  <si>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</si>
  <si>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</si>
  <si>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</si>
  <si>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</si>
  <si>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</si>
  <si>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</si>
  <si>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</si>
  <si>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</si>
  <si>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</si>
  <si>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</si>
  <si>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</si>
  <si>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</si>
  <si>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</si>
  <si>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</si>
  <si>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</si>
  <si>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</si>
  <si>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</si>
  <si>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</si>
  <si>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</si>
  <si>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</si>
  <si>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</si>
  <si>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</si>
  <si>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</si>
  <si>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</si>
  <si>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</si>
  <si>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</si>
  <si>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</si>
  <si>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</si>
  <si>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</si>
  <si>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</si>
  <si>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</si>
  <si>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</si>
  <si>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</si>
  <si>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</si>
  <si>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</si>
  <si>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</si>
  <si>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</si>
  <si>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</si>
  <si>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</si>
  <si>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</si>
  <si>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</si>
  <si>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</si>
  <si>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</si>
  <si>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</si>
  <si>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</si>
  <si>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</si>
  <si>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</si>
  <si>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</si>
  <si>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</si>
  <si>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</si>
  <si>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</si>
  <si>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</si>
  <si>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</si>
  <si>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</si>
  <si>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</si>
  <si>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</si>
  <si>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</si>
  <si>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</si>
  <si>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</si>
  <si>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</si>
  <si>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</si>
  <si>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</si>
  <si>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</si>
  <si>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</si>
  <si>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</si>
  <si>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</si>
  <si>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</si>
  <si>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</si>
  <si>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</si>
  <si>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</si>
  <si>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</si>
  <si>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</si>
  <si>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</si>
  <si>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</si>
  <si>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</si>
  <si>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</si>
  <si>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</si>
  <si>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</si>
  <si>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</si>
  <si>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</si>
  <si>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</si>
  <si>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</si>
  <si>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</si>
  <si>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</si>
  <si>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</si>
  <si>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</si>
  <si>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</si>
  <si>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</si>
  <si>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</si>
  <si>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</si>
  <si>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</si>
  <si>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</si>
  <si>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</si>
  <si>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</si>
  <si>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</si>
  <si>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</si>
  <si>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</si>
  <si>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</si>
  <si>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</si>
  <si>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</si>
  <si>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</si>
  <si>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</si>
  <si>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</si>
  <si>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</si>
  <si>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</si>
  <si>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</si>
  <si>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</si>
  <si>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</si>
  <si>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</si>
  <si>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</si>
  <si>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</si>
  <si>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</si>
  <si>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</si>
  <si>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</si>
  <si>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</si>
  <si>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</si>
  <si>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</si>
  <si>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</si>
  <si>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</si>
  <si>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</si>
  <si>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</si>
  <si>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</si>
  <si>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</si>
  <si>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</si>
  <si>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</si>
  <si>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</si>
  <si>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</si>
  <si>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</si>
  <si>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</si>
  <si>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</si>
  <si>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</si>
  <si>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</si>
  <si>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</si>
  <si>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</si>
  <si>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</si>
  <si>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</si>
  <si>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</si>
  <si>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</si>
  <si>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</si>
  <si>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</si>
  <si>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</si>
  <si>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</si>
  <si>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</si>
  <si>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</si>
  <si>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</si>
  <si>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</si>
  <si>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</si>
  <si>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</si>
  <si>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</si>
  <si>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</si>
  <si>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</si>
  <si>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</si>
  <si>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</si>
  <si>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</si>
  <si>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</si>
  <si>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</si>
  <si>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</si>
  <si>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</si>
  <si>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</si>
  <si>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</si>
  <si>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</si>
  <si>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</si>
  <si>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</si>
  <si>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</si>
  <si>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</si>
  <si>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</si>
  <si>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</si>
  <si>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</si>
  <si>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</si>
  <si>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</si>
  <si>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</si>
  <si>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</si>
  <si>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</si>
  <si>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</si>
  <si>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</si>
  <si>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</si>
  <si>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</si>
  <si>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</si>
  <si>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</si>
  <si>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</si>
  <si>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</si>
  <si>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</si>
  <si>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</si>
  <si>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</si>
  <si>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</si>
  <si>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</si>
  <si>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</si>
  <si>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</si>
  <si>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</si>
  <si>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</si>
  <si>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</si>
  <si>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</si>
  <si>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</si>
  <si>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</si>
  <si>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</si>
  <si>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</si>
  <si>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</si>
  <si>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</si>
  <si>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</si>
  <si>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</si>
  <si>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</si>
  <si>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</si>
  <si>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</si>
  <si>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</si>
  <si>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</si>
  <si>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</si>
  <si>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</si>
  <si>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</si>
  <si>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</si>
  <si>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</si>
  <si>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</si>
  <si>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</si>
  <si>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</si>
  <si>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</si>
  <si>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</si>
  <si>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</si>
  <si>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</si>
  <si>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</si>
  <si>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</si>
  <si>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</si>
  <si>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</si>
  <si>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</si>
  <si>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</si>
  <si>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</si>
  <si>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</si>
  <si>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</si>
  <si>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</si>
  <si>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</si>
  <si>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</si>
  <si>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</si>
  <si>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</si>
  <si>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</si>
  <si>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</si>
  <si>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</si>
  <si>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</si>
  <si>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</si>
  <si>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</si>
  <si>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</si>
  <si>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</si>
  <si>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</si>
  <si>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</si>
  <si>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</si>
  <si>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</si>
  <si>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</si>
  <si>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</si>
  <si>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</si>
  <si>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</si>
  <si>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</si>
  <si>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</si>
  <si>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</si>
  <si>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</si>
  <si>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</si>
  <si>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</si>
  <si>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</si>
  <si>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</si>
  <si>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</si>
  <si>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</si>
  <si>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</si>
  <si>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</si>
  <si>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</si>
  <si>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</si>
  <si>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</si>
  <si>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</si>
  <si>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</si>
  <si>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</si>
  <si>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</si>
  <si>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</si>
  <si>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</si>
  <si>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</si>
  <si>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</si>
  <si>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</si>
  <si>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</si>
  <si>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</si>
  <si>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</si>
  <si>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</si>
  <si>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</si>
  <si>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</si>
  <si>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</si>
  <si>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</si>
  <si>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</si>
  <si>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</si>
  <si>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</si>
  <si>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</si>
  <si>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</si>
  <si>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</si>
  <si>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</si>
  <si>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</si>
  <si>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</si>
  <si>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</si>
  <si>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</si>
  <si>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</si>
  <si>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</si>
  <si>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</si>
  <si>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</si>
  <si>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</si>
  <si>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</si>
  <si>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</si>
  <si>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</si>
  <si>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</si>
  <si>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</si>
  <si>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</si>
  <si>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</si>
  <si>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</si>
  <si>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</si>
  <si>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</si>
  <si>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</si>
  <si>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</si>
  <si>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</si>
  <si>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</si>
  <si>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</si>
  <si>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</si>
  <si>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</si>
  <si>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</si>
  <si>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</si>
  <si>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</si>
  <si>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</si>
  <si>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</si>
  <si>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</si>
  <si>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</si>
  <si>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</si>
  <si>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</si>
  <si>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</si>
  <si>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</si>
  <si>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</si>
  <si>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</si>
  <si>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</si>
  <si>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</si>
  <si>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</si>
  <si>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</si>
  <si>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</si>
  <si>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</si>
  <si>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</si>
  <si>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</si>
  <si>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</si>
  <si>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</si>
  <si>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</si>
  <si>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</si>
  <si>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</si>
  <si>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</si>
  <si>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</si>
  <si>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</si>
  <si>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</si>
  <si>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</si>
  <si>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</si>
  <si>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</si>
  <si>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</si>
  <si>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</si>
  <si>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</si>
  <si>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</si>
  <si>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</si>
  <si>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</si>
  <si>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</si>
  <si>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</si>
  <si>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</si>
  <si>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</si>
  <si>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</si>
  <si>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</si>
  <si>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</si>
  <si>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</si>
  <si>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</si>
  <si>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</si>
  <si>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</si>
  <si>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</si>
  <si>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</si>
  <si>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</si>
  <si>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</si>
  <si>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</si>
  <si>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</si>
  <si>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</si>
  <si>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</si>
  <si>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</si>
  <si>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</si>
  <si>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</si>
  <si>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</si>
  <si>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</si>
  <si>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</si>
  <si>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</si>
  <si>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</si>
  <si>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</si>
  <si>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</si>
  <si>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</si>
  <si>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</si>
  <si>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</si>
  <si>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</si>
  <si>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</si>
  <si>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</si>
  <si>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</si>
  <si>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</si>
  <si>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</si>
  <si>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</si>
  <si>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</si>
  <si>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</si>
  <si>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</si>
  <si>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</si>
  <si>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</si>
  <si>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</si>
  <si>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</si>
  <si>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</si>
  <si>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</si>
  <si>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</si>
  <si>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</si>
  <si>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</si>
  <si>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</si>
  <si>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</si>
  <si>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</si>
  <si>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</si>
  <si>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</si>
  <si>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</si>
  <si>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</si>
  <si>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</si>
  <si>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</si>
  <si>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</si>
  <si>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</si>
  <si>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</si>
  <si>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</si>
  <si>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</si>
  <si>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</si>
  <si>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</si>
  <si>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</si>
  <si>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</si>
  <si>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</si>
  <si>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</si>
  <si>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</si>
  <si>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</si>
  <si>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</si>
  <si>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</si>
  <si>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</si>
  <si>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</si>
  <si>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</si>
  <si>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</si>
  <si>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</si>
  <si>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</si>
  <si>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</si>
  <si>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</si>
  <si>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</si>
  <si>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</si>
  <si>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</si>
  <si>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</si>
  <si>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</si>
  <si>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</si>
  <si>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</si>
  <si>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</si>
  <si>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</si>
  <si>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</si>
  <si>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</si>
  <si>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</si>
  <si>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</si>
  <si>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</si>
  <si>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</si>
  <si>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</si>
  <si>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</si>
  <si>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</si>
  <si>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</si>
  <si>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</si>
  <si>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</si>
  <si>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</si>
  <si>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</si>
  <si>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</si>
  <si>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</si>
  <si>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</si>
  <si>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</si>
  <si>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</si>
  <si>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</si>
  <si>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</si>
  <si>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</si>
  <si>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</si>
  <si>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</si>
  <si>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</si>
  <si>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</si>
  <si>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</si>
  <si>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</si>
  <si>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</si>
  <si>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</si>
  <si>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</si>
  <si>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</si>
  <si>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</si>
  <si>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</si>
  <si>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</si>
  <si>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</si>
  <si>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</si>
  <si>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</si>
  <si>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</si>
  <si>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</si>
  <si>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</si>
  <si>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</si>
  <si>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</si>
  <si>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</si>
  <si>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</si>
  <si>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</si>
  <si>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</si>
  <si>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</si>
  <si>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</si>
  <si>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</si>
  <si>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</si>
  <si>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</si>
  <si>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</si>
  <si>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</si>
  <si>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</si>
  <si>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</si>
  <si>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</si>
  <si>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</si>
  <si>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</si>
  <si>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</si>
  <si>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</si>
  <si>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</si>
  <si>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</si>
  <si>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</si>
  <si>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</si>
  <si>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</si>
  <si>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</si>
  <si>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</si>
  <si>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</si>
  <si>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</si>
  <si>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</si>
  <si>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</si>
  <si>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</si>
  <si>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</si>
  <si>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</si>
  <si>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</si>
  <si>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</si>
  <si>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</si>
  <si>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</si>
  <si>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</si>
  <si>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</si>
  <si>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</si>
  <si>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</si>
  <si>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</si>
  <si>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</si>
  <si>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</si>
  <si>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</si>
  <si>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</si>
  <si>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</si>
  <si>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</si>
  <si>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</si>
  <si>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</si>
  <si>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</si>
  <si>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</si>
  <si>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</si>
  <si>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</si>
  <si>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</si>
  <si>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</si>
  <si>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</si>
  <si>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</si>
  <si>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</si>
  <si>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</si>
  <si>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</si>
  <si>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</si>
  <si>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</si>
  <si>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</si>
  <si>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</si>
  <si>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</si>
  <si>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</si>
  <si>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</si>
  <si>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</si>
  <si>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</si>
  <si>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</si>
  <si>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</si>
  <si>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</si>
  <si>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</si>
  <si>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</si>
  <si>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</si>
  <si>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</si>
  <si>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</si>
  <si>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</si>
  <si>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</si>
  <si>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</si>
  <si>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</si>
  <si>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</si>
  <si>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</si>
  <si>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</si>
  <si>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</si>
  <si>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</si>
  <si>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</si>
  <si>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</si>
  <si>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</si>
  <si>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</si>
  <si>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</si>
  <si>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</si>
  <si>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</si>
  <si>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</si>
  <si>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</si>
  <si>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</si>
  <si>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</si>
  <si>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</si>
  <si>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</si>
  <si>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</si>
  <si>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</si>
  <si>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</si>
  <si>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</si>
  <si>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</si>
  <si>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</si>
  <si>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</si>
  <si>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</si>
  <si>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</si>
  <si>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</si>
  <si>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</si>
  <si>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</si>
  <si>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</si>
  <si>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</si>
  <si>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</si>
  <si>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</si>
  <si>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</si>
  <si>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</si>
  <si>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</si>
  <si>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</si>
  <si>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</si>
  <si>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</si>
  <si>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</si>
  <si>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</si>
  <si>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</si>
  <si>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</si>
  <si>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</si>
  <si>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</si>
  <si>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</si>
  <si>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</si>
  <si>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</si>
  <si>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</si>
  <si>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</si>
  <si>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</si>
  <si>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</si>
  <si>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</si>
  <si>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</si>
  <si>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</si>
  <si>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</si>
  <si>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</si>
  <si>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</si>
  <si>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</si>
  <si>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</si>
  <si>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</si>
  <si>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</si>
  <si>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</si>
  <si>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</si>
  <si>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</si>
  <si>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</si>
  <si>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</si>
  <si>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</si>
  <si>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</si>
  <si>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</si>
  <si>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</si>
  <si>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</si>
  <si>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</si>
  <si>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</si>
  <si>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</si>
  <si>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</si>
  <si>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</si>
  <si>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</si>
  <si>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</si>
  <si>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</si>
  <si>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</si>
  <si>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</si>
  <si>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</si>
  <si>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</si>
  <si>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</si>
  <si>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</si>
  <si>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</si>
  <si>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</si>
  <si>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</si>
  <si>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</si>
  <si>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</si>
  <si>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</si>
  <si>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</si>
  <si>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</si>
  <si>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</si>
  <si>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</si>
  <si>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</si>
  <si>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</si>
  <si>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</si>
  <si>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</si>
  <si>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</si>
  <si>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</si>
  <si>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</si>
  <si>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</si>
  <si>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</si>
  <si>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</si>
  <si>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</si>
  <si>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</si>
  <si>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</si>
  <si>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</si>
  <si>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</si>
  <si>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</si>
  <si>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</si>
  <si>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</si>
  <si>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</si>
  <si>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</si>
  <si>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</si>
  <si>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</si>
  <si>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</si>
  <si>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</si>
  <si>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</si>
  <si>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</si>
  <si>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</si>
  <si>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</si>
  <si>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</si>
  <si>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</si>
  <si>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</si>
  <si>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</si>
  <si>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</si>
  <si>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</si>
  <si>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</si>
  <si>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</si>
  <si>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</si>
  <si>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</si>
  <si>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</si>
  <si>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</si>
  <si>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</si>
  <si>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</si>
  <si>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</si>
  <si>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</si>
  <si>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</si>
  <si>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</si>
  <si>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</si>
  <si>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</si>
  <si>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</si>
  <si>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</si>
  <si>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</si>
  <si>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</si>
  <si>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</si>
  <si>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</si>
  <si>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</si>
  <si>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</si>
  <si>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</si>
  <si>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</si>
  <si>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</si>
  <si>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</si>
  <si>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</si>
  <si>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</si>
  <si>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</si>
  <si>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</si>
  <si>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</si>
  <si>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</si>
  <si>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</si>
  <si>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</si>
  <si>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</si>
  <si>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</si>
  <si>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</si>
  <si>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</si>
  <si>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</si>
  <si>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</si>
  <si>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</si>
  <si>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</si>
  <si>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</si>
  <si>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</si>
  <si>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</si>
  <si>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</si>
  <si>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</si>
  <si>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</si>
  <si>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</si>
  <si>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</si>
  <si>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</si>
  <si>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</si>
  <si>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</si>
  <si>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</si>
  <si>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</si>
  <si>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</si>
  <si>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</si>
  <si>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</si>
  <si>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</si>
  <si>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</si>
  <si>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</si>
  <si>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</si>
  <si>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</si>
  <si>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</si>
  <si>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</si>
  <si>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</si>
  <si>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</si>
  <si>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</si>
  <si>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</si>
  <si>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</si>
  <si>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</si>
  <si>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</si>
  <si>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</si>
  <si>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</si>
  <si>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</si>
  <si>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</si>
  <si>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</si>
  <si>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</si>
  <si>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</si>
  <si>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</si>
  <si>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</si>
  <si>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</si>
  <si>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</si>
  <si>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</si>
  <si>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</si>
  <si>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</si>
  <si>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</si>
  <si>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</si>
  <si>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</si>
  <si>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</si>
  <si>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</si>
  <si>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</si>
  <si>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</si>
  <si>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</si>
  <si>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</si>
  <si>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</si>
  <si>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</si>
  <si>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</si>
  <si>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</si>
  <si>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</si>
  <si>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</si>
  <si>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</si>
  <si>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</si>
  <si>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</si>
  <si>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</si>
  <si>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</si>
  <si>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</si>
  <si>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</si>
  <si>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</si>
  <si>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</si>
  <si>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</si>
  <si>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</si>
  <si>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</si>
  <si>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</si>
  <si>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</si>
  <si>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</si>
  <si>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</si>
  <si>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</si>
  <si>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</si>
  <si>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</si>
  <si>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</si>
  <si>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</si>
  <si>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</si>
  <si>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</si>
  <si>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</si>
  <si>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</si>
  <si>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</si>
  <si>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</si>
  <si>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</si>
  <si>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</si>
  <si>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</si>
  <si>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</si>
  <si>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</si>
  <si>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</si>
  <si>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</si>
  <si>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</si>
  <si>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</si>
  <si>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</si>
  <si>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</si>
  <si>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</si>
  <si>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</si>
  <si>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</si>
  <si>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</si>
  <si>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</si>
  <si>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</si>
  <si>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</si>
  <si>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</si>
  <si>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</si>
  <si>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</si>
  <si>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</si>
  <si>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</si>
  <si>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</si>
  <si>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</si>
  <si>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</si>
  <si>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</si>
  <si>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</si>
  <si>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</si>
  <si>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</si>
  <si>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</si>
  <si>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</si>
  <si>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</si>
  <si>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</si>
  <si>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</si>
  <si>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</si>
  <si>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</si>
  <si>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</si>
  <si>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</si>
  <si>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</si>
  <si>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</si>
  <si>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</si>
  <si>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</si>
  <si>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</si>
  <si>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</si>
  <si>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</si>
  <si>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</si>
  <si>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</si>
  <si>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</si>
  <si>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</si>
  <si>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</si>
  <si>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</si>
  <si>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</si>
  <si>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</si>
  <si>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</si>
  <si>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</si>
  <si>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</si>
  <si>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</si>
  <si>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</si>
  <si>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</si>
  <si>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</si>
  <si>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</si>
  <si>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</si>
  <si>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</si>
  <si>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</si>
  <si>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</si>
  <si>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</si>
  <si>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</si>
  <si>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</si>
  <si>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</si>
  <si>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</si>
  <si>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</si>
  <si>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</si>
  <si>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</si>
  <si>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</si>
  <si>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</si>
  <si>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</si>
  <si>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</si>
  <si>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</si>
  <si>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</si>
  <si>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</si>
  <si>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</si>
  <si>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</si>
  <si>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</si>
  <si>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</si>
  <si>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</si>
  <si>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</si>
  <si>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</si>
  <si>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</si>
  <si>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</si>
  <si>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</si>
  <si>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</si>
  <si>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</si>
  <si>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</si>
  <si>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</si>
  <si>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</si>
  <si>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</si>
  <si>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</si>
  <si>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</si>
  <si>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</si>
  <si>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</si>
  <si>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</si>
  <si>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</si>
  <si>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</si>
  <si>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</si>
  <si>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</si>
  <si>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</si>
  <si>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</si>
  <si>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</si>
  <si>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</si>
  <si>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</si>
  <si>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</si>
  <si>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</si>
  <si>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</si>
  <si>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</si>
  <si>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</si>
  <si>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</si>
  <si>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</si>
  <si>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</si>
  <si>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</si>
  <si>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</si>
  <si>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</si>
  <si>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</si>
  <si>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</si>
  <si>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</si>
  <si>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</si>
  <si>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</si>
  <si>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</si>
  <si>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</si>
  <si>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</si>
  <si>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</si>
  <si>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</si>
  <si>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</si>
  <si>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</si>
  <si>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</si>
  <si>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</si>
  <si>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</si>
  <si>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</si>
  <si>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</si>
  <si>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</si>
  <si>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</si>
  <si>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</si>
  <si>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</si>
  <si>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</si>
  <si>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</si>
  <si>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</si>
  <si>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</si>
  <si>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</si>
  <si>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</si>
  <si>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</si>
  <si>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</si>
  <si>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</si>
  <si>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</si>
  <si>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</si>
  <si>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</si>
  <si>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</si>
  <si>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</si>
  <si>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</si>
  <si>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</si>
  <si>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</si>
  <si>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</si>
  <si>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</si>
  <si>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</si>
  <si>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</si>
  <si>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</si>
  <si>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</si>
  <si>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</si>
  <si>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</si>
  <si>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</si>
  <si>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</si>
  <si>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</si>
  <si>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</si>
  <si>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</si>
  <si>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</si>
  <si>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</si>
  <si>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</si>
  <si>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</si>
  <si>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</si>
  <si>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</si>
  <si>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</si>
  <si>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</si>
  <si>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</si>
  <si>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</si>
  <si>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</si>
  <si>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</si>
  <si>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</si>
  <si>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</si>
  <si>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</si>
  <si>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</si>
  <si>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</si>
  <si>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</si>
  <si>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</si>
  <si>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</si>
  <si>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</si>
  <si>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</si>
  <si>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</si>
  <si>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</si>
  <si>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</si>
  <si>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</si>
  <si>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</si>
  <si>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</si>
  <si>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</si>
  <si>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</si>
  <si>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</si>
  <si>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</si>
  <si>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</si>
  <si>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</si>
  <si>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</si>
  <si>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</si>
  <si>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</si>
  <si>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</si>
  <si>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</si>
  <si>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</si>
  <si>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</si>
  <si>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</si>
  <si>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</si>
  <si>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</si>
  <si>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</si>
  <si>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</si>
  <si>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</si>
  <si>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</si>
  <si>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</si>
  <si>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</si>
  <si>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</si>
  <si>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</si>
  <si>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</si>
  <si>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</si>
  <si>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</si>
  <si>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</si>
  <si>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</si>
  <si>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</si>
  <si>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</si>
  <si>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</si>
  <si>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</si>
  <si>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</si>
  <si>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</si>
  <si>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</si>
  <si>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</si>
  <si>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</si>
  <si>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</si>
  <si>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</si>
  <si>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</si>
  <si>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</si>
  <si>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</si>
  <si>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</si>
  <si>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</si>
  <si>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</si>
  <si>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</si>
  <si>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</si>
  <si>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</si>
  <si>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</si>
  <si>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</si>
  <si>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</si>
  <si>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</si>
  <si>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</si>
  <si>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</si>
  <si>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</si>
  <si>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</si>
  <si>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</si>
  <si>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</si>
  <si>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</si>
  <si>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</si>
  <si>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</si>
  <si>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</si>
  <si>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</si>
  <si>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</si>
  <si>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</si>
  <si>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</si>
  <si>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</si>
  <si>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</si>
  <si>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</si>
  <si>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</si>
  <si>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</si>
  <si>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</si>
  <si>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</si>
  <si>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</si>
  <si>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</si>
  <si>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</si>
  <si>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</si>
  <si>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</si>
  <si>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</si>
  <si>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</si>
  <si>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</si>
  <si>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</si>
  <si>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</si>
  <si>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</si>
  <si>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</si>
  <si>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</si>
  <si>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</si>
  <si>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</si>
  <si>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</si>
  <si>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</si>
  <si>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</si>
  <si>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</si>
  <si>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</si>
  <si>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</si>
  <si>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</si>
  <si>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</si>
  <si>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</si>
  <si>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</si>
  <si>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</si>
  <si>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</si>
  <si>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</si>
  <si>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</si>
  <si>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</si>
  <si>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</si>
  <si>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</si>
  <si>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</si>
  <si>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</si>
  <si>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</si>
  <si>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</si>
  <si>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</si>
  <si>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</si>
  <si>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</si>
  <si>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</si>
  <si>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</si>
  <si>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</si>
  <si>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</si>
  <si>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</si>
  <si>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</si>
  <si>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</si>
  <si>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</si>
  <si>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</si>
  <si>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</si>
  <si>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</si>
  <si>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</si>
  <si>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</si>
  <si>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</si>
  <si>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</si>
  <si>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</si>
  <si>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</si>
  <si>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</si>
  <si>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</si>
  <si>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</si>
  <si>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</si>
  <si>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</si>
  <si>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</si>
  <si>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</si>
  <si>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</si>
  <si>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</si>
  <si>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</si>
  <si>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</si>
  <si>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</si>
  <si>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</si>
  <si>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</si>
  <si>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</si>
  <si>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</si>
  <si>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</si>
  <si>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</si>
  <si>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</si>
  <si>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</si>
  <si>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</si>
  <si>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</si>
  <si>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</si>
  <si>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</si>
  <si>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</si>
  <si>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</si>
  <si>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</si>
  <si>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</si>
  <si>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</si>
  <si>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</si>
  <si>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</si>
  <si>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</si>
  <si>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</si>
  <si>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</si>
  <si>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</si>
  <si>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</si>
  <si>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</si>
  <si>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</si>
  <si>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</si>
  <si>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</si>
  <si>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</si>
  <si>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</si>
  <si>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</si>
  <si>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</si>
  <si>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</si>
  <si>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</si>
  <si>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</si>
  <si>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</si>
  <si>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</si>
  <si>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</si>
  <si>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</si>
  <si>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</si>
  <si>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</si>
  <si>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</si>
  <si>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</si>
  <si>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</si>
  <si>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</si>
  <si>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</si>
  <si>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</si>
  <si>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</si>
  <si>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</si>
  <si>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</si>
  <si>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</si>
  <si>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</si>
  <si>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</si>
  <si>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</si>
  <si>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</si>
  <si>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</si>
  <si>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</si>
  <si>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</si>
  <si>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</si>
  <si>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</si>
  <si>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</si>
  <si>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</si>
  <si>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</si>
  <si>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</si>
  <si>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</si>
  <si>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</si>
  <si>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</si>
  <si>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</si>
  <si>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</si>
  <si>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</si>
  <si>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</si>
  <si>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</si>
  <si>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</si>
  <si>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</si>
  <si>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</si>
  <si>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</si>
  <si>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</si>
  <si>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</si>
  <si>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</si>
  <si>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</si>
  <si>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</si>
  <si>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</si>
  <si>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</si>
  <si>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</si>
  <si>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</si>
  <si>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</si>
  <si>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</si>
  <si>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</si>
  <si>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</si>
  <si>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</si>
  <si>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</si>
  <si>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</si>
  <si>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</si>
  <si>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</si>
  <si>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</si>
  <si>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</si>
  <si>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</si>
  <si>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</si>
  <si>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</si>
  <si>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</si>
  <si>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</si>
  <si>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</si>
  <si>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</si>
  <si>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</si>
  <si>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</si>
  <si>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</si>
  <si>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</si>
  <si>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</si>
  <si>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</si>
  <si>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</si>
  <si>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</si>
  <si>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</si>
  <si>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</si>
  <si>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</si>
  <si>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</si>
  <si>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</si>
  <si>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</si>
  <si>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</si>
  <si>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</si>
  <si>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</si>
  <si>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</si>
  <si>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</si>
  <si>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</si>
  <si>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</si>
  <si>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</si>
  <si>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</si>
  <si>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</si>
  <si>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</si>
  <si>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</si>
  <si>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</si>
  <si>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</si>
  <si>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</si>
  <si>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</si>
  <si>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</si>
  <si>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</si>
  <si>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</si>
  <si>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</si>
  <si>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</si>
  <si>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</si>
  <si>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</si>
  <si>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</si>
  <si>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</si>
  <si>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</si>
  <si>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</si>
  <si>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</si>
  <si>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</si>
  <si>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</si>
  <si>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</si>
  <si>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</si>
  <si>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</si>
  <si>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</si>
  <si>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</si>
  <si>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</si>
  <si>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</si>
  <si>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</si>
  <si>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</si>
  <si>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</si>
  <si>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</si>
  <si>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</si>
  <si>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</si>
  <si>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</si>
  <si>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</si>
  <si>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</si>
  <si>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</si>
  <si>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</si>
  <si>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</si>
  <si>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</si>
  <si>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</si>
  <si>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</si>
  <si>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</si>
  <si>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</si>
  <si>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</si>
  <si>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</si>
  <si>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</si>
  <si>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</si>
  <si>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</si>
  <si>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</si>
  <si>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</si>
  <si>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</si>
  <si>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</si>
  <si>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</si>
  <si>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</si>
  <si>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</si>
  <si>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</si>
  <si>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</si>
  <si>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</si>
  <si>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</si>
  <si>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</si>
  <si>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</si>
  <si>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</si>
  <si>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</si>
  <si>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</si>
  <si>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</si>
  <si>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</si>
  <si>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</si>
  <si>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</si>
  <si>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</si>
  <si>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</si>
  <si>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</si>
  <si>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</si>
  <si>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</si>
  <si>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</si>
  <si>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</si>
  <si>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</si>
  <si>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</si>
  <si>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</si>
  <si>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</si>
  <si>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</si>
  <si>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</si>
  <si>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</si>
  <si>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</si>
  <si>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</si>
  <si>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</si>
  <si>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</si>
  <si>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</si>
  <si>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</si>
  <si>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</si>
  <si>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</si>
  <si>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</si>
  <si>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</si>
  <si>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</si>
  <si>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</si>
  <si>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</si>
  <si>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</si>
  <si>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</si>
  <si>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</si>
  <si>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</si>
  <si>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</si>
  <si>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</si>
  <si>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</si>
  <si>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</si>
  <si>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</si>
  <si>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</si>
  <si>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</si>
  <si>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</si>
  <si>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</si>
  <si>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</si>
  <si>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</si>
  <si>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</si>
  <si>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</si>
  <si>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</si>
  <si>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</si>
  <si>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</si>
  <si>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</si>
  <si>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</si>
  <si>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</si>
  <si>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</si>
  <si>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</si>
  <si>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</si>
  <si>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</si>
  <si>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</si>
  <si>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</si>
  <si>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</si>
  <si>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</si>
  <si>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</si>
  <si>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</si>
  <si>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</si>
  <si>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</si>
  <si>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</si>
  <si>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</si>
  <si>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</si>
  <si>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</si>
  <si>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</si>
  <si>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</si>
  <si>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</si>
  <si>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</si>
  <si>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</si>
  <si>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</si>
  <si>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</si>
  <si>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</si>
  <si>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</si>
  <si>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</si>
  <si>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</si>
  <si>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</si>
  <si>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</si>
  <si>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</si>
  <si>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</si>
  <si>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</si>
  <si>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</si>
  <si>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</si>
  <si>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</si>
  <si>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</si>
  <si>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</si>
  <si>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</si>
  <si>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</si>
  <si>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</si>
  <si>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</si>
  <si>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</si>
  <si>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</si>
  <si>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</si>
  <si>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</si>
  <si>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</si>
  <si>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</si>
  <si>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</si>
  <si>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</si>
  <si>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</si>
  <si>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</si>
  <si>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</si>
  <si>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</si>
  <si>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</si>
  <si>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</si>
  <si>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</si>
  <si>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</si>
  <si>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</si>
  <si>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</si>
  <si>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</si>
  <si>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</si>
  <si>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</si>
  <si>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</si>
  <si>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</si>
  <si>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</si>
  <si>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</si>
  <si>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</si>
  <si>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</si>
  <si>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</si>
  <si>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</si>
  <si>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</si>
  <si>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</si>
  <si>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</si>
  <si>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</si>
  <si>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</si>
  <si>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</si>
  <si>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</si>
  <si>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</si>
  <si>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</si>
  <si>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</si>
  <si>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</si>
  <si>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</si>
  <si>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</si>
  <si>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</si>
  <si>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</si>
  <si>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</si>
  <si>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</si>
  <si>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</si>
  <si>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</si>
  <si>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</si>
  <si>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</si>
  <si>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</si>
  <si>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</si>
  <si>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</si>
  <si>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</si>
  <si>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</si>
  <si>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</si>
  <si>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</si>
  <si>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</si>
  <si>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</si>
  <si>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</si>
  <si>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</si>
  <si>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</si>
  <si>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</si>
  <si>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</si>
  <si>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</si>
  <si>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</si>
  <si>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</si>
  <si>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</si>
  <si>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</si>
  <si>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</si>
  <si>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</si>
  <si>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</si>
  <si>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</si>
  <si>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</si>
  <si>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</si>
  <si>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</si>
  <si>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</si>
  <si>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</si>
  <si>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</si>
  <si>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</si>
  <si>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</si>
  <si>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</si>
  <si>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</si>
  <si>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</si>
  <si>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</si>
  <si>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</si>
  <si>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</si>
  <si>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</si>
  <si>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</si>
  <si>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</si>
  <si>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</si>
  <si>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</si>
  <si>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</si>
  <si>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</si>
  <si>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</si>
  <si>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</si>
  <si>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</si>
  <si>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</si>
  <si>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</si>
  <si>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</si>
  <si>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</si>
  <si>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</si>
  <si>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</si>
  <si>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</si>
  <si>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</si>
  <si>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</si>
  <si>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</si>
  <si>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</si>
  <si>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</si>
  <si>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</si>
  <si>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</si>
  <si>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</si>
  <si>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</si>
  <si>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</si>
  <si>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</si>
  <si>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</si>
  <si>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</si>
  <si>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</si>
  <si>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</si>
  <si>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</si>
  <si>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</si>
  <si>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</si>
  <si>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</si>
  <si>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</si>
  <si>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</si>
  <si>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</si>
  <si>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</si>
  <si>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</si>
  <si>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</si>
  <si>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</si>
  <si>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</si>
  <si>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</si>
  <si>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</si>
  <si>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</si>
  <si>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</si>
  <si>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</si>
  <si>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</si>
  <si>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</si>
  <si>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</si>
  <si>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</si>
  <si>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</si>
  <si>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</si>
  <si>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</si>
  <si>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</si>
  <si>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</si>
  <si>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</si>
  <si>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</si>
  <si>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</si>
  <si>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</si>
  <si>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</si>
  <si>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</si>
  <si>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</si>
  <si>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</si>
  <si>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</si>
  <si>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</si>
  <si>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</si>
  <si>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</si>
  <si>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</si>
  <si>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</si>
  <si>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</si>
  <si>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</si>
  <si>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</si>
  <si>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</si>
  <si>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</si>
  <si>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</si>
  <si>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</si>
  <si>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</si>
  <si>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</si>
  <si>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</si>
  <si>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</si>
  <si>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</si>
  <si>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</si>
  <si>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</si>
  <si>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</si>
  <si>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</si>
  <si>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</si>
  <si>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</si>
  <si>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</si>
  <si>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</si>
  <si>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</si>
  <si>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</si>
  <si>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</si>
  <si>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</si>
  <si>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</si>
  <si>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</si>
  <si>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</si>
  <si>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</si>
  <si>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</si>
  <si>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</si>
  <si>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</si>
  <si>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</si>
  <si>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</si>
  <si>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</si>
  <si>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</si>
  <si>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</si>
  <si>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</si>
  <si>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</si>
  <si>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</si>
  <si>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</si>
  <si>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</si>
  <si>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</si>
  <si>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</si>
  <si>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</si>
  <si>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</si>
  <si>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</si>
  <si>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</si>
  <si>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</si>
  <si>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</si>
  <si>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</si>
  <si>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</si>
  <si>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</si>
  <si>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</si>
  <si>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</si>
  <si>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</si>
  <si>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</si>
  <si>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</si>
  <si>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</si>
  <si>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</si>
  <si>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</si>
  <si>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</si>
  <si>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</si>
  <si>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</si>
  <si>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</si>
  <si>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</si>
  <si>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</si>
  <si>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</si>
  <si>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</si>
  <si>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</si>
  <si>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</si>
  <si>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</si>
  <si>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</si>
  <si>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</si>
  <si>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</si>
  <si>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</si>
  <si>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</si>
  <si>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</si>
  <si>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</si>
  <si>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</si>
  <si>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</si>
  <si>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</si>
  <si>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</si>
  <si>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</si>
  <si>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</si>
  <si>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</si>
  <si>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</si>
  <si>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</si>
  <si>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</si>
  <si>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</si>
  <si>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</si>
  <si>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</si>
  <si>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</si>
  <si>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</si>
  <si>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</si>
  <si>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</si>
  <si>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</si>
  <si>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</si>
  <si>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</si>
  <si>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</si>
  <si>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</si>
  <si>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</si>
  <si>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</si>
  <si>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</si>
  <si>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</si>
  <si>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</si>
  <si>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</si>
  <si>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</si>
  <si>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</si>
  <si>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</si>
  <si>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</si>
  <si>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</si>
  <si>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</si>
  <si>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</si>
  <si>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</si>
  <si>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</si>
  <si>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</si>
  <si>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</si>
  <si>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</si>
  <si>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</si>
  <si>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</si>
  <si>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</si>
  <si>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</si>
  <si>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</si>
  <si>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</si>
  <si>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</si>
  <si>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</si>
  <si>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</si>
  <si>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</si>
  <si>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</si>
  <si>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</si>
  <si>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</si>
  <si>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</si>
  <si>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</si>
  <si>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</si>
  <si>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</si>
  <si>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</si>
  <si>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</si>
  <si>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</si>
  <si>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</si>
  <si>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</si>
  <si>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</si>
  <si>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</si>
  <si>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</si>
  <si>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</si>
  <si>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</si>
  <si>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</si>
  <si>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</si>
  <si>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</si>
  <si>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</si>
  <si>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</si>
  <si>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</si>
  <si>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</si>
  <si>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</si>
  <si>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</si>
  <si>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</si>
  <si>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</si>
  <si>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</si>
  <si>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</si>
  <si>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</si>
  <si>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</si>
  <si>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</si>
  <si>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</si>
  <si>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</si>
  <si>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</si>
  <si>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</si>
  <si>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</si>
  <si>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</si>
  <si>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</si>
  <si>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</si>
  <si>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</si>
  <si>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</si>
  <si>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</si>
  <si>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</si>
  <si>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</si>
  <si>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</si>
  <si>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</si>
  <si>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</si>
  <si>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</si>
  <si>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</si>
  <si>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</si>
  <si>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</si>
  <si>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</si>
  <si>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</si>
  <si>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</si>
  <si>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</si>
  <si>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</si>
  <si>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</si>
  <si>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</si>
  <si>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</si>
  <si>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</si>
  <si>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</si>
  <si>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</si>
  <si>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</si>
  <si>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</si>
  <si>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</si>
  <si>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</si>
  <si>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</si>
  <si>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</si>
  <si>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</si>
  <si>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</si>
  <si>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</si>
  <si>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</si>
  <si>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</si>
  <si>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</si>
  <si>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</si>
  <si>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</si>
  <si>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</si>
  <si>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</si>
  <si>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</si>
  <si>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</si>
  <si>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</si>
  <si>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</si>
  <si>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</si>
  <si>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</si>
  <si>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</si>
  <si>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</si>
  <si>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</si>
  <si>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</si>
  <si>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</si>
  <si>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</si>
  <si>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</si>
  <si>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</si>
  <si>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</si>
  <si>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</si>
  <si>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</si>
  <si>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</si>
  <si>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</si>
  <si>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</si>
  <si>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</si>
  <si>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</si>
  <si>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</si>
  <si>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</si>
  <si>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</si>
  <si>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</si>
  <si>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</si>
  <si>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</si>
  <si>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</si>
  <si>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</si>
  <si>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</si>
  <si>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</si>
  <si>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</si>
  <si>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</si>
  <si>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</si>
  <si>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</si>
  <si>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</si>
  <si>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</si>
  <si>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</si>
  <si>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</si>
  <si>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</si>
  <si>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</si>
  <si>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</si>
  <si>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</si>
  <si>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</si>
  <si>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</si>
  <si>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</si>
  <si>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</si>
  <si>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</si>
  <si>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</si>
  <si>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</si>
  <si>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</si>
  <si>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</si>
  <si>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</si>
  <si>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</si>
  <si>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</si>
  <si>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</si>
  <si>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</si>
  <si>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</si>
  <si>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</si>
  <si>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</si>
  <si>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</si>
  <si>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</si>
  <si>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</si>
  <si>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</si>
  <si>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</si>
  <si>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</si>
  <si>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</si>
  <si>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</si>
  <si>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</si>
  <si>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</si>
  <si>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</si>
  <si>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</si>
  <si>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</si>
  <si>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</si>
  <si>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</si>
  <si>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</si>
  <si>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</si>
  <si>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</si>
  <si>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</si>
  <si>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</si>
  <si>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</si>
  <si>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</si>
  <si>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</si>
  <si>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</si>
  <si>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</si>
  <si>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</si>
  <si>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</si>
  <si>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</si>
  <si>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</si>
  <si>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</si>
  <si>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</si>
  <si>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</si>
  <si>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</si>
  <si>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</si>
  <si>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</si>
  <si>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</si>
  <si>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</si>
  <si>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</si>
  <si>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</si>
  <si>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</si>
  <si>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</si>
  <si>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</si>
  <si>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</si>
  <si>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</si>
  <si>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</si>
  <si>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</si>
  <si>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</si>
  <si>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</si>
  <si>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</si>
  <si>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</si>
  <si>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</si>
  <si>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</si>
  <si>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</si>
  <si>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</si>
  <si>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</si>
  <si>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</si>
  <si>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</si>
  <si>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</si>
  <si>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</si>
  <si>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</si>
  <si>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</si>
  <si>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</si>
  <si>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</si>
  <si>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</si>
  <si>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</si>
  <si>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</si>
  <si>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</si>
  <si>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</si>
  <si>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</si>
  <si>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</si>
  <si>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</si>
  <si>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</si>
  <si>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</si>
  <si>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</si>
  <si>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</si>
  <si>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</si>
  <si>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</si>
  <si>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</si>
  <si>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</si>
  <si>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</si>
  <si>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</si>
  <si>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</si>
  <si>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</si>
  <si>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</si>
  <si>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</si>
  <si>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</si>
  <si>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</si>
  <si>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</si>
  <si>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</si>
  <si>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</si>
  <si>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</si>
  <si>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</si>
  <si>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</si>
  <si>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</si>
  <si>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</si>
  <si>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</si>
  <si>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</si>
  <si>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</si>
  <si>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</si>
  <si>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</si>
  <si>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</si>
  <si>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</si>
  <si>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</si>
  <si>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</si>
  <si>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</si>
  <si>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</si>
  <si>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</si>
  <si>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</si>
  <si>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</si>
  <si>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</si>
  <si>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</si>
  <si>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</si>
  <si>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</si>
  <si>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</si>
  <si>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</si>
  <si>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</si>
  <si>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</si>
  <si>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</si>
  <si>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</si>
  <si>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</si>
  <si>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</si>
  <si>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</si>
  <si>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</si>
  <si>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</si>
  <si>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</si>
  <si>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</si>
  <si>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</si>
  <si>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</si>
  <si>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</si>
  <si>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</si>
  <si>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</si>
  <si>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</si>
  <si>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</si>
  <si>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</si>
  <si>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</si>
  <si>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</si>
  <si>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</si>
  <si>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</si>
  <si>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</si>
  <si>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</si>
  <si>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</si>
  <si>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</si>
  <si>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</si>
  <si>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</si>
  <si>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</si>
  <si>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</si>
  <si>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</si>
  <si>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</si>
  <si>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</si>
  <si>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</si>
  <si>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</si>
  <si>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</si>
  <si>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</si>
  <si>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</si>
  <si>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</si>
  <si>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</si>
  <si>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</si>
  <si>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</si>
  <si>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</si>
  <si>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</si>
  <si>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</si>
  <si>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</si>
  <si>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</si>
  <si>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</si>
  <si>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</si>
  <si>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</si>
  <si>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</si>
  <si>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</si>
  <si>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</si>
  <si>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</si>
  <si>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</si>
  <si>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</si>
  <si>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</si>
  <si>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</si>
  <si>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</si>
  <si>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</si>
  <si>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</si>
  <si>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</si>
  <si>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</si>
  <si>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</si>
  <si>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</si>
  <si>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</si>
  <si>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</si>
  <si>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</si>
  <si>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</si>
  <si>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</si>
  <si>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</si>
  <si>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</si>
  <si>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</si>
  <si>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</si>
  <si>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</si>
  <si>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</si>
  <si>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</si>
  <si>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</si>
  <si>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</si>
  <si>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</si>
  <si>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</si>
  <si>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</si>
  <si>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</si>
  <si>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</si>
  <si>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</si>
  <si>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</si>
  <si>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</si>
  <si>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</si>
  <si>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</si>
  <si>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</si>
  <si>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</si>
  <si>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</si>
  <si>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</si>
  <si>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</si>
  <si>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</si>
  <si>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</si>
  <si>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</si>
  <si>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</si>
  <si>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</si>
  <si>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</si>
  <si>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</si>
  <si>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</si>
  <si>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</si>
  <si>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</si>
  <si>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</si>
  <si>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</si>
  <si>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</si>
  <si>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</si>
  <si>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</si>
  <si>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</si>
  <si>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</si>
  <si>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</si>
  <si>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</si>
  <si>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</si>
  <si>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</si>
  <si>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</si>
  <si>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</si>
  <si>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</si>
  <si>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</si>
  <si>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</si>
  <si>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</si>
  <si>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</si>
  <si>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</si>
  <si>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</si>
  <si>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</si>
  <si>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</si>
  <si>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</si>
  <si>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</si>
  <si>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</si>
  <si>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</si>
  <si>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</si>
  <si>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</si>
  <si>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</si>
  <si>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</si>
  <si>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</si>
  <si>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</si>
  <si>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</si>
  <si>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</si>
  <si>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</si>
  <si>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</si>
  <si>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</si>
  <si>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</si>
  <si>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</si>
  <si>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</si>
  <si>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</si>
  <si>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</si>
  <si>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</si>
  <si>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</si>
  <si>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</si>
  <si>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</si>
  <si>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</si>
  <si>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</si>
  <si>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</si>
  <si>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</si>
  <si>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</si>
  <si>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</si>
  <si>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</si>
  <si>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</si>
  <si>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</si>
  <si>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</si>
  <si>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</si>
  <si>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</si>
  <si>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</si>
  <si>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</si>
  <si>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</si>
  <si>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</si>
  <si>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</si>
  <si>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</si>
  <si>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</si>
  <si>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</si>
  <si>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</si>
  <si>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</si>
  <si>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</si>
  <si>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</si>
  <si>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</si>
  <si>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</si>
  <si>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</si>
  <si>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</si>
  <si>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</si>
  <si>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</si>
  <si>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</si>
  <si>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</si>
  <si>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</si>
  <si>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</si>
  <si>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</si>
  <si>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</si>
  <si>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</si>
  <si>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</si>
  <si>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</si>
  <si>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</si>
  <si>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</si>
  <si>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</si>
  <si>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</si>
  <si>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</si>
  <si>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</si>
  <si>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</si>
  <si>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</si>
  <si>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</si>
  <si>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</si>
  <si>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</si>
  <si>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</si>
  <si>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</si>
  <si>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</si>
  <si>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</si>
  <si>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</si>
  <si>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</si>
  <si>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</si>
  <si>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</si>
  <si>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</si>
  <si>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</si>
  <si>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</si>
  <si>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</si>
  <si>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</si>
  <si>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</si>
  <si>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</si>
  <si>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</si>
  <si>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</si>
  <si>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</si>
  <si>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</si>
  <si>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</si>
  <si>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</si>
  <si>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</si>
  <si>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</si>
  <si>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</si>
  <si>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</si>
  <si>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</si>
  <si>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</si>
  <si>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</si>
  <si>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</si>
  <si>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</si>
  <si>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</si>
  <si>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</si>
  <si>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</si>
  <si>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</si>
  <si>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</si>
  <si>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</si>
  <si>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</si>
  <si>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</si>
  <si>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</si>
  <si>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</si>
  <si>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</si>
  <si>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</si>
  <si>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</si>
  <si>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</si>
  <si>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</si>
  <si>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</si>
  <si>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</si>
  <si>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</si>
  <si>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</si>
  <si>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</si>
  <si>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</si>
  <si>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</si>
  <si>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</si>
  <si>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</si>
  <si>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</si>
  <si>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</si>
  <si>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</si>
  <si>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</si>
  <si>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</si>
  <si>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</si>
  <si>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</si>
  <si>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</si>
  <si>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</si>
  <si>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</si>
  <si>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</si>
  <si>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</si>
  <si>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</si>
  <si>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</si>
  <si>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</si>
  <si>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</si>
  <si>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</si>
  <si>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</si>
  <si>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</si>
  <si>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</si>
  <si>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</si>
  <si>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</si>
  <si>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</si>
  <si>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</si>
  <si>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</si>
  <si>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</si>
  <si>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</si>
  <si>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</si>
  <si>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</si>
  <si>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</si>
  <si>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</si>
  <si>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</si>
  <si>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</si>
  <si>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</si>
  <si>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</si>
  <si>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</si>
  <si>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</si>
  <si>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</si>
  <si>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</si>
  <si>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</si>
  <si>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</si>
  <si>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</si>
  <si>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</si>
  <si>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</si>
  <si>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</si>
  <si>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</si>
  <si>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</si>
  <si>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</si>
  <si>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</si>
  <si>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</si>
  <si>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</si>
  <si>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</si>
  <si>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</si>
  <si>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</si>
  <si>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</si>
  <si>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</si>
  <si>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</si>
  <si>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</si>
  <si>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</si>
  <si>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</si>
  <si>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</si>
  <si>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</si>
  <si>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</si>
  <si>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</si>
  <si>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</si>
  <si>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</si>
  <si>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</si>
  <si>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</si>
  <si>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</si>
  <si>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</si>
  <si>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</si>
  <si>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</si>
  <si>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</si>
  <si>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</si>
  <si>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</si>
  <si>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</si>
  <si>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</si>
  <si>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</si>
  <si>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</si>
  <si>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</si>
  <si>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</si>
  <si>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</si>
  <si>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</si>
  <si>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</si>
  <si>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</si>
  <si>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</si>
  <si>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</si>
  <si>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</si>
  <si>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</si>
  <si>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</si>
  <si>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</si>
  <si>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</si>
  <si>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</si>
  <si>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</si>
  <si>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</si>
  <si>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</si>
  <si>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</si>
  <si>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</si>
  <si>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</si>
  <si>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</si>
  <si>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</si>
  <si>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</si>
  <si>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</si>
  <si>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</si>
  <si>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</si>
  <si>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</si>
  <si>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</si>
  <si>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</si>
  <si>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</si>
  <si>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</si>
  <si>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</si>
  <si>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</si>
  <si>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</si>
  <si>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</si>
  <si>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</si>
  <si>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</si>
  <si>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</si>
  <si>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</si>
  <si>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</si>
  <si>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</si>
  <si>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</si>
  <si>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</si>
  <si>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</si>
  <si>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</si>
  <si>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</si>
  <si>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</si>
  <si>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</si>
  <si>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</si>
  <si>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</si>
  <si>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</si>
  <si>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</si>
  <si>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</si>
  <si>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</si>
  <si>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</si>
  <si>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</si>
  <si>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</si>
  <si>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</si>
  <si>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</si>
  <si>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</si>
  <si>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</si>
  <si>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</si>
  <si>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</si>
  <si>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</si>
  <si>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</si>
  <si>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</si>
  <si>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</si>
  <si>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</si>
  <si>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</si>
  <si>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</si>
  <si>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</si>
  <si>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</si>
  <si>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</si>
  <si>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</si>
  <si>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</si>
  <si>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</si>
  <si>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</si>
  <si>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</si>
  <si>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</si>
  <si>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</si>
  <si>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</si>
  <si>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</si>
  <si>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</si>
  <si>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</si>
  <si>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</si>
  <si>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</si>
  <si>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</si>
  <si>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</si>
  <si>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</si>
  <si>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</si>
  <si>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</si>
  <si>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</si>
  <si>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</si>
  <si>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</si>
  <si>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</si>
  <si>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</si>
  <si>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</si>
  <si>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</si>
  <si>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</si>
  <si>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</si>
  <si>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</si>
  <si>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</si>
  <si>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</si>
  <si>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</si>
  <si>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</si>
  <si>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</si>
  <si>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</si>
  <si>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</si>
  <si>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</si>
  <si>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</si>
  <si>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</si>
  <si>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</si>
  <si>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</si>
  <si>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</si>
  <si>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</si>
  <si>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</si>
  <si>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</si>
  <si>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</si>
  <si>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</si>
  <si>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</si>
  <si>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</si>
  <si>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</si>
  <si>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</si>
  <si>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</si>
  <si>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</si>
  <si>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</si>
  <si>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</si>
  <si>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</si>
  <si>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</si>
  <si>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</si>
  <si>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</si>
  <si>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</si>
  <si>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</si>
  <si>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</si>
  <si>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</si>
  <si>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</si>
  <si>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</si>
  <si>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</si>
  <si>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</si>
  <si>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</si>
  <si>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</si>
  <si>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</si>
  <si>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</si>
  <si>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</si>
  <si>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</si>
  <si>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</si>
  <si>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</si>
  <si>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</si>
  <si>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</si>
  <si>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</si>
  <si>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</si>
  <si>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</si>
  <si>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</si>
  <si>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</si>
  <si>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</si>
  <si>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</si>
  <si>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</si>
  <si>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</si>
  <si>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</si>
  <si>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</si>
  <si>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</si>
  <si>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</si>
  <si>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</si>
  <si>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</si>
  <si>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</si>
  <si>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</si>
  <si>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</si>
  <si>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</si>
  <si>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</si>
  <si>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</si>
  <si>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</si>
  <si>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</si>
  <si>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</si>
  <si>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</si>
  <si>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</si>
  <si>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</si>
  <si>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</si>
  <si>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</si>
  <si>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</si>
  <si>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</si>
  <si>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</si>
  <si>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</si>
  <si>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</si>
  <si>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</si>
  <si>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</si>
  <si>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</si>
  <si>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</si>
  <si>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</si>
  <si>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</si>
  <si>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</si>
  <si>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</si>
  <si>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</si>
  <si>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</si>
  <si>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</si>
  <si>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</si>
  <si>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</si>
  <si>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</si>
  <si>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</si>
  <si>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</si>
  <si>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</si>
  <si>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</si>
  <si>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</si>
  <si>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</si>
  <si>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</si>
  <si>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</si>
  <si>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</si>
  <si>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</si>
  <si>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</si>
  <si>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</si>
  <si>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</si>
  <si>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</si>
  <si>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</si>
  <si>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</si>
  <si>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</si>
  <si>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</si>
  <si>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</si>
  <si>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</si>
  <si>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</si>
  <si>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</si>
  <si>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</si>
  <si>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</si>
  <si>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</si>
  <si>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</si>
  <si>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</si>
  <si>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</si>
  <si>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</si>
  <si>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</si>
  <si>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</si>
  <si>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</si>
  <si>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</si>
  <si>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</si>
  <si>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</si>
  <si>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</si>
  <si>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</si>
  <si>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</si>
  <si>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</si>
  <si>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</si>
  <si>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</si>
  <si>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</si>
  <si>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</si>
  <si>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</si>
  <si>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</si>
  <si>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</si>
  <si>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</si>
  <si>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</si>
  <si>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</si>
  <si>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</si>
  <si>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</si>
  <si>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</si>
  <si>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</si>
  <si>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</si>
  <si>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</si>
  <si>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</si>
  <si>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</si>
  <si>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</si>
  <si>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</si>
  <si>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</si>
  <si>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</si>
  <si>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</si>
  <si>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</si>
  <si>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</si>
  <si>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</si>
  <si>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</si>
  <si>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</si>
  <si>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</si>
  <si>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</si>
  <si>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</si>
  <si>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</si>
  <si>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</si>
  <si>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</si>
  <si>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</si>
  <si>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</si>
  <si>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</si>
  <si>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</si>
  <si>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</si>
  <si>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</si>
  <si>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</si>
  <si>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</si>
  <si>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</si>
  <si>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</si>
  <si>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</si>
  <si>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</si>
  <si>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</si>
  <si>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</si>
  <si>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</si>
  <si>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</si>
  <si>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</si>
  <si>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</si>
  <si>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</si>
  <si>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</si>
  <si>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</si>
  <si>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</si>
  <si>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</si>
  <si>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</si>
  <si>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</si>
  <si>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</si>
  <si>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</si>
  <si>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</si>
  <si>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</si>
  <si>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</si>
  <si>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</si>
  <si>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</si>
  <si>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</si>
  <si>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</si>
  <si>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</si>
  <si>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</si>
  <si>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</si>
  <si>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</si>
  <si>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</si>
  <si>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</si>
  <si>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</si>
  <si>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</si>
  <si>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</si>
  <si>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</si>
  <si>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</si>
  <si>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</si>
  <si>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</si>
  <si>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</si>
  <si>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</si>
  <si>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</si>
  <si>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</si>
  <si>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</si>
  <si>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</si>
  <si>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</si>
  <si>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</si>
  <si>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</si>
  <si>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</si>
  <si>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</si>
  <si>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</si>
  <si>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</si>
  <si>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</si>
  <si>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</si>
  <si>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</si>
  <si>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</si>
  <si>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</si>
  <si>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</si>
  <si>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</si>
  <si>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</si>
  <si>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</si>
  <si>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</si>
  <si>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</si>
  <si>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</si>
  <si>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</si>
  <si>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</si>
  <si>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</si>
  <si>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</si>
  <si>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</si>
  <si>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</si>
  <si>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</si>
  <si>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</si>
  <si>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</si>
  <si>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</si>
  <si>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</si>
  <si>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</si>
  <si>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</si>
  <si>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</si>
  <si>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</si>
  <si>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</si>
  <si>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</si>
  <si>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</si>
  <si>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</si>
  <si>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</si>
  <si>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</si>
  <si>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</si>
  <si>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</si>
  <si>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</si>
  <si>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</si>
  <si>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</si>
  <si>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</si>
  <si>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</si>
  <si>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</si>
  <si>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</si>
  <si>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</si>
  <si>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</si>
  <si>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</si>
  <si>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</si>
  <si>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</si>
  <si>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</si>
  <si>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</si>
  <si>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</si>
  <si>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</si>
  <si>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</si>
  <si>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</si>
  <si>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</si>
  <si>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</si>
  <si>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</si>
  <si>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</si>
  <si>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</si>
  <si>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</si>
  <si>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</si>
  <si>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</si>
  <si>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</si>
  <si>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</si>
  <si>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</si>
  <si>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</si>
  <si>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</si>
  <si>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</si>
  <si>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</si>
  <si>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</si>
  <si>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</si>
  <si>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</si>
  <si>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</si>
  <si>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</si>
  <si>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</si>
  <si>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</si>
  <si>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</si>
  <si>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</si>
  <si>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</si>
  <si>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</si>
  <si>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</si>
  <si>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</si>
  <si>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</si>
  <si>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</si>
  <si>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</si>
  <si>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</si>
  <si>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</si>
  <si>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</si>
  <si>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</si>
  <si>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</si>
  <si>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</si>
  <si>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</si>
  <si>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</si>
  <si>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</si>
  <si>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</si>
  <si>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</si>
  <si>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</si>
  <si>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</si>
  <si>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</si>
  <si>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</si>
  <si>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</si>
  <si>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</si>
  <si>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</si>
  <si>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</si>
  <si>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</si>
  <si>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</si>
  <si>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</si>
  <si>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</si>
  <si>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</si>
  <si>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</si>
  <si>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</si>
  <si>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</si>
  <si>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</si>
  <si>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</si>
  <si>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</si>
  <si>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</si>
  <si>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</si>
  <si>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</si>
  <si>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</si>
  <si>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</si>
  <si>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</si>
  <si>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</si>
  <si>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</si>
  <si>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</si>
  <si>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</si>
  <si>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</si>
  <si>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</si>
  <si>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</si>
  <si>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</si>
  <si>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</si>
  <si>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</si>
  <si>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</si>
  <si>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</si>
  <si>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</si>
  <si>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</si>
  <si>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</si>
  <si>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</si>
  <si>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</si>
  <si>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</si>
  <si>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</si>
  <si>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</si>
  <si>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</si>
  <si>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</si>
  <si>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</si>
  <si>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</si>
  <si>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</si>
  <si>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</si>
  <si>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</si>
  <si>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</si>
  <si>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</si>
  <si>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</si>
  <si>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</si>
  <si>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</si>
  <si>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</si>
  <si>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</si>
  <si>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</si>
  <si>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</si>
  <si>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</si>
  <si>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</si>
  <si>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</si>
  <si>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</si>
  <si>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</si>
  <si>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</si>
  <si>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</si>
  <si>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</si>
  <si>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</si>
  <si>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</si>
  <si>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</si>
  <si>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</si>
  <si>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</si>
  <si>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</si>
  <si>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</si>
  <si>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</si>
  <si>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</si>
  <si>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</si>
  <si>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</si>
  <si>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</si>
  <si>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</si>
  <si>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</si>
  <si>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</si>
  <si>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</si>
  <si>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</si>
  <si>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</si>
  <si>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</si>
  <si>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</si>
  <si>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</si>
  <si>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</si>
  <si>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</si>
  <si>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</si>
  <si>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</si>
  <si>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</si>
  <si>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</si>
  <si>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</si>
  <si>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</si>
  <si>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</si>
  <si>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</si>
  <si>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</si>
  <si>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</si>
  <si>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</si>
  <si>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</si>
  <si>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</si>
  <si>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</si>
  <si>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</si>
  <si>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</si>
  <si>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</si>
  <si>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</si>
  <si>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</si>
  <si>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</si>
  <si>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</si>
  <si>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</si>
  <si>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</si>
  <si>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</si>
  <si>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</si>
  <si>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</si>
  <si>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</si>
  <si>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</si>
  <si>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</si>
  <si>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</si>
  <si>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</si>
  <si>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</si>
  <si>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</si>
  <si>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</si>
  <si>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</si>
  <si>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</si>
  <si>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</si>
  <si>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</si>
  <si>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</si>
  <si>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</si>
  <si>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</si>
  <si>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</si>
  <si>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</si>
  <si>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</si>
  <si>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</si>
  <si>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</si>
  <si>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</si>
  <si>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</si>
  <si>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</si>
  <si>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</si>
  <si>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</si>
  <si>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</si>
  <si>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</si>
  <si>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</si>
  <si>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</si>
  <si>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</si>
  <si>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</si>
  <si>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</si>
  <si>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</si>
  <si>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</si>
  <si>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</si>
  <si>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</si>
  <si>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</si>
  <si>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</si>
  <si>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</si>
  <si>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</si>
  <si>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</si>
  <si>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</si>
  <si>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</si>
  <si>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</si>
  <si>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</si>
  <si>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</si>
  <si>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</si>
  <si>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</si>
  <si>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</si>
  <si>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</si>
  <si>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</si>
  <si>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</si>
  <si>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</si>
  <si>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</si>
  <si>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</si>
  <si>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</si>
  <si>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</si>
  <si>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</si>
  <si>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</si>
  <si>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</si>
  <si>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</si>
  <si>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</si>
  <si>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</si>
  <si>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</si>
  <si>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</si>
  <si>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</si>
  <si>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</si>
  <si>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</si>
  <si>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</si>
  <si>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</si>
  <si>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</si>
  <si>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</si>
  <si>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</si>
  <si>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</si>
  <si>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</si>
  <si>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</si>
  <si>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</si>
  <si>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</si>
  <si>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</si>
  <si>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</si>
  <si>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</si>
  <si>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</si>
  <si>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</si>
  <si>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</si>
  <si>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</si>
  <si>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</si>
  <si>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</si>
  <si>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</si>
  <si>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</si>
  <si>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</si>
  <si>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</si>
  <si>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</si>
  <si>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</si>
  <si>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</si>
  <si>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</si>
  <si>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</si>
  <si>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</si>
  <si>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</si>
  <si>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</si>
  <si>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</si>
  <si>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</si>
  <si>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</si>
  <si>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</si>
  <si>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</si>
  <si>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</si>
  <si>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</si>
  <si>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</si>
  <si>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</si>
  <si>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</si>
  <si>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</si>
  <si>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</si>
  <si>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</si>
  <si>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</si>
  <si>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</si>
  <si>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</si>
  <si>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</si>
  <si>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</si>
  <si>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</si>
  <si>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</si>
  <si>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</si>
  <si>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</si>
  <si>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</si>
  <si>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</si>
  <si>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</si>
  <si>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</si>
  <si>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</si>
  <si>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</si>
  <si>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</si>
  <si>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</si>
  <si>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</si>
  <si>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</si>
  <si>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</si>
  <si>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</si>
  <si>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</si>
  <si>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</si>
  <si>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</si>
  <si>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</si>
  <si>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</si>
  <si>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</si>
  <si>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</si>
  <si>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</si>
  <si>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</si>
  <si>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</si>
  <si>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</si>
  <si>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</si>
  <si>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</si>
  <si>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</si>
  <si>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</si>
  <si>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</si>
  <si>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</si>
  <si>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</si>
  <si>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</si>
  <si>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</si>
  <si>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</si>
  <si>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</si>
  <si>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</si>
  <si>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</si>
  <si>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</si>
  <si>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</si>
  <si>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</si>
  <si>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</si>
  <si>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</si>
  <si>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</si>
  <si>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</si>
  <si>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</si>
  <si>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</si>
  <si>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</si>
  <si>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</si>
  <si>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</si>
  <si>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</si>
  <si>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</si>
  <si>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</si>
  <si>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</si>
  <si>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</si>
  <si>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</si>
  <si>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</si>
  <si>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</si>
  <si>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</si>
  <si>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</si>
  <si>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</si>
  <si>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</si>
  <si>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</si>
  <si>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</si>
  <si>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</si>
  <si>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</si>
  <si>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</si>
  <si>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</si>
  <si>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</si>
  <si>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</si>
  <si>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</si>
  <si>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</si>
  <si>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</si>
  <si>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</si>
  <si>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</si>
  <si>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</si>
  <si>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</si>
  <si>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</si>
  <si>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</si>
  <si>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</si>
  <si>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</si>
  <si>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</si>
  <si>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</si>
  <si>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</si>
  <si>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</si>
  <si>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</si>
  <si>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</si>
  <si>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</si>
  <si>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</si>
  <si>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</si>
  <si>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</si>
  <si>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</si>
  <si>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</si>
  <si>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</si>
  <si>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</si>
  <si>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</si>
  <si>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</si>
  <si>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</si>
  <si>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</si>
  <si>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</si>
  <si>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</si>
  <si>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</si>
  <si>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</si>
  <si>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</si>
  <si>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</si>
  <si>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</si>
  <si>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</si>
  <si>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</si>
  <si>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</si>
  <si>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</si>
  <si>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</si>
  <si>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</si>
  <si>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</si>
  <si>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</si>
  <si>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</si>
  <si>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</si>
  <si>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</si>
  <si>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</si>
  <si>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</si>
  <si>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</si>
  <si>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</si>
  <si>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</si>
  <si>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</si>
  <si>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</si>
  <si>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</si>
  <si>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</si>
  <si>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</si>
  <si>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</si>
  <si>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</si>
  <si>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</si>
  <si>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</si>
  <si>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</si>
  <si>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</si>
  <si>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</si>
  <si>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</si>
  <si>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</si>
  <si>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</si>
  <si>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</si>
  <si>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</si>
  <si>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</si>
  <si>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</si>
  <si>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</si>
  <si>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</si>
  <si>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</si>
  <si>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</si>
  <si>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</si>
  <si>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</si>
  <si>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</si>
  <si>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</si>
  <si>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</si>
  <si>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</si>
  <si>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</si>
  <si>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</si>
  <si>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</si>
  <si>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</si>
  <si>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</si>
  <si>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</si>
  <si>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</si>
  <si>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</si>
  <si>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</si>
  <si>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</si>
  <si>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</si>
  <si>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</si>
  <si>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</si>
  <si>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</si>
  <si>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</si>
  <si>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</si>
  <si>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</si>
  <si>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</si>
  <si>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</si>
  <si>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</si>
  <si>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</si>
  <si>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</si>
  <si>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</si>
  <si>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</si>
  <si>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</si>
  <si>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</si>
  <si>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</si>
  <si>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</si>
  <si>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</si>
  <si>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</si>
  <si>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</si>
  <si>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</si>
  <si>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</si>
  <si>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</si>
  <si>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</si>
  <si>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</si>
  <si>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</si>
  <si>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</si>
  <si>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</si>
  <si>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</si>
  <si>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</si>
  <si>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</si>
  <si>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</si>
  <si>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</si>
  <si>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</si>
  <si>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</si>
  <si>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</si>
  <si>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</si>
  <si>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</si>
  <si>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</si>
  <si>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</si>
  <si>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</si>
  <si>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</si>
  <si>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</si>
  <si>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</si>
  <si>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</si>
  <si>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</si>
  <si>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</si>
  <si>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</si>
  <si>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</si>
  <si>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</si>
  <si>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</si>
  <si>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</si>
  <si>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</si>
  <si>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</si>
  <si>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</si>
  <si>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</si>
  <si>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</si>
  <si>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</si>
  <si>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</si>
  <si>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</si>
  <si>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</si>
  <si>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</si>
  <si>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</si>
  <si>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</si>
  <si>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</si>
  <si>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</si>
  <si>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</si>
  <si>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</si>
  <si>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</si>
  <si>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</si>
  <si>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</si>
  <si>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</si>
  <si>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</si>
  <si>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</si>
  <si>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</si>
  <si>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</si>
  <si>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</si>
  <si>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</si>
  <si>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</si>
  <si>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</si>
  <si>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</si>
  <si>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</si>
  <si>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</si>
  <si>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</si>
  <si>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</si>
  <si>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</si>
  <si>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</si>
  <si>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</si>
  <si>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</si>
  <si>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</si>
  <si>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</si>
  <si>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</si>
  <si>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</si>
  <si>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</si>
  <si>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</si>
  <si>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</si>
  <si>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</si>
  <si>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</si>
  <si>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</si>
  <si>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</si>
  <si>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</si>
  <si>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</si>
  <si>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</si>
  <si>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</si>
  <si>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</si>
  <si>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</si>
  <si>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</si>
  <si>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</si>
  <si>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</si>
  <si>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Column Labels</t>
  </si>
  <si>
    <t>Grand Total</t>
  </si>
  <si>
    <t>theater</t>
  </si>
  <si>
    <t>Row Labels</t>
  </si>
  <si>
    <t>Count of outcome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</si>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</sst>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0" fontId="1" fillId="0" borderId="0" xfId="0" applyNumberFormat="1" applyFont="1"/>
    <xf numFmtId="10" fontId="0" fillId="0" borderId="0" xfId="0" applyNumberFormat="1"/>
    <xf numFmtId="10" fontId="0" fillId="0" borderId="0" xfId="1" applyNumberFormat="1" applyFont="1"/>
    <xf numFmtId="2" fontId="1" fillId="0" borderId="0" xfId="0" applyNumberFormat="1" applyFont="1"/>
    <xf numFmtId="2" fontId="1" fillId="0" borderId="0" xfId="1" applyNumberFormat="1" applyFon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utcomes Based on Launch Date</a:t>
            </a:r>
            <a:endParaRPr lang="en-US" b="1"/>
          </a:p>
        </c:rich>
      </c:tx>
      <c:layout>
        <c:manualLayout>
          <c:xMode val="edge"/>
          <c:yMode val="edge"/>
          <c:x val="0.29893039049235992"/>
          <c:y val="3.5911602209944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1-1D43-981F-ACD8E854AC4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1-1D43-981F-ACD8E854AC4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21-1D43-981F-ACD8E854A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802063"/>
        <c:axId val="1419968287"/>
      </c:lineChart>
      <c:catAx>
        <c:axId val="133180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968287"/>
        <c:crosses val="autoZero"/>
        <c:auto val="1"/>
        <c:lblAlgn val="ctr"/>
        <c:lblOffset val="100"/>
        <c:noMultiLvlLbl val="0"/>
      </c:catAx>
      <c:valAx>
        <c:axId val="141996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0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64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8A-4E40-9006-2D9EEFE7FE7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36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8A-4E40-9006-2D9EEFE7FE7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8A-4E40-9006-2D9EEFE7F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852304"/>
        <c:axId val="561863792"/>
      </c:lineChart>
      <c:catAx>
        <c:axId val="5618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63792"/>
        <c:crosses val="autoZero"/>
        <c:auto val="1"/>
        <c:lblAlgn val="ctr"/>
        <c:lblOffset val="100"/>
        <c:noMultiLvlLbl val="0"/>
      </c:catAx>
      <c:valAx>
        <c:axId val="56186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2</xdr:row>
      <xdr:rowOff>38100</xdr:rowOff>
    </xdr:from>
    <xdr:to>
      <xdr:col>15</xdr:col>
      <xdr:colOff>596900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6D18E-B597-E1AA-20FE-60BB6C881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410633</xdr:colOff>
      <xdr:row>14</xdr:row>
      <xdr:rowOff>88900</xdr:rowOff>
    </xdr:from>
    <xdr:to>
      <xdr:col>8</xdr:col>
      <xdr:colOff>194734</xdr:colOff>
      <xdr:row>31</xdr:row>
      <xdr:rowOff>169334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6A700AF-C009-BBC3-4D8F-76C989FB5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93.454038425923" createdVersion="8" refreshedVersion="8" minRefreshableVersion="3" recordCount="4115" xr:uid="{C5D761E4-A536-2D45-9A63-76956F22273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  <r>
    <m/>
    <m/>
    <m/>
    <m/>
    <m/>
    <x v="4"/>
    <m/>
    <m/>
    <m/>
    <m/>
    <m/>
    <m/>
    <m/>
    <m/>
    <x v="4114"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3E025-78AF-3645-B5BE-753C283E79B6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C665C6-4710-6143-9BE5-823C9D70D7F8}" name="Table1" displayName="Table1" ref="A1:H13" totalsRowShown="0" headerRowDxfId="7">
  <autoFilter ref="A1:H13" xr:uid="{BCC665C6-4710-6143-9BE5-823C9D70D7F8}"/>
  <tableColumns count="8">
    <tableColumn id="1" xr3:uid="{F5A1D05E-2323-6046-82EE-EAEAABE67A2F}" name="Goal"/>
    <tableColumn id="2" xr3:uid="{0E5F2333-0BAC-D747-84EF-929D101A3270}" name="Number Successful" dataDxfId="6"/>
    <tableColumn id="3" xr3:uid="{EC082812-EEB2-404B-AF15-7DAF3E3CE767}" name="Number Failed" dataDxfId="5"/>
    <tableColumn id="4" xr3:uid="{6FA71319-41DD-B948-BCEE-DE8B2978B2D9}" name="Number Canceled" dataDxfId="4"/>
    <tableColumn id="5" xr3:uid="{49D610F5-FB55-3C47-B8E8-C528730AE950}" name="Total Projects" dataDxfId="3">
      <calculatedColumnFormula>SUM('Outcomes Based on Goals'!B2,'Outcomes Based on Goals'!C2,'Outcomes Based on Goals'!D2)</calculatedColumnFormula>
    </tableColumn>
    <tableColumn id="6" xr3:uid="{89EBDE7F-EE11-9E4B-95F7-733FCAB10F80}" name="Percentage Successful" dataDxfId="2" dataCellStyle="Percent">
      <calculatedColumnFormula>ROUND(B2/E2*100,0)</calculatedColumnFormula>
    </tableColumn>
    <tableColumn id="7" xr3:uid="{99158187-B168-624F-AFF6-53E44CBB9CF7}" name="Percentage Failed" dataDxfId="1">
      <calculatedColumnFormula>ROUND(C2/E2*100,0)</calculatedColumnFormula>
    </tableColumn>
    <tableColumn id="8" xr3:uid="{080FD851-9B07-8942-B92A-EB411068515F}" name="Percentage Canceled" dataDxfId="0">
      <calculatedColumnFormula>ROUND(D2/E2*100,0)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4275-ACA0-8946-A1BE-8AC9EAAB079E}">
  <dimension ref="A1:E18"/>
  <sheetViews>
    <sheetView workbookViewId="0">
      <selection activeCell="S20" sqref="S2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8306</v>
      </c>
      <c r="B1" t="s">
        <v>8313</v>
      </c>
    </row>
    <row r="2" spans="1:5" x14ac:dyDescent="0.2">
      <c r="A2" s="10" t="s">
        <v>8308</v>
      </c>
      <c r="B2" t="s">
        <v>8310</v>
      </c>
    </row>
    <row r="4" spans="1:5" x14ac:dyDescent="0.2">
      <c r="A4" s="10" t="s">
        <v>8315</v>
      </c>
      <c r="B4" s="10" t="s">
        <v>8311</v>
      </c>
    </row>
    <row r="5" spans="1:5" x14ac:dyDescent="0.2">
      <c r="A5" s="10" t="s">
        <v>8314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">
      <c r="A6" s="12" t="s">
        <v>8321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2" t="s">
        <v>8327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2" t="s">
        <v>8319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2" t="s">
        <v>8320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2" t="s">
        <v>8326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2" t="s">
        <v>8324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2" t="s">
        <v>8316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2" t="s">
        <v>8325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2" t="s">
        <v>8322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2" t="s">
        <v>8317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2" t="s">
        <v>8323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2" t="s">
        <v>8318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2" t="s">
        <v>8312</v>
      </c>
      <c r="B18" s="11">
        <v>839</v>
      </c>
      <c r="C18" s="11">
        <v>493</v>
      </c>
      <c r="D18" s="11">
        <v>37</v>
      </c>
      <c r="E18" s="11">
        <v>1369</v>
      </c>
    </row>
  </sheetData>
  <sortState xmlns:xlrd2="http://schemas.microsoft.com/office/spreadsheetml/2017/richdata2" columnSort="1" ref="A4:F18">
    <sortCondition ref="E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K1" zoomScale="110" zoomScaleNormal="110" workbookViewId="0">
      <selection activeCell="L4" sqref="L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559F2-3489-BA41-B3AB-C811D41DD377}">
  <dimension ref="A1:H17"/>
  <sheetViews>
    <sheetView tabSelected="1" zoomScale="150" zoomScaleNormal="150" workbookViewId="0">
      <selection activeCell="F1" activeCellId="1" sqref="A1:A13 F1:H13"/>
    </sheetView>
  </sheetViews>
  <sheetFormatPr baseColWidth="10" defaultRowHeight="15" x14ac:dyDescent="0.2"/>
  <cols>
    <col min="1" max="1" width="13.5" bestFit="1" customWidth="1"/>
    <col min="2" max="2" width="17.1640625" style="14" customWidth="1"/>
    <col min="3" max="3" width="13.83203125" style="14" customWidth="1"/>
    <col min="4" max="4" width="16.33203125" style="14" customWidth="1"/>
    <col min="5" max="5" width="13" style="14" customWidth="1"/>
    <col min="6" max="6" width="19.6640625" style="20" customWidth="1"/>
    <col min="7" max="7" width="16.33203125" style="14" customWidth="1"/>
    <col min="8" max="8" width="18.83203125" style="16" customWidth="1"/>
  </cols>
  <sheetData>
    <row r="1" spans="1:8" x14ac:dyDescent="0.2">
      <c r="A1" s="13" t="s">
        <v>8328</v>
      </c>
      <c r="B1" s="18" t="s">
        <v>8329</v>
      </c>
      <c r="C1" s="18" t="s">
        <v>8330</v>
      </c>
      <c r="D1" s="18" t="s">
        <v>8347</v>
      </c>
      <c r="E1" s="18" t="s">
        <v>8331</v>
      </c>
      <c r="F1" s="19" t="s">
        <v>8332</v>
      </c>
      <c r="G1" s="18" t="s">
        <v>8333</v>
      </c>
      <c r="H1" s="15" t="s">
        <v>8334</v>
      </c>
    </row>
    <row r="2" spans="1:8" x14ac:dyDescent="0.2">
      <c r="A2" t="s">
        <v>8335</v>
      </c>
      <c r="B2" s="14">
        <f>COUNTIFS(Kickstarter!$F:$F,"Successful",Kickstarter!$D:$D,"&gt;1000",Kickstarter!$Q:$Q,"plays")</f>
        <v>506</v>
      </c>
      <c r="C2" s="14">
        <f>COUNTIFS(Kickstarter!$F:$F,"Failed",Kickstarter!$D:$D,"&gt;1000",Kickstarter!$Q:$Q,"plays")</f>
        <v>290</v>
      </c>
      <c r="D2" s="14">
        <f>COUNTIFS(Kickstarter!$F:$F,"Canceled",Kickstarter!$D:$D,"&gt;1000",Kickstarter!$Q:$Q,"plays")</f>
        <v>0</v>
      </c>
      <c r="E2" s="14">
        <f>SUM('Outcomes Based on Goals'!B2,'Outcomes Based on Goals'!C2,'Outcomes Based on Goals'!D2)</f>
        <v>796</v>
      </c>
      <c r="F2" s="20">
        <f t="shared" ref="F2:F13" si="0">ROUND(B2/E2*100,0)</f>
        <v>64</v>
      </c>
      <c r="G2" s="14">
        <f t="shared" ref="G2:G13" si="1">ROUND(C2/E2*100,0)</f>
        <v>36</v>
      </c>
      <c r="H2" s="16">
        <f t="shared" ref="H2:H13" si="2">ROUND(D2/E2*100,0)</f>
        <v>0</v>
      </c>
    </row>
    <row r="3" spans="1:8" x14ac:dyDescent="0.2">
      <c r="A3" t="s">
        <v>8336</v>
      </c>
      <c r="B3" s="14">
        <f>COUNTIFS(Kickstarter!$F:$F,"Successful",Kickstarter!$D:$D,"&gt;=1000",Kickstarter!$D:$D,"&lt;=4999",Kickstarter!$Q:$Q,"plays")</f>
        <v>388</v>
      </c>
      <c r="C3" s="14">
        <f>COUNTIFS(Kickstarter!$F:$F,"Failed",Kickstarter!$D:$D,"&gt;=1000",Kickstarter!$D:$D,"&lt;=4999",Kickstarter!$Q:$Q,"plays")</f>
        <v>146</v>
      </c>
      <c r="D3" s="14">
        <f>COUNTIFS(Kickstarter!$F:$F,"Canceled",Kickstarter!$D:$D,"&gt;=1000",Kickstarter!$D:$D,"&lt;=4999",Kickstarter!$Q:$Q,"plays")</f>
        <v>0</v>
      </c>
      <c r="E3" s="14">
        <f>SUM('Outcomes Based on Goals'!B3,'Outcomes Based on Goals'!C3,'Outcomes Based on Goals'!D3)</f>
        <v>534</v>
      </c>
      <c r="F3" s="20">
        <f t="shared" si="0"/>
        <v>73</v>
      </c>
      <c r="G3" s="14">
        <f t="shared" si="1"/>
        <v>27</v>
      </c>
      <c r="H3" s="16">
        <f t="shared" si="2"/>
        <v>0</v>
      </c>
    </row>
    <row r="4" spans="1:8" x14ac:dyDescent="0.2">
      <c r="A4" t="s">
        <v>8337</v>
      </c>
      <c r="B4" s="14">
        <f>COUNTIFS(Kickstarter!$F:$F,"Successful",Kickstarter!$D:$D,"&gt;=5000",Kickstarter!$D:$D,"&lt;=9999",Kickstarter!$Q:$Q,"plays")</f>
        <v>93</v>
      </c>
      <c r="C4" s="14">
        <f>COUNTIFS(Kickstarter!$F:$F,"Failed",Kickstarter!$D:$D,"&gt;=5000",Kickstarter!$D:$D,"&lt;=9999",Kickstarter!$Q:$Q,"plays")</f>
        <v>76</v>
      </c>
      <c r="D4" s="14">
        <f>COUNTIFS(Kickstarter!$F:$F,"Canceled",Kickstarter!$D:$D,"&gt;=5000",Kickstarter!$D:$D,"&lt;=9999",Kickstarter!$Q:$Q,"plays")</f>
        <v>0</v>
      </c>
      <c r="E4" s="14">
        <f>SUM('Outcomes Based on Goals'!B4,'Outcomes Based on Goals'!C4,'Outcomes Based on Goals'!D4)</f>
        <v>169</v>
      </c>
      <c r="F4" s="20">
        <f t="shared" si="0"/>
        <v>55</v>
      </c>
      <c r="G4" s="14">
        <f t="shared" si="1"/>
        <v>45</v>
      </c>
      <c r="H4" s="16">
        <f t="shared" si="2"/>
        <v>0</v>
      </c>
    </row>
    <row r="5" spans="1:8" x14ac:dyDescent="0.2">
      <c r="A5" t="s">
        <v>8338</v>
      </c>
      <c r="B5" s="14">
        <f>COUNTIFS(Kickstarter!$F:$F,"Successful",Kickstarter!$D:$D,"&gt;=10000",Kickstarter!$D:$D,"&lt;=14999",Kickstarter!$Q:$Q,"plays")</f>
        <v>39</v>
      </c>
      <c r="C5" s="14">
        <f>COUNTIFS(Kickstarter!$F:$F,"Failed",Kickstarter!$D:$D,"&gt;=10000",Kickstarter!$D:$D,"&lt;=14999",Kickstarter!$Q:$Q,"plays")</f>
        <v>33</v>
      </c>
      <c r="D5" s="14">
        <f>COUNTIFS(Kickstarter!$F:$F,"Canceled",Kickstarter!$D:$D,"&gt;=10000",Kickstarter!$D:$D,"&lt;=14999",Kickstarter!$Q:$Q,"plays")</f>
        <v>0</v>
      </c>
      <c r="E5" s="14">
        <f>SUM('Outcomes Based on Goals'!B5,'Outcomes Based on Goals'!C5,'Outcomes Based on Goals'!D5)</f>
        <v>72</v>
      </c>
      <c r="F5" s="20">
        <f t="shared" si="0"/>
        <v>54</v>
      </c>
      <c r="G5" s="14">
        <f t="shared" si="1"/>
        <v>46</v>
      </c>
      <c r="H5" s="16">
        <f t="shared" si="2"/>
        <v>0</v>
      </c>
    </row>
    <row r="6" spans="1:8" x14ac:dyDescent="0.2">
      <c r="A6" t="s">
        <v>8339</v>
      </c>
      <c r="B6" s="14">
        <f>COUNTIFS(Kickstarter!$F:$F,"Successful",Kickstarter!$D:$D,"&gt;=15000",Kickstarter!$D:$D,"&lt;=19999",Kickstarter!$Q:$Q,"plays")</f>
        <v>12</v>
      </c>
      <c r="C6" s="14">
        <f>COUNTIFS(Kickstarter!$F:$F,"Failed",Kickstarter!$D:$D,"&gt;=15000",Kickstarter!$D:$D,"&lt;=19999",Kickstarter!$Q:$Q,"plays")</f>
        <v>12</v>
      </c>
      <c r="D6" s="14">
        <f>COUNTIFS(Kickstarter!$F:$F,"Canceled",Kickstarter!$D:$D,"&gt;=15000",Kickstarter!$D:$D,"&lt;=19999",Kickstarter!$Q:$Q,"plays")</f>
        <v>0</v>
      </c>
      <c r="E6" s="14">
        <f>SUM('Outcomes Based on Goals'!B6,'Outcomes Based on Goals'!C6,'Outcomes Based on Goals'!D6)</f>
        <v>24</v>
      </c>
      <c r="F6" s="20">
        <f t="shared" si="0"/>
        <v>50</v>
      </c>
      <c r="G6" s="14">
        <f t="shared" si="1"/>
        <v>50</v>
      </c>
      <c r="H6" s="16">
        <f t="shared" si="2"/>
        <v>0</v>
      </c>
    </row>
    <row r="7" spans="1:8" x14ac:dyDescent="0.2">
      <c r="A7" t="s">
        <v>8340</v>
      </c>
      <c r="B7" s="14">
        <f>COUNTIFS(Kickstarter!$F:$F,"Successful",Kickstarter!$D:$D,"&gt;=20000",Kickstarter!$D:$D,"&lt;=24999",Kickstarter!$Q:$Q,"plays")</f>
        <v>9</v>
      </c>
      <c r="C7" s="14">
        <f>COUNTIFS(Kickstarter!$F:$F,"Failed",Kickstarter!$D:$D,"&gt;=20000",Kickstarter!$D:$D,"&lt;=24999",Kickstarter!$Q:$Q,"plays")</f>
        <v>11</v>
      </c>
      <c r="D7" s="14">
        <f>COUNTIFS(Kickstarter!$F:$F,"Canceled",Kickstarter!$D:$D,"&gt;=20000",Kickstarter!$D:$D,"&lt;=24999",Kickstarter!$Q:$Q,"plays")</f>
        <v>0</v>
      </c>
      <c r="E7" s="14">
        <f>SUM('Outcomes Based on Goals'!B7,'Outcomes Based on Goals'!C7,'Outcomes Based on Goals'!D7)</f>
        <v>20</v>
      </c>
      <c r="F7" s="20">
        <f t="shared" si="0"/>
        <v>45</v>
      </c>
      <c r="G7" s="14">
        <f t="shared" si="1"/>
        <v>55</v>
      </c>
      <c r="H7" s="16">
        <f t="shared" si="2"/>
        <v>0</v>
      </c>
    </row>
    <row r="8" spans="1:8" x14ac:dyDescent="0.2">
      <c r="A8" t="s">
        <v>8341</v>
      </c>
      <c r="B8" s="14">
        <f>COUNTIFS(Kickstarter!$F:$F,"Successful",Kickstarter!$D:$D,"&gt;=25000",Kickstarter!$D:$D,"&lt;=29999",Kickstarter!$Q:$Q,"plays")</f>
        <v>1</v>
      </c>
      <c r="C8" s="14">
        <f>COUNTIFS(Kickstarter!$F:$F,"Failed",Kickstarter!$D:$D,"&gt;=25000",Kickstarter!$D:$D,"&lt;=29999",Kickstarter!$Q:$Q,"plays")</f>
        <v>4</v>
      </c>
      <c r="D8" s="14">
        <f>COUNTIFS(Kickstarter!$F:$F,"Canceled",Kickstarter!$D:$D,"&gt;=25000",Kickstarter!$D:$D,"&lt;=29999",Kickstarter!$Q:$Q,"plays")</f>
        <v>0</v>
      </c>
      <c r="E8" s="14">
        <f>SUM('Outcomes Based on Goals'!B8,'Outcomes Based on Goals'!C8,'Outcomes Based on Goals'!D8)</f>
        <v>5</v>
      </c>
      <c r="F8" s="20">
        <f t="shared" si="0"/>
        <v>20</v>
      </c>
      <c r="G8" s="14">
        <f t="shared" si="1"/>
        <v>80</v>
      </c>
      <c r="H8" s="16">
        <f t="shared" si="2"/>
        <v>0</v>
      </c>
    </row>
    <row r="9" spans="1:8" x14ac:dyDescent="0.2">
      <c r="A9" t="s">
        <v>8342</v>
      </c>
      <c r="B9" s="14">
        <f>COUNTIFS(Kickstarter!$F:$F,"Successful",Kickstarter!$D:$D,"&gt;=30000",Kickstarter!$D:$D,"&lt;=34999",Kickstarter!$Q:$Q,"plays")</f>
        <v>3</v>
      </c>
      <c r="C9" s="14">
        <f>COUNTIFS(Kickstarter!$F:$F,"Failed",Kickstarter!$D:$D,"&gt;=30000",Kickstarter!$D:$D,"&lt;=34999",Kickstarter!$Q:$Q,"plays")</f>
        <v>8</v>
      </c>
      <c r="D9" s="14">
        <f>COUNTIFS(Kickstarter!$F:$F,"Canceled",Kickstarter!$D:$D,"&gt;=30000",Kickstarter!$D:$D,"&lt;=34999",Kickstarter!$Q:$Q,"plays")</f>
        <v>0</v>
      </c>
      <c r="E9" s="14">
        <f>SUM('Outcomes Based on Goals'!B9,'Outcomes Based on Goals'!C9,'Outcomes Based on Goals'!D9)</f>
        <v>11</v>
      </c>
      <c r="F9" s="20">
        <f t="shared" si="0"/>
        <v>27</v>
      </c>
      <c r="G9" s="14">
        <f t="shared" si="1"/>
        <v>73</v>
      </c>
      <c r="H9" s="16">
        <f t="shared" si="2"/>
        <v>0</v>
      </c>
    </row>
    <row r="10" spans="1:8" x14ac:dyDescent="0.2">
      <c r="A10" t="s">
        <v>8343</v>
      </c>
      <c r="B10" s="14">
        <f>COUNTIFS(Kickstarter!$F:$F,"Successful",Kickstarter!$D:$D,"&gt;=35000",Kickstarter!$D:$D,"&lt;=39999",Kickstarter!$Q:$Q,"plays")</f>
        <v>4</v>
      </c>
      <c r="C10" s="14">
        <f>COUNTIFS(Kickstarter!$F:$F,"Failed",Kickstarter!$D:$D,"&gt;=35000",Kickstarter!$D:$D,"&lt;=39999",Kickstarter!$Q:$Q,"plays")</f>
        <v>2</v>
      </c>
      <c r="D10" s="14">
        <f>COUNTIFS(Kickstarter!$F:$F,"Canceled",Kickstarter!$D:$D,"&gt;=35000",Kickstarter!$D:$D,"&lt;=39999",Kickstarter!$Q:$Q,"plays")</f>
        <v>0</v>
      </c>
      <c r="E10" s="14">
        <f>SUM('Outcomes Based on Goals'!B10,'Outcomes Based on Goals'!C10,'Outcomes Based on Goals'!D10)</f>
        <v>6</v>
      </c>
      <c r="F10" s="20">
        <f t="shared" si="0"/>
        <v>67</v>
      </c>
      <c r="G10" s="14">
        <f t="shared" si="1"/>
        <v>33</v>
      </c>
      <c r="H10" s="16">
        <f t="shared" si="2"/>
        <v>0</v>
      </c>
    </row>
    <row r="11" spans="1:8" x14ac:dyDescent="0.2">
      <c r="A11" t="s">
        <v>8344</v>
      </c>
      <c r="B11" s="14">
        <f>COUNTIFS(Kickstarter!$F:$F,"Successful",Kickstarter!$D:$D,"&gt;=40000",Kickstarter!$D:$D,"&lt;=44999",Kickstarter!$Q:$Q,"plays")</f>
        <v>2</v>
      </c>
      <c r="C11" s="14">
        <f>COUNTIFS(Kickstarter!$F:$F,"Failed",Kickstarter!$D:$D,"&gt;=40000",Kickstarter!$D:$D,"&lt;=44999",Kickstarter!$Q:$Q,"plays")</f>
        <v>1</v>
      </c>
      <c r="D11" s="14">
        <f>COUNTIFS(Kickstarter!$F:$F,"Canceled",Kickstarter!$D:$D,"&gt;=40000",Kickstarter!$D:$D,"&lt;=44999",Kickstarter!$Q:$Q,"plays")</f>
        <v>0</v>
      </c>
      <c r="E11" s="14">
        <f>SUM('Outcomes Based on Goals'!B11,'Outcomes Based on Goals'!C11,'Outcomes Based on Goals'!D11)</f>
        <v>3</v>
      </c>
      <c r="F11" s="20">
        <f t="shared" si="0"/>
        <v>67</v>
      </c>
      <c r="G11" s="14">
        <f t="shared" si="1"/>
        <v>33</v>
      </c>
      <c r="H11" s="16">
        <f t="shared" si="2"/>
        <v>0</v>
      </c>
    </row>
    <row r="12" spans="1:8" x14ac:dyDescent="0.2">
      <c r="A12" t="s">
        <v>8345</v>
      </c>
      <c r="B12" s="14">
        <f>COUNTIFS(Kickstarter!$F:$F,"Successful",Kickstarter!$D:$D,"&gt;=45000",Kickstarter!$D:$D,"&lt;=49999",Kickstarter!$Q:$Q,"plays")</f>
        <v>0</v>
      </c>
      <c r="C12" s="14">
        <f>COUNTIFS(Kickstarter!$F:$F,"Failed",Kickstarter!$D:$D,"&gt;=45000",Kickstarter!$D:$D,"&lt;=49999",Kickstarter!$Q:$Q,"plays")</f>
        <v>1</v>
      </c>
      <c r="D12" s="14">
        <f>COUNTIFS(Kickstarter!$F:$F,"Canceled",Kickstarter!$D:$D,"&gt;=45000",Kickstarter!$D:$D,"&lt;=49999",Kickstarter!$Q:$Q,"plays")</f>
        <v>0</v>
      </c>
      <c r="E12" s="14">
        <f>SUM('Outcomes Based on Goals'!B12,'Outcomes Based on Goals'!C12,'Outcomes Based on Goals'!D12)</f>
        <v>1</v>
      </c>
      <c r="F12" s="20">
        <f t="shared" si="0"/>
        <v>0</v>
      </c>
      <c r="G12" s="14">
        <f t="shared" si="1"/>
        <v>100</v>
      </c>
      <c r="H12" s="16">
        <f t="shared" si="2"/>
        <v>0</v>
      </c>
    </row>
    <row r="13" spans="1:8" x14ac:dyDescent="0.2">
      <c r="A13" t="s">
        <v>8346</v>
      </c>
      <c r="B13" s="14">
        <f>COUNTIFS(Kickstarter!$F:$F,"Successful",Kickstarter!$D:$D,"&lt;=50000",Kickstarter!$Q:$Q,"plays")</f>
        <v>692</v>
      </c>
      <c r="C13" s="14">
        <f>COUNTIFS(Kickstarter!$F:$F,"Failed",Kickstarter!$D:$D,"&lt;=50000",Kickstarter!$Q:$Q,"plays")</f>
        <v>343</v>
      </c>
      <c r="D13" s="14">
        <f>COUNTIFS(Kickstarter!$F:$F,"Canceled",Kickstarter!$D:$D,"&lt;=50000",Kickstarter!$Q:$Q,"plays")</f>
        <v>0</v>
      </c>
      <c r="E13" s="14">
        <f>SUM('Outcomes Based on Goals'!B13,'Outcomes Based on Goals'!C13,'Outcomes Based on Goals'!D13)</f>
        <v>1035</v>
      </c>
      <c r="F13" s="20">
        <f t="shared" si="0"/>
        <v>67</v>
      </c>
      <c r="G13" s="14">
        <f t="shared" si="1"/>
        <v>33</v>
      </c>
      <c r="H13" s="16">
        <f t="shared" si="2"/>
        <v>0</v>
      </c>
    </row>
    <row r="17" spans="6:6" x14ac:dyDescent="0.2">
      <c r="F17" s="17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2023-06-17T20:30:01Z</dcterms:modified>
</cp:coreProperties>
</file>