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a\Documents\EXCEL UZAIR\"/>
    </mc:Choice>
  </mc:AlternateContent>
  <xr:revisionPtr revIDLastSave="0" documentId="13_ncr:1_{84611B9A-37BA-4E45-8FDA-F4424CB16074}" xr6:coauthVersionLast="47" xr6:coauthVersionMax="47" xr10:uidLastSave="{00000000-0000-0000-0000-000000000000}"/>
  <bookViews>
    <workbookView xWindow="-120" yWindow="-120" windowWidth="20730" windowHeight="11040" activeTab="1" xr2:uid="{671FF714-5604-4B42-B023-BA157A11F70B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Sheet1!$J$32:$K$36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9" i="1" l="1"/>
  <c r="Y83" i="1"/>
  <c r="S82" i="1"/>
  <c r="P77" i="1" a="1"/>
  <c r="P77" i="1" s="1"/>
  <c r="I69" i="1" a="1"/>
  <c r="I69" i="1" s="1"/>
  <c r="J62" i="1" a="1"/>
  <c r="J62" i="1" s="1"/>
  <c r="U49" i="1" a="1"/>
  <c r="U49" i="1" s="1"/>
  <c r="T49" i="1" a="1"/>
  <c r="T49" i="1" s="1"/>
  <c r="U43" i="1" a="1"/>
  <c r="U43" i="1" s="1"/>
  <c r="AJ33" i="1"/>
  <c r="AK5" i="1"/>
  <c r="AF6" i="1"/>
  <c r="R48" i="1"/>
  <c r="Q48" i="1"/>
  <c r="AK128" i="1"/>
  <c r="AK129" i="1"/>
  <c r="AK130" i="1"/>
  <c r="AK131" i="1"/>
  <c r="AK132" i="1"/>
  <c r="AK133" i="1"/>
  <c r="AK134" i="1"/>
  <c r="AK127" i="1"/>
  <c r="S97" i="1" a="1"/>
  <c r="S97" i="1" s="1"/>
  <c r="S77" i="1"/>
  <c r="S78" i="1"/>
  <c r="S76" i="1"/>
  <c r="R62" i="1" a="1"/>
  <c r="R62" i="1" s="1"/>
  <c r="W55" i="1"/>
  <c r="V55" i="1" a="1"/>
  <c r="V55" i="1" s="1"/>
  <c r="R47" i="1"/>
  <c r="Q47" i="1"/>
  <c r="P47" i="1"/>
  <c r="Y43" i="1" a="1"/>
  <c r="Y43" i="1" s="1"/>
  <c r="V49" i="1" s="1" a="1"/>
  <c r="V49" i="1" s="1"/>
  <c r="AJ67" i="1"/>
  <c r="X43" i="1" a="1"/>
  <c r="X43" i="1" s="1"/>
  <c r="Y30" i="1" a="1"/>
  <c r="Y30" i="1" s="1"/>
  <c r="X30" i="1" a="1"/>
  <c r="X30" i="1" s="1"/>
  <c r="V30" i="1" a="1"/>
  <c r="V30" i="1" s="1"/>
  <c r="AI61" i="1"/>
  <c r="AH61" i="1"/>
  <c r="AG61" i="1"/>
  <c r="AN58" i="1"/>
  <c r="AN57" i="1"/>
  <c r="AQ50" i="1"/>
  <c r="AP49" i="1"/>
  <c r="AN50" i="1"/>
  <c r="AM49" i="1"/>
  <c r="AQ41" i="1"/>
  <c r="AQ40" i="1"/>
  <c r="AN41" i="1"/>
  <c r="AN40" i="1"/>
  <c r="AK38" i="1"/>
  <c r="AK37" i="1"/>
  <c r="AI46" i="1"/>
  <c r="AH47" i="1"/>
  <c r="AG48" i="1"/>
  <c r="AI45" i="1"/>
  <c r="AI16" i="1"/>
  <c r="AJ16" i="1" s="1"/>
  <c r="AI17" i="1"/>
  <c r="AJ17" i="1" s="1"/>
  <c r="AI15" i="1"/>
  <c r="AJ15" i="1" s="1"/>
  <c r="AA46" i="1"/>
  <c r="AA44" i="1"/>
  <c r="AA42" i="1"/>
  <c r="AC42" i="1" s="1"/>
  <c r="U8" i="1"/>
  <c r="U9" i="1"/>
  <c r="U10" i="1"/>
  <c r="V10" i="1" s="1"/>
  <c r="U11" i="1"/>
  <c r="V11" i="1" s="1"/>
  <c r="U12" i="1"/>
  <c r="U13" i="1"/>
  <c r="U14" i="1"/>
  <c r="V14" i="1" s="1"/>
  <c r="U6" i="1"/>
  <c r="V6" i="1" s="1"/>
  <c r="U7" i="1"/>
  <c r="V12" i="1"/>
  <c r="P26" i="1" a="1"/>
  <c r="P26" i="1" s="1"/>
  <c r="P22" i="1"/>
  <c r="P23" i="1"/>
  <c r="P24" i="1"/>
  <c r="P25" i="1"/>
  <c r="P21" i="1"/>
  <c r="O5" i="1"/>
  <c r="T5" i="1" s="1"/>
  <c r="P5" i="1"/>
  <c r="Q5" i="1"/>
  <c r="R5" i="1"/>
  <c r="S5" i="1"/>
  <c r="U5" i="1"/>
  <c r="U16" i="1" s="1" a="1"/>
  <c r="U16" i="1" s="1"/>
  <c r="O6" i="1"/>
  <c r="T6" i="1" s="1"/>
  <c r="P6" i="1"/>
  <c r="Q6" i="1"/>
  <c r="R6" i="1"/>
  <c r="S6" i="1"/>
  <c r="O7" i="1"/>
  <c r="T7" i="1" s="1"/>
  <c r="P7" i="1"/>
  <c r="Q7" i="1"/>
  <c r="R7" i="1"/>
  <c r="S7" i="1"/>
  <c r="O8" i="1"/>
  <c r="T8" i="1" s="1"/>
  <c r="P8" i="1"/>
  <c r="Q8" i="1"/>
  <c r="R8" i="1"/>
  <c r="S8" i="1"/>
  <c r="O9" i="1"/>
  <c r="T9" i="1" s="1"/>
  <c r="P9" i="1"/>
  <c r="Q9" i="1"/>
  <c r="R9" i="1"/>
  <c r="S9" i="1"/>
  <c r="O10" i="1"/>
  <c r="T10" i="1" s="1"/>
  <c r="P10" i="1"/>
  <c r="Q10" i="1"/>
  <c r="R10" i="1"/>
  <c r="S10" i="1"/>
  <c r="O11" i="1"/>
  <c r="T11" i="1" s="1"/>
  <c r="P11" i="1"/>
  <c r="Q11" i="1"/>
  <c r="R11" i="1"/>
  <c r="S11" i="1"/>
  <c r="O12" i="1"/>
  <c r="T12" i="1" s="1"/>
  <c r="P12" i="1"/>
  <c r="Q12" i="1"/>
  <c r="R12" i="1"/>
  <c r="S12" i="1"/>
  <c r="O13" i="1"/>
  <c r="T13" i="1" s="1"/>
  <c r="V13" i="1" s="1"/>
  <c r="P13" i="1"/>
  <c r="Q13" i="1"/>
  <c r="R13" i="1"/>
  <c r="S13" i="1"/>
  <c r="O14" i="1"/>
  <c r="T14" i="1" s="1"/>
  <c r="P14" i="1"/>
  <c r="Q14" i="1"/>
  <c r="R14" i="1"/>
  <c r="S14" i="1"/>
  <c r="I76" i="1" l="1" a="1"/>
  <c r="I76" i="1" s="1"/>
  <c r="P78" i="1" a="1"/>
  <c r="P78" i="1" s="1"/>
  <c r="I80" i="1" a="1"/>
  <c r="I80" i="1" s="1"/>
  <c r="P79" i="1" a="1"/>
  <c r="P79" i="1" s="1"/>
  <c r="I83" i="1" a="1"/>
  <c r="I83" i="1" s="1"/>
  <c r="Y49" i="1" a="1"/>
  <c r="Y49" i="1" s="1"/>
  <c r="V8" i="1"/>
  <c r="V9" i="1"/>
  <c r="V7" i="1"/>
  <c r="V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<sst xmlns="http://schemas.openxmlformats.org/spreadsheetml/2006/main" count="389" uniqueCount="219">
  <si>
    <t>A</t>
  </si>
  <si>
    <t>B</t>
  </si>
  <si>
    <t>C</t>
  </si>
  <si>
    <t>D</t>
  </si>
  <si>
    <t>E</t>
  </si>
  <si>
    <t>Grade</t>
  </si>
  <si>
    <t xml:space="preserve"> Marks</t>
  </si>
  <si>
    <t>F</t>
  </si>
  <si>
    <t xml:space="preserve">Name </t>
  </si>
  <si>
    <t>SR.No</t>
  </si>
  <si>
    <t>SR.NO</t>
  </si>
  <si>
    <t>ENG</t>
  </si>
  <si>
    <t>HINDI</t>
  </si>
  <si>
    <t>SCI</t>
  </si>
  <si>
    <t>MATHS</t>
  </si>
  <si>
    <t>TOTAL</t>
  </si>
  <si>
    <t>MOHD UZAIR ANSARI</t>
  </si>
  <si>
    <t>MOHD ADIL</t>
  </si>
  <si>
    <t xml:space="preserve">MO AFZAL </t>
  </si>
  <si>
    <t>MOHD SOHAIL</t>
  </si>
  <si>
    <t xml:space="preserve">MOHD JAVED </t>
  </si>
  <si>
    <t>MOHD YAMIN</t>
  </si>
  <si>
    <t xml:space="preserve">MOHD ABID </t>
  </si>
  <si>
    <t>MOHD ALMAS</t>
  </si>
  <si>
    <t>MOHD ARAFAT</t>
  </si>
  <si>
    <t>MAX</t>
  </si>
  <si>
    <t>MIN</t>
  </si>
  <si>
    <t>COUNT</t>
  </si>
  <si>
    <t>AVG</t>
  </si>
  <si>
    <t>PERCENTAGE</t>
  </si>
  <si>
    <t>GRADE</t>
  </si>
  <si>
    <t>RESULT</t>
  </si>
  <si>
    <t>MOHD AZHAR</t>
  </si>
  <si>
    <t>Sum of ENG</t>
  </si>
  <si>
    <t>Sum of HINDI</t>
  </si>
  <si>
    <t>Sum of SCI</t>
  </si>
  <si>
    <t>Sum of MATHS</t>
  </si>
  <si>
    <t>CLASS 10th RESULT</t>
  </si>
  <si>
    <t>NAME OF THE STUDENT</t>
  </si>
  <si>
    <t xml:space="preserve">  </t>
  </si>
  <si>
    <t xml:space="preserve"> </t>
  </si>
  <si>
    <t xml:space="preserve">   </t>
  </si>
  <si>
    <t>Column1</t>
  </si>
  <si>
    <t>S</t>
  </si>
  <si>
    <t>PRODUCT</t>
  </si>
  <si>
    <t>PRICE</t>
  </si>
  <si>
    <t>GARMENTS</t>
  </si>
  <si>
    <t>MATERIAL</t>
  </si>
  <si>
    <t>SIZE</t>
  </si>
  <si>
    <t>TOTAL PIECE</t>
  </si>
  <si>
    <t>M</t>
  </si>
  <si>
    <t>S.NO</t>
  </si>
  <si>
    <t>COMPANY</t>
  </si>
  <si>
    <t>STOCK UNIT</t>
  </si>
  <si>
    <t>MOTOR</t>
  </si>
  <si>
    <t>TV</t>
  </si>
  <si>
    <t>HEATER</t>
  </si>
  <si>
    <t>AC</t>
  </si>
  <si>
    <t>CROMPTON</t>
  </si>
  <si>
    <t>SAMSUNG</t>
  </si>
  <si>
    <t>BAJAJ</t>
  </si>
  <si>
    <t>COLOUR</t>
  </si>
  <si>
    <t xml:space="preserve">KURTA </t>
  </si>
  <si>
    <t>JEANS</t>
  </si>
  <si>
    <t>PAJAMA</t>
  </si>
  <si>
    <t>COTTON</t>
  </si>
  <si>
    <t>RAYON</t>
  </si>
  <si>
    <t>XL</t>
  </si>
  <si>
    <t>L</t>
  </si>
  <si>
    <t>BLACK</t>
  </si>
  <si>
    <t>WHITE</t>
  </si>
  <si>
    <t>BLUE</t>
  </si>
  <si>
    <t xml:space="preserve">SIZE   </t>
  </si>
  <si>
    <t>EXCESS UNIT</t>
  </si>
  <si>
    <t>&gt;40</t>
  </si>
  <si>
    <t>NO.</t>
  </si>
  <si>
    <t>DIVISOR</t>
  </si>
  <si>
    <t>REMAINDER</t>
  </si>
  <si>
    <t>O/E</t>
  </si>
  <si>
    <t>NAME</t>
  </si>
  <si>
    <t>ROLL NO</t>
  </si>
  <si>
    <t xml:space="preserve"> ROOM NO</t>
  </si>
  <si>
    <t>MOHD ADIL ANSARI</t>
  </si>
  <si>
    <t xml:space="preserve">MOHD   UZAIR   ANSARI </t>
  </si>
  <si>
    <t>MOHD</t>
  </si>
  <si>
    <t>UZAIR</t>
  </si>
  <si>
    <t>ANSARI</t>
  </si>
  <si>
    <t>ADIL</t>
  </si>
  <si>
    <t>SIMPLE INTEREST</t>
  </si>
  <si>
    <t>PRINCIPLE</t>
  </si>
  <si>
    <t>RATE</t>
  </si>
  <si>
    <t>TIME</t>
  </si>
  <si>
    <t>SI</t>
  </si>
  <si>
    <t>CI</t>
  </si>
  <si>
    <t>FORECAST</t>
  </si>
  <si>
    <t>YEAR</t>
  </si>
  <si>
    <t>NET WORTH</t>
  </si>
  <si>
    <t>CURRENT LIABILITY</t>
  </si>
  <si>
    <t xml:space="preserve">CURRENT ASSET </t>
  </si>
  <si>
    <t>CONCATENATE</t>
  </si>
  <si>
    <t>CONCATENATE WITH SPACE</t>
  </si>
  <si>
    <t>TRIM</t>
  </si>
  <si>
    <t>DMAX</t>
  </si>
  <si>
    <t>FACTORIAL</t>
  </si>
  <si>
    <t>DEPRICIATION</t>
  </si>
  <si>
    <t xml:space="preserve">ITEM </t>
  </si>
  <si>
    <t>MACHINE</t>
  </si>
  <si>
    <t>INITIAL</t>
  </si>
  <si>
    <t>SCRAP</t>
  </si>
  <si>
    <t>LIFE</t>
  </si>
  <si>
    <t>Grand Total</t>
  </si>
  <si>
    <t>Row Labels</t>
  </si>
  <si>
    <t>Sum of AVG</t>
  </si>
  <si>
    <t>Sum of COUNT</t>
  </si>
  <si>
    <t>Sum of MAX</t>
  </si>
  <si>
    <t>Sum of MIN</t>
  </si>
  <si>
    <t>Sum of PERCENTAGE</t>
  </si>
  <si>
    <t>IF</t>
  </si>
  <si>
    <t>IFS</t>
  </si>
  <si>
    <t>LEN</t>
  </si>
  <si>
    <t>LEFT</t>
  </si>
  <si>
    <t>RIGHT</t>
  </si>
  <si>
    <t>DATE TO TEXT</t>
  </si>
  <si>
    <t>Starting Date</t>
  </si>
  <si>
    <t>End Date</t>
  </si>
  <si>
    <t>Text</t>
  </si>
  <si>
    <t>Right</t>
  </si>
  <si>
    <t>SUBSTITUTE no instance</t>
  </si>
  <si>
    <t>with two instances</t>
  </si>
  <si>
    <t>with one instances</t>
  </si>
  <si>
    <t>SALARY</t>
  </si>
  <si>
    <t>SUM</t>
  </si>
  <si>
    <t>SUMIF</t>
  </si>
  <si>
    <t>SUMIFS</t>
  </si>
  <si>
    <t>AGE</t>
  </si>
  <si>
    <t>GENDER</t>
  </si>
  <si>
    <t>SAME FOR COUNT COUNTIF COUNTIFS</t>
  </si>
  <si>
    <t>DAYS</t>
  </si>
  <si>
    <t>NETWORKDAYS</t>
  </si>
  <si>
    <t>XLOOKUP</t>
  </si>
  <si>
    <t>FULL NAME</t>
  </si>
  <si>
    <t>Toby Flenderson</t>
  </si>
  <si>
    <t>Pan Beasley</t>
  </si>
  <si>
    <t>Meredith Palmer</t>
  </si>
  <si>
    <t>Kevin Mlone</t>
  </si>
  <si>
    <t>email</t>
  </si>
  <si>
    <t xml:space="preserve"> end date</t>
  </si>
  <si>
    <t>Employee</t>
  </si>
  <si>
    <t>Kevin</t>
  </si>
  <si>
    <t>Stanley</t>
  </si>
  <si>
    <t>Meredith</t>
  </si>
  <si>
    <t>Michael</t>
  </si>
  <si>
    <t>Toby</t>
  </si>
  <si>
    <t>Angela</t>
  </si>
  <si>
    <t>Dwight</t>
  </si>
  <si>
    <t>Pam</t>
  </si>
  <si>
    <t>Jim</t>
  </si>
  <si>
    <t>FirstName</t>
  </si>
  <si>
    <t>LastName</t>
  </si>
  <si>
    <t>Halpert</t>
  </si>
  <si>
    <t>Beasley</t>
  </si>
  <si>
    <t>Martin</t>
  </si>
  <si>
    <t>Flenderson</t>
  </si>
  <si>
    <t>Scott</t>
  </si>
  <si>
    <t>Palmer</t>
  </si>
  <si>
    <t>Hudson</t>
  </si>
  <si>
    <t>Malone</t>
  </si>
  <si>
    <t>Schrute</t>
  </si>
  <si>
    <t>Full Name</t>
  </si>
  <si>
    <t>Email</t>
  </si>
  <si>
    <t>Jim.Hallpert@DunderMifflin.com</t>
  </si>
  <si>
    <t>Pam.Beasley@DunderMifflin.com</t>
  </si>
  <si>
    <t>Dwight.Schrute@AOL.com</t>
  </si>
  <si>
    <t>Angela.Martin@DunderMifflin.com</t>
  </si>
  <si>
    <t>Toby.Flenderson@DunderMifflin.com</t>
  </si>
  <si>
    <t>Michael.Scott@DunderMifflin.com</t>
  </si>
  <si>
    <t>Meredith.Palmer@Yahoo.com</t>
  </si>
  <si>
    <t>Stanley.Hudson@gmail.com</t>
  </si>
  <si>
    <t>Kevin.Malone@DunderMifflin.com</t>
  </si>
  <si>
    <t>08-30-2017</t>
  </si>
  <si>
    <t>04-22-2015</t>
  </si>
  <si>
    <t>for multiple rows</t>
  </si>
  <si>
    <t>if not found</t>
  </si>
  <si>
    <t>Toby Flender</t>
  </si>
  <si>
    <t>match mode</t>
  </si>
  <si>
    <t xml:space="preserve">Meredith </t>
  </si>
  <si>
    <t>search order</t>
  </si>
  <si>
    <t>start date</t>
  </si>
  <si>
    <t>person</t>
  </si>
  <si>
    <t>Xlookup horizontal</t>
  </si>
  <si>
    <t>Paper</t>
  </si>
  <si>
    <t>Printer</t>
  </si>
  <si>
    <t>Manila Folder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</si>
  <si>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</si>
  <si>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</si>
  <si>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</si>
  <si>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</si>
  <si>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</si>
  <si>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</si>
  <si>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</si>
  <si>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</si>
  <si>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</si>
  <si>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</si>
  <si>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</si>
  <si>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</si>
  <si>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in xlookup</t>
  </si>
  <si>
    <t>paper</t>
  </si>
  <si>
    <t>feb + mar</t>
  </si>
  <si>
    <t>xlookup can be used with other formulas also</t>
  </si>
  <si>
    <t>VLOOKUP</t>
  </si>
  <si>
    <t>CONDITIONAL FORMATING</t>
  </si>
  <si>
    <t>Salary</t>
  </si>
  <si>
    <t>Staplers</t>
  </si>
  <si>
    <t>3 Ring Blinder</t>
  </si>
  <si>
    <t>Highlighters</t>
  </si>
  <si>
    <t>Pens</t>
  </si>
  <si>
    <t>Total Items Per Month</t>
  </si>
  <si>
    <t>YEAR END TOTAL</t>
  </si>
  <si>
    <t>jun +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</si>
</sst>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165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3" fillId="3" borderId="1" xfId="2" applyBorder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2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3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26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[EXCELUZZI.xlsx]Sheet2!PivotTable16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ENG by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F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387</c:v>
                </c:pt>
                <c:pt idx="1">
                  <c:v>56</c:v>
                </c:pt>
                <c:pt idx="2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B-4CD0-81AD-3AA7D034BC6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HINDI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F</c:v>
                </c:pt>
              </c:strCache>
            </c:strRef>
          </c:cat>
          <c:val>
            <c:numRef>
              <c:f>Sheet2!$C$4:$C$6</c:f>
              <c:numCache>
                <c:formatCode>General</c:formatCode>
                <c:ptCount val="3"/>
                <c:pt idx="0">
                  <c:v>395</c:v>
                </c:pt>
                <c:pt idx="1">
                  <c:v>95</c:v>
                </c:pt>
                <c:pt idx="2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B-4CD0-81AD-3AA7D034BC6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SCI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F</c:v>
                </c:pt>
              </c:strCache>
            </c:strRef>
          </c:cat>
          <c:val>
            <c:numRef>
              <c:f>Sheet2!$D$4:$D$6</c:f>
              <c:numCache>
                <c:formatCode>General</c:formatCode>
                <c:ptCount val="3"/>
                <c:pt idx="0">
                  <c:v>301</c:v>
                </c:pt>
                <c:pt idx="1">
                  <c:v>44</c:v>
                </c:pt>
                <c:pt idx="2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B-4CD0-81AD-3AA7D034BC6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MATHS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F</c:v>
                </c:pt>
              </c:strCache>
            </c:strRef>
          </c:cat>
          <c:val>
            <c:numRef>
              <c:f>Sheet2!$E$4:$E$6</c:f>
              <c:numCache>
                <c:formatCode>General</c:formatCode>
                <c:ptCount val="3"/>
                <c:pt idx="0">
                  <c:v>378</c:v>
                </c:pt>
                <c:pt idx="1">
                  <c:v>45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EB-4CD0-81AD-3AA7D034B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44191"/>
        <c:axId val="2097279503"/>
      </c:barChart>
      <c:catAx>
        <c:axId val="5344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79503"/>
        <c:crosses val="autoZero"/>
        <c:auto val="1"/>
        <c:lblAlgn val="ctr"/>
        <c:lblOffset val="100"/>
        <c:noMultiLvlLbl val="0"/>
      </c:catAx>
      <c:valAx>
        <c:axId val="20972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[EXCELUZZI.xlsx]Sheet1!PivotTable6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2">
              <a:lumMod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Sheet1!$D$30</c:f>
              <c:strCache>
                <c:ptCount val="1"/>
                <c:pt idx="0">
                  <c:v>Sum of COUNT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Sheet1!$D$31:$D$41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B96-4907-9926-15FB55AF428A}"/>
            </c:ext>
          </c:extLst>
        </c:ser>
        <c:ser>
          <c:idx val="1"/>
          <c:order val="1"/>
          <c:tx>
            <c:strRef>
              <c:f>Sheet1!$E$30</c:f>
              <c:strCache>
                <c:ptCount val="1"/>
                <c:pt idx="0">
                  <c:v>Sum of MAX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Sheet1!$E$31:$E$41</c:f>
              <c:numCache>
                <c:formatCode>General</c:formatCode>
                <c:ptCount val="10"/>
                <c:pt idx="0">
                  <c:v>88</c:v>
                </c:pt>
                <c:pt idx="1">
                  <c:v>95</c:v>
                </c:pt>
                <c:pt idx="2">
                  <c:v>93</c:v>
                </c:pt>
                <c:pt idx="3">
                  <c:v>60</c:v>
                </c:pt>
                <c:pt idx="4">
                  <c:v>84</c:v>
                </c:pt>
                <c:pt idx="5">
                  <c:v>55</c:v>
                </c:pt>
                <c:pt idx="6">
                  <c:v>78</c:v>
                </c:pt>
                <c:pt idx="7">
                  <c:v>90</c:v>
                </c:pt>
                <c:pt idx="8">
                  <c:v>90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B96-4907-9926-15FB55AF428A}"/>
            </c:ext>
          </c:extLst>
        </c:ser>
        <c:ser>
          <c:idx val="2"/>
          <c:order val="2"/>
          <c:tx>
            <c:strRef>
              <c:f>Sheet1!$F$30</c:f>
              <c:strCache>
                <c:ptCount val="1"/>
                <c:pt idx="0">
                  <c:v>Sum of MIN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Sheet1!$F$31:$F$41</c:f>
              <c:numCache>
                <c:formatCode>General</c:formatCode>
                <c:ptCount val="10"/>
                <c:pt idx="0">
                  <c:v>67</c:v>
                </c:pt>
                <c:pt idx="1">
                  <c:v>44</c:v>
                </c:pt>
                <c:pt idx="2">
                  <c:v>45</c:v>
                </c:pt>
                <c:pt idx="3">
                  <c:v>25</c:v>
                </c:pt>
                <c:pt idx="4">
                  <c:v>54</c:v>
                </c:pt>
                <c:pt idx="5">
                  <c:v>31</c:v>
                </c:pt>
                <c:pt idx="6">
                  <c:v>56</c:v>
                </c:pt>
                <c:pt idx="7">
                  <c:v>32</c:v>
                </c:pt>
                <c:pt idx="8">
                  <c:v>50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96-4907-9926-15FB55AF428A}"/>
            </c:ext>
          </c:extLst>
        </c:ser>
        <c:ser>
          <c:idx val="3"/>
          <c:order val="3"/>
          <c:tx>
            <c:strRef>
              <c:f>Sheet1!$G$30</c:f>
              <c:strCache>
                <c:ptCount val="1"/>
                <c:pt idx="0">
                  <c:v>Sum of 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Sheet1!$G$31:$G$41</c:f>
              <c:numCache>
                <c:formatCode>General</c:formatCode>
                <c:ptCount val="10"/>
                <c:pt idx="0">
                  <c:v>78</c:v>
                </c:pt>
                <c:pt idx="1">
                  <c:v>60</c:v>
                </c:pt>
                <c:pt idx="2">
                  <c:v>72.5</c:v>
                </c:pt>
                <c:pt idx="3">
                  <c:v>36.75</c:v>
                </c:pt>
                <c:pt idx="4">
                  <c:v>73.75</c:v>
                </c:pt>
                <c:pt idx="5">
                  <c:v>46.25</c:v>
                </c:pt>
                <c:pt idx="6">
                  <c:v>70</c:v>
                </c:pt>
                <c:pt idx="7">
                  <c:v>60.75</c:v>
                </c:pt>
                <c:pt idx="8">
                  <c:v>71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96-4907-9926-15FB55AF428A}"/>
            </c:ext>
          </c:extLst>
        </c:ser>
        <c:ser>
          <c:idx val="4"/>
          <c:order val="4"/>
          <c:tx>
            <c:strRef>
              <c:f>Sheet1!$H$30</c:f>
              <c:strCache>
                <c:ptCount val="1"/>
                <c:pt idx="0">
                  <c:v>Sum of PERCENTAGE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Sheet1!$H$31:$H$41</c:f>
              <c:numCache>
                <c:formatCode>General</c:formatCode>
                <c:ptCount val="10"/>
                <c:pt idx="0">
                  <c:v>78</c:v>
                </c:pt>
                <c:pt idx="1">
                  <c:v>60</c:v>
                </c:pt>
                <c:pt idx="2">
                  <c:v>72.5</c:v>
                </c:pt>
                <c:pt idx="3">
                  <c:v>36.75</c:v>
                </c:pt>
                <c:pt idx="4">
                  <c:v>73.75</c:v>
                </c:pt>
                <c:pt idx="5">
                  <c:v>46.25</c:v>
                </c:pt>
                <c:pt idx="6">
                  <c:v>70</c:v>
                </c:pt>
                <c:pt idx="7">
                  <c:v>60.750000000000007</c:v>
                </c:pt>
                <c:pt idx="8">
                  <c:v>71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B96-4907-9926-15FB55AF428A}"/>
            </c:ext>
          </c:extLst>
        </c:ser>
        <c:ser>
          <c:idx val="5"/>
          <c:order val="5"/>
          <c:tx>
            <c:strRef>
              <c:f>Sheet1!$I$30</c:f>
              <c:strCache>
                <c:ptCount val="1"/>
                <c:pt idx="0">
                  <c:v>Sum of ENG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Sheet1!$I$31:$I$41</c:f>
              <c:numCache>
                <c:formatCode>General</c:formatCode>
                <c:ptCount val="10"/>
                <c:pt idx="0">
                  <c:v>67</c:v>
                </c:pt>
                <c:pt idx="1">
                  <c:v>56</c:v>
                </c:pt>
                <c:pt idx="2">
                  <c:v>75</c:v>
                </c:pt>
                <c:pt idx="3">
                  <c:v>60</c:v>
                </c:pt>
                <c:pt idx="4">
                  <c:v>79</c:v>
                </c:pt>
                <c:pt idx="5">
                  <c:v>55</c:v>
                </c:pt>
                <c:pt idx="6">
                  <c:v>77</c:v>
                </c:pt>
                <c:pt idx="7">
                  <c:v>90</c:v>
                </c:pt>
                <c:pt idx="8">
                  <c:v>89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B96-4907-9926-15FB55AF428A}"/>
            </c:ext>
          </c:extLst>
        </c:ser>
        <c:ser>
          <c:idx val="6"/>
          <c:order val="6"/>
          <c:tx>
            <c:strRef>
              <c:f>Sheet1!$J$30</c:f>
              <c:strCache>
                <c:ptCount val="1"/>
                <c:pt idx="0">
                  <c:v>Sum of HINDI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Sheet1!$C$31:$C$41</c:f>
              <c:strCache>
                <c:ptCount val="10"/>
                <c:pt idx="0">
                  <c:v>MO AFZAL </c:v>
                </c:pt>
                <c:pt idx="1">
                  <c:v>MOHD ABID </c:v>
                </c:pt>
                <c:pt idx="2">
                  <c:v>MOHD ADIL</c:v>
                </c:pt>
                <c:pt idx="3">
                  <c:v>MOHD ALMAS</c:v>
                </c:pt>
                <c:pt idx="4">
                  <c:v>MOHD ARAFAT</c:v>
                </c:pt>
                <c:pt idx="5">
                  <c:v>MOHD AZHAR</c:v>
                </c:pt>
                <c:pt idx="6">
                  <c:v>MOHD JAVED </c:v>
                </c:pt>
                <c:pt idx="7">
                  <c:v>MOHD SOHAIL</c:v>
                </c:pt>
                <c:pt idx="8">
                  <c:v>MOHD UZAIR ANSARI</c:v>
                </c:pt>
                <c:pt idx="9">
                  <c:v>MOHD YAMIN</c:v>
                </c:pt>
              </c:strCache>
            </c:strRef>
          </c:cat>
          <c:val>
            <c:numRef>
              <c:f>Sheet1!$J$31:$J$41</c:f>
              <c:numCache>
                <c:formatCode>General</c:formatCode>
                <c:ptCount val="10"/>
                <c:pt idx="0">
                  <c:v>88</c:v>
                </c:pt>
                <c:pt idx="1">
                  <c:v>95</c:v>
                </c:pt>
                <c:pt idx="2">
                  <c:v>77</c:v>
                </c:pt>
                <c:pt idx="3">
                  <c:v>29</c:v>
                </c:pt>
                <c:pt idx="4">
                  <c:v>84</c:v>
                </c:pt>
                <c:pt idx="5">
                  <c:v>45</c:v>
                </c:pt>
                <c:pt idx="6">
                  <c:v>56</c:v>
                </c:pt>
                <c:pt idx="7">
                  <c:v>55</c:v>
                </c:pt>
                <c:pt idx="8">
                  <c:v>90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B96-4907-9926-15FB55AF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3572543"/>
        <c:axId val="461048991"/>
      </c:barChart>
      <c:catAx>
        <c:axId val="46357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127000">
              <a:schemeClr val="accent2">
                <a:lumMod val="75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48991"/>
        <c:crosses val="autoZero"/>
        <c:auto val="1"/>
        <c:lblAlgn val="ctr"/>
        <c:lblOffset val="100"/>
        <c:noMultiLvlLbl val="0"/>
      </c:catAx>
      <c:valAx>
        <c:axId val="4610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Product</a:t>
            </a:r>
            <a:r>
              <a:rPr lang="en-IN" baseline="0">
                <a:solidFill>
                  <a:srgbClr val="FF0000"/>
                </a:solidFill>
              </a:rPr>
              <a:t>s Sold Per Month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Sheet1!$X$127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Sheet1!$Y$127:$AJ$127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8-4F78-8173-2CE8B431BBE6}"/>
            </c:ext>
          </c:extLst>
        </c:ser>
        <c:ser>
          <c:idx val="2"/>
          <c:order val="2"/>
          <c:tx>
            <c:strRef>
              <c:f>Sheet1!$X$129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Sheet1!$Y$129:$AJ$129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48-4F78-8173-2CE8B431BBE6}"/>
            </c:ext>
          </c:extLst>
        </c:ser>
        <c:ser>
          <c:idx val="4"/>
          <c:order val="4"/>
          <c:tx>
            <c:strRef>
              <c:f>Sheet1!$X$131</c:f>
              <c:strCache>
                <c:ptCount val="1"/>
                <c:pt idx="0">
                  <c:v>3 Ring Blinder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Sheet1!$Y$131:$AJ$131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48-4F78-8173-2CE8B431B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40383"/>
        <c:axId val="99483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Sheet1!$X$128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Sheet1!$Y$128:$AJ$128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B48-4F78-8173-2CE8B431BBE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Sheet1!$X$130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Sheet1!$Y$130:$AJ$130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48-4F78-8173-2CE8B431BBE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Sheet1!$X$132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Sheet1!$Y$132:$AJ$132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48-4F78-8173-2CE8B431BBE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Sheet1!$X$133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Sheet1!$Y$133:$AJ$133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48-4F78-8173-2CE8B431BBE6}"/>
                  </c:ext>
                </c:extLst>
              </c15:ser>
            </c15:filteredLineSeries>
          </c:ext>
        </c:extLst>
      </c:lineChart>
      <c:catAx>
        <c:axId val="3723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  <c:auto val="1"/>
        <c:lblAlgn val="ctr"/>
        <c:lblOffset val="100"/>
        <c:noMultiLvlLbl val="0"/>
      </c:catAx>
      <c:valAx>
        <c:axId val="994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Product</a:t>
            </a:r>
            <a:r>
              <a:rPr lang="en-IN" baseline="0">
                <a:solidFill>
                  <a:srgbClr val="FF0000"/>
                </a:solidFill>
              </a:rPr>
              <a:t>s Sold Per Month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Sheet1!$X$127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Sheet1!$Y$127:$AJ$127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2-469F-9FE9-31BB75E81ECD}"/>
            </c:ext>
          </c:extLst>
        </c:ser>
        <c:ser>
          <c:idx val="1"/>
          <c:order val="1"/>
          <c:tx>
            <c:strRef>
              <c:f>Sheet1!$X$128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Sheet1!$Y$128:$AJ$128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2-469F-9FE9-31BB75E81ECD}"/>
            </c:ext>
          </c:extLst>
        </c:ser>
        <c:ser>
          <c:idx val="2"/>
          <c:order val="2"/>
          <c:tx>
            <c:strRef>
              <c:f>Sheet1!$X$129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Sheet1!$Y$129:$AJ$129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2-469F-9FE9-31BB75E81ECD}"/>
            </c:ext>
          </c:extLst>
        </c:ser>
        <c:ser>
          <c:idx val="3"/>
          <c:order val="3"/>
          <c:tx>
            <c:strRef>
              <c:f>Sheet1!$X$130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Sheet1!$Y$130:$AJ$130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2-469F-9FE9-31BB75E81ECD}"/>
            </c:ext>
          </c:extLst>
        </c:ser>
        <c:ser>
          <c:idx val="4"/>
          <c:order val="4"/>
          <c:tx>
            <c:strRef>
              <c:f>Sheet1!$X$131</c:f>
              <c:strCache>
                <c:ptCount val="1"/>
                <c:pt idx="0">
                  <c:v>3 Ring Blinder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Sheet1!$Y$131:$AJ$131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A2-469F-9FE9-31BB75E81ECD}"/>
            </c:ext>
          </c:extLst>
        </c:ser>
        <c:ser>
          <c:idx val="5"/>
          <c:order val="5"/>
          <c:tx>
            <c:strRef>
              <c:f>Sheet1!$X$132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Sheet1!$Y$132:$AJ$132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A2-469F-9FE9-31BB75E81ECD}"/>
            </c:ext>
          </c:extLst>
        </c:ser>
        <c:ser>
          <c:idx val="6"/>
          <c:order val="6"/>
          <c:tx>
            <c:strRef>
              <c:f>Sheet1!$X$133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Sheet1!$Y$133:$AJ$133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A2-469F-9FE9-31BB75E81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340383"/>
        <c:axId val="99483791"/>
      </c:barChart>
      <c:catAx>
        <c:axId val="3723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  <c:auto val="1"/>
        <c:lblAlgn val="ctr"/>
        <c:lblOffset val="100"/>
        <c:noMultiLvlLbl val="0"/>
      </c:catAx>
      <c:valAx>
        <c:axId val="994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Product</a:t>
            </a:r>
            <a:r>
              <a:rPr lang="en-IN" baseline="0">
                <a:solidFill>
                  <a:srgbClr val="FF0000"/>
                </a:solidFill>
              </a:rPr>
              <a:t>s Sold Per Month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Sheet1!$X$127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Sheet1!$Y$127:$AJ$127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4-4347-9868-F87631F10516}"/>
            </c:ext>
          </c:extLst>
        </c:ser>
        <c:ser>
          <c:idx val="1"/>
          <c:order val="1"/>
          <c:tx>
            <c:strRef>
              <c:f>Sheet1!$X$128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Sheet1!$Y$128:$AJ$128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4-4347-9868-F87631F10516}"/>
            </c:ext>
          </c:extLst>
        </c:ser>
        <c:ser>
          <c:idx val="2"/>
          <c:order val="2"/>
          <c:tx>
            <c:strRef>
              <c:f>Sheet1!$X$129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Sheet1!$Y$129:$AJ$129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4-4347-9868-F87631F10516}"/>
            </c:ext>
          </c:extLst>
        </c:ser>
        <c:ser>
          <c:idx val="3"/>
          <c:order val="3"/>
          <c:tx>
            <c:strRef>
              <c:f>Sheet1!$X$130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Sheet1!$Y$130:$AJ$130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4-4347-9868-F87631F10516}"/>
            </c:ext>
          </c:extLst>
        </c:ser>
        <c:ser>
          <c:idx val="4"/>
          <c:order val="4"/>
          <c:tx>
            <c:strRef>
              <c:f>Sheet1!$X$131</c:f>
              <c:strCache>
                <c:ptCount val="1"/>
                <c:pt idx="0">
                  <c:v>3 Ring Blinder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Sheet1!$Y$131:$AJ$131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54-4347-9868-F87631F10516}"/>
            </c:ext>
          </c:extLst>
        </c:ser>
        <c:ser>
          <c:idx val="5"/>
          <c:order val="5"/>
          <c:tx>
            <c:strRef>
              <c:f>Sheet1!$X$132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Sheet1!$Y$132:$AJ$132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54-4347-9868-F87631F10516}"/>
            </c:ext>
          </c:extLst>
        </c:ser>
        <c:ser>
          <c:idx val="6"/>
          <c:order val="6"/>
          <c:tx>
            <c:strRef>
              <c:f>Sheet1!$X$133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Sheet1!$Y$133:$AJ$133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54-4347-9868-F87631F10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372340383"/>
        <c:axId val="99483791"/>
        <c:axId val="98130783"/>
      </c:bar3DChart>
      <c:catAx>
        <c:axId val="3723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  <c:auto val="1"/>
        <c:lblAlgn val="ctr"/>
        <c:lblOffset val="100"/>
        <c:noMultiLvlLbl val="0"/>
      </c:catAx>
      <c:valAx>
        <c:axId val="994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383"/>
        <c:crosses val="autoZero"/>
        <c:crossBetween val="between"/>
      </c:valAx>
      <c:serAx>
        <c:axId val="981307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Product</a:t>
            </a:r>
            <a:r>
              <a:rPr lang="en-IN" baseline="0">
                <a:solidFill>
                  <a:srgbClr val="FF0000"/>
                </a:solidFill>
              </a:rPr>
              <a:t>s Sold Per Month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Sheet1!$X$127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Sheet1!$Y$127:$AJ$127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4-4189-94FC-8B5709268606}"/>
            </c:ext>
          </c:extLst>
        </c:ser>
        <c:ser>
          <c:idx val="2"/>
          <c:order val="2"/>
          <c:tx>
            <c:strRef>
              <c:f>Sheet1!$X$129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Sheet1!$Y$129:$AJ$129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24-4189-94FC-8B5709268606}"/>
            </c:ext>
          </c:extLst>
        </c:ser>
        <c:ser>
          <c:idx val="4"/>
          <c:order val="4"/>
          <c:tx>
            <c:strRef>
              <c:f>Sheet1!$X$131</c:f>
              <c:strCache>
                <c:ptCount val="1"/>
                <c:pt idx="0">
                  <c:v>3 Ring Blinder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Sheet1!$Y$131:$AJ$131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4-4189-94FC-8B5709268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40383"/>
        <c:axId val="99483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Sheet1!$X$128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Sheet1!$Y$128:$AJ$128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24-4189-94FC-8B570926860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Sheet1!$X$130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Sheet1!$Y$130:$AJ$130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24-4189-94FC-8B57092686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Sheet1!$X$132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Sheet1!$Y$132:$AJ$132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24-4189-94FC-8B570926860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Sheet1!$X$133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Sheet1!$Y$133:$AJ$133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24-4189-94FC-8B5709268606}"/>
                  </c:ext>
                </c:extLst>
              </c15:ser>
            </c15:filteredLineSeries>
          </c:ext>
        </c:extLst>
      </c:lineChart>
      <c:catAx>
        <c:axId val="3723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  <c:auto val="1"/>
        <c:lblAlgn val="ctr"/>
        <c:lblOffset val="100"/>
        <c:noMultiLvlLbl val="0"/>
      </c:catAx>
      <c:valAx>
        <c:axId val="994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Product</a:t>
            </a:r>
            <a:r>
              <a:rPr lang="en-IN" baseline="0">
                <a:solidFill>
                  <a:srgbClr val="FF0000"/>
                </a:solidFill>
              </a:rPr>
              <a:t>s Sold Per Month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Sheet1!$X$127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Sheet1!$Y$127:$AJ$127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0-41F9-9836-10C16873B5B3}"/>
            </c:ext>
          </c:extLst>
        </c:ser>
        <c:ser>
          <c:idx val="2"/>
          <c:order val="2"/>
          <c:tx>
            <c:strRef>
              <c:f>Sheet1!$X$129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Sheet1!$Y$129:$AJ$129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0-41F9-9836-10C16873B5B3}"/>
            </c:ext>
          </c:extLst>
        </c:ser>
        <c:ser>
          <c:idx val="4"/>
          <c:order val="4"/>
          <c:tx>
            <c:strRef>
              <c:f>Sheet1!$X$131</c:f>
              <c:strCache>
                <c:ptCount val="1"/>
                <c:pt idx="0">
                  <c:v>3 Ring Blinder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Sheet1!$Y$126:$AJ$126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Sheet1!$Y$131:$AJ$131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0-41F9-9836-10C16873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40383"/>
        <c:axId val="99483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Sheet1!$X$128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Sheet1!$Y$128:$AJ$128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910-41F9-9836-10C16873B5B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Sheet1!$X$130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Sheet1!$Y$130:$AJ$130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10-41F9-9836-10C16873B5B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Sheet1!$X$132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Sheet1!$Y$132:$AJ$132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10-41F9-9836-10C16873B5B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Sheet1!$X$133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Sheet1!$Y$126:$AJ$126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Sheet1!$Y$133:$AJ$133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10-41F9-9836-10C16873B5B3}"/>
                  </c:ext>
                </c:extLst>
              </c15:ser>
            </c15:filteredLineSeries>
          </c:ext>
        </c:extLst>
      </c:lineChart>
      <c:catAx>
        <c:axId val="3723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3791"/>
        <c:crosses val="autoZero"/>
        <c:auto val="1"/>
        <c:lblAlgn val="ctr"/>
        <c:lblOffset val="100"/>
        <c:noMultiLvlLbl val="0"/>
      </c:catAx>
      <c:valAx>
        <c:axId val="994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40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6</xdr:row>
      <xdr:rowOff>1</xdr:rowOff>
    </xdr:from>
    <xdr:to>
      <xdr:col>10</xdr:col>
      <xdr:colOff>342900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5C981-A262-E029-42A2-438EA9554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43295</xdr:colOff>
      <xdr:row>44</xdr:row>
      <xdr:rowOff>164523</xdr:rowOff>
    </xdr:from>
    <xdr:to>
      <xdr:col>7</xdr:col>
      <xdr:colOff>493569</xdr:colOff>
      <xdr:row>61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B760C-4D2D-5488-C2DE-D9057AD2C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554182</xdr:colOff>
      <xdr:row>136</xdr:row>
      <xdr:rowOff>22514</xdr:rowOff>
    </xdr:from>
    <xdr:to>
      <xdr:col>36</xdr:col>
      <xdr:colOff>467591</xdr:colOff>
      <xdr:row>150</xdr:row>
      <xdr:rowOff>98714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12D6F2-360C-600E-7F55-6AC2C1660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36216E-D046-43E2-9D6F-B66972F7E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304800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039228-B0F7-43FE-9A1C-272961FB9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ECD94F-F7D2-4310-9444-89BFB2059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</xdr:colOff>
      <xdr:row>17</xdr:row>
      <xdr:rowOff>19050</xdr:rowOff>
    </xdr:from>
    <xdr:to>
      <xdr:col>18</xdr:col>
      <xdr:colOff>514350</xdr:colOff>
      <xdr:row>31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59F131-ECCF-4362-9CC2-223248D5A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maas ansari" refreshedDate="45251.945515046296" createdVersion="8" refreshedVersion="8" minRefreshableVersion="3" recordCount="10" xr:uid="{C6DBCBFE-64BD-4668-B8FA-AE898FC4D517}">
  <cacheSource type="worksheet">
    <worksheetSource name="Table1"/>
  </cacheSource>
  <cacheFields count="14">
    <cacheField name="SR.NO" numFmtId="0">
      <sharedItems containsSemiMixedTypes="0" containsString="0" containsNumber="1" containsInteger="1" minValue="1" maxValue="10" count="10">
        <n v="1"/>
        <n v="4"/>
        <n v="5"/>
        <n v="2"/>
        <n v="3"/>
        <n v="6"/>
        <n v="7"/>
        <n v="8"/>
        <n v="9"/>
        <n v="10"/>
      </sharedItems>
    </cacheField>
    <cacheField name="NAME" numFmtId="0">
      <sharedItems count="10">
        <s v="MOHD UZAIR ANSARI"/>
        <s v="MOHD SOHAIL"/>
        <s v="MOHD JAVED "/>
        <s v="MOHD ADIL"/>
        <s v="MO AFZAL "/>
        <s v="MOHD YAMIN"/>
        <s v="MOHD ABID "/>
        <s v="MOHD ALMAS"/>
        <s v="MOHD ARAFAT"/>
        <s v="MOHD AZHAR"/>
      </sharedItems>
    </cacheField>
    <cacheField name="ENG" numFmtId="0">
      <sharedItems containsSemiMixedTypes="0" containsString="0" containsNumber="1" containsInteger="1" minValue="23" maxValue="90" count="10">
        <n v="89"/>
        <n v="90"/>
        <n v="77"/>
        <n v="75"/>
        <n v="67"/>
        <n v="23"/>
        <n v="56"/>
        <n v="60"/>
        <n v="79"/>
        <n v="55"/>
      </sharedItems>
    </cacheField>
    <cacheField name="HINDI" numFmtId="0">
      <sharedItems containsSemiMixedTypes="0" containsString="0" containsNumber="1" containsInteger="1" minValue="29" maxValue="95"/>
    </cacheField>
    <cacheField name="SCI" numFmtId="0">
      <sharedItems containsSemiMixedTypes="0" containsString="0" containsNumber="1" containsInteger="1" minValue="33" maxValue="78"/>
    </cacheField>
    <cacheField name="MATHS" numFmtId="0">
      <sharedItems containsSemiMixedTypes="0" containsString="0" containsNumber="1" containsInteger="1" minValue="25" maxValue="93"/>
    </cacheField>
    <cacheField name="TOTAL" numFmtId="0">
      <sharedItems containsSemiMixedTypes="0" containsString="0" containsNumber="1" containsInteger="1" minValue="147" maxValue="312"/>
    </cacheField>
    <cacheField name="MAX" numFmtId="0">
      <sharedItems containsSemiMixedTypes="0" containsString="0" containsNumber="1" containsInteger="1" minValue="55" maxValue="95"/>
    </cacheField>
    <cacheField name="MIN" numFmtId="0">
      <sharedItems containsSemiMixedTypes="0" containsString="0" containsNumber="1" containsInteger="1" minValue="23" maxValue="67"/>
    </cacheField>
    <cacheField name="COUNT" numFmtId="0">
      <sharedItems containsSemiMixedTypes="0" containsString="0" containsNumber="1" containsInteger="1" minValue="4" maxValue="4"/>
    </cacheField>
    <cacheField name="AVG" numFmtId="0">
      <sharedItems containsSemiMixedTypes="0" containsString="0" containsNumber="1" minValue="36.75" maxValue="78" count="10">
        <n v="71"/>
        <n v="60.75"/>
        <n v="70"/>
        <n v="72.5"/>
        <n v="78"/>
        <n v="54"/>
        <n v="60"/>
        <n v="36.75"/>
        <n v="73.75"/>
        <n v="46.25"/>
      </sharedItems>
    </cacheField>
    <cacheField name="PERCENTAGE" numFmtId="0">
      <sharedItems containsSemiMixedTypes="0" containsString="0" containsNumber="1" minValue="36.75" maxValue="78" count="10">
        <n v="71"/>
        <n v="60.750000000000007"/>
        <n v="70"/>
        <n v="72.5"/>
        <n v="78"/>
        <n v="54"/>
        <n v="60"/>
        <n v="36.75"/>
        <n v="73.75"/>
        <n v="46.25"/>
      </sharedItems>
    </cacheField>
    <cacheField name="RESULT" numFmtId="0">
      <sharedItems/>
    </cacheField>
    <cacheField name="GRADE" numFmtId="0">
      <sharedItems count="3">
        <s v="A"/>
        <s v="F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90"/>
    <n v="55"/>
    <n v="50"/>
    <n v="284"/>
    <n v="90"/>
    <n v="50"/>
    <n v="4"/>
    <x v="0"/>
    <x v="0"/>
    <s v="PASS"/>
    <x v="0"/>
  </r>
  <r>
    <x v="1"/>
    <x v="1"/>
    <x v="1"/>
    <n v="55"/>
    <n v="66"/>
    <n v="32"/>
    <n v="243"/>
    <n v="90"/>
    <n v="32"/>
    <n v="4"/>
    <x v="1"/>
    <x v="1"/>
    <s v="FAIL"/>
    <x v="1"/>
  </r>
  <r>
    <x v="2"/>
    <x v="2"/>
    <x v="2"/>
    <n v="56"/>
    <n v="69"/>
    <n v="78"/>
    <n v="280"/>
    <n v="78"/>
    <n v="56"/>
    <n v="4"/>
    <x v="2"/>
    <x v="2"/>
    <s v="PASS"/>
    <x v="0"/>
  </r>
  <r>
    <x v="3"/>
    <x v="3"/>
    <x v="3"/>
    <n v="77"/>
    <n v="45"/>
    <n v="93"/>
    <n v="290"/>
    <n v="93"/>
    <n v="45"/>
    <n v="4"/>
    <x v="3"/>
    <x v="3"/>
    <s v="PASS"/>
    <x v="0"/>
  </r>
  <r>
    <x v="4"/>
    <x v="4"/>
    <x v="4"/>
    <n v="88"/>
    <n v="78"/>
    <n v="79"/>
    <n v="312"/>
    <n v="88"/>
    <n v="67"/>
    <n v="4"/>
    <x v="4"/>
    <x v="4"/>
    <s v="PASS"/>
    <x v="0"/>
  </r>
  <r>
    <x v="5"/>
    <x v="5"/>
    <x v="5"/>
    <n v="87"/>
    <n v="52"/>
    <n v="54"/>
    <n v="216"/>
    <n v="87"/>
    <n v="23"/>
    <n v="4"/>
    <x v="5"/>
    <x v="5"/>
    <s v="FAIL"/>
    <x v="1"/>
  </r>
  <r>
    <x v="6"/>
    <x v="6"/>
    <x v="6"/>
    <n v="95"/>
    <n v="44"/>
    <n v="45"/>
    <n v="240"/>
    <n v="95"/>
    <n v="44"/>
    <n v="4"/>
    <x v="6"/>
    <x v="6"/>
    <s v="PASS"/>
    <x v="2"/>
  </r>
  <r>
    <x v="7"/>
    <x v="7"/>
    <x v="7"/>
    <n v="29"/>
    <n v="33"/>
    <n v="25"/>
    <n v="147"/>
    <n v="60"/>
    <n v="25"/>
    <n v="4"/>
    <x v="7"/>
    <x v="7"/>
    <s v="FAIL"/>
    <x v="1"/>
  </r>
  <r>
    <x v="8"/>
    <x v="8"/>
    <x v="8"/>
    <n v="84"/>
    <n v="54"/>
    <n v="78"/>
    <n v="295"/>
    <n v="84"/>
    <n v="54"/>
    <n v="4"/>
    <x v="8"/>
    <x v="8"/>
    <s v="PASS"/>
    <x v="0"/>
  </r>
  <r>
    <x v="9"/>
    <x v="9"/>
    <x v="9"/>
    <n v="45"/>
    <n v="54"/>
    <n v="31"/>
    <n v="185"/>
    <n v="55"/>
    <n v="31"/>
    <n v="4"/>
    <x v="9"/>
    <x v="9"/>
    <s v="FAIL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4B268-EBA7-45C4-B625-404BE075007A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E6" firstHeaderRow="0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NG" fld="2" baseField="0" baseItem="0"/>
    <dataField name="Sum of HINDI" fld="3" baseField="0" baseItem="0"/>
    <dataField name="Sum of SCI" fld="4" baseField="0" baseItem="0"/>
    <dataField name="Sum of MATHS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C25A8F-7C42-4FBE-B3A6-87AE80070AE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30:J41" firstHeaderRow="0" firstDataRow="1" firstDataCol="1"/>
  <pivotFields count="14">
    <pivotField showAll="0">
      <items count="11">
        <item x="0"/>
        <item x="3"/>
        <item x="4"/>
        <item x="1"/>
        <item x="2"/>
        <item x="5"/>
        <item x="6"/>
        <item x="7"/>
        <item x="8"/>
        <item x="9"/>
        <item t="default"/>
      </items>
    </pivotField>
    <pivotField axis="axisRow" showAll="0" sortType="ascending">
      <items count="11">
        <item x="4"/>
        <item x="6"/>
        <item x="3"/>
        <item x="7"/>
        <item x="8"/>
        <item x="9"/>
        <item x="2"/>
        <item x="1"/>
        <item x="0"/>
        <item x="5"/>
        <item t="default"/>
      </items>
    </pivotField>
    <pivotField dataField="1" showAll="0">
      <items count="11">
        <item x="5"/>
        <item x="9"/>
        <item x="6"/>
        <item x="7"/>
        <item x="4"/>
        <item x="3"/>
        <item x="2"/>
        <item x="8"/>
        <item x="0"/>
        <item x="1"/>
        <item t="default"/>
      </items>
    </pivotField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>
      <items count="11">
        <item x="7"/>
        <item x="9"/>
        <item x="5"/>
        <item x="6"/>
        <item x="1"/>
        <item x="2"/>
        <item x="0"/>
        <item x="3"/>
        <item x="8"/>
        <item x="4"/>
        <item t="default"/>
      </items>
    </pivotField>
    <pivotField dataField="1" showAll="0">
      <items count="11">
        <item x="7"/>
        <item x="9"/>
        <item x="5"/>
        <item x="6"/>
        <item x="1"/>
        <item x="2"/>
        <item x="0"/>
        <item x="3"/>
        <item x="8"/>
        <item x="4"/>
        <item t="default"/>
      </items>
    </pivotField>
    <pivotField showAll="0"/>
    <pivotField showAll="0">
      <items count="4">
        <item x="0"/>
        <item x="2"/>
        <item x="1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COUNT" fld="9" baseField="0" baseItem="0"/>
    <dataField name="Sum of MAX" fld="7" baseField="0" baseItem="0"/>
    <dataField name="Sum of MIN" fld="8" baseField="0" baseItem="0"/>
    <dataField name="Sum of AVG" fld="10" baseField="0" baseItem="0"/>
    <dataField name="Sum of PERCENTAGE" fld="11" baseField="0" baseItem="0"/>
    <dataField name="Sum of ENG" fld="2" baseField="0" baseItem="0"/>
    <dataField name="Sum of HINDI" fld="3" baseField="0" baseItem="0"/>
  </dataFields>
  <chartFormats count="7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33A74-1DDD-4360-AA8D-ECE4028E1FCB}" name="Table2" displayName="Table2" ref="A2:D8" totalsRowShown="0" headerRowDxfId="25">
  <autoFilter ref="A2:D8" xr:uid="{3A933A74-1DDD-4360-AA8D-ECE4028E1FCB}"/>
  <tableColumns count="4">
    <tableColumn id="1" xr3:uid="{71E46E32-3748-4BB9-872E-2D9AA3143F63}" name="SR.No"/>
    <tableColumn id="2" xr3:uid="{0DD3A845-79BE-42DD-AAE5-DF985E863368}" name="Name " dataDxfId="24"/>
    <tableColumn id="3" xr3:uid="{E29DEE65-74BE-4046-81A4-E70E07AEB102}" name=" Marks" dataDxfId="23"/>
    <tableColumn id="4" xr3:uid="{D0AAF400-B726-4C4C-8B69-5F351A93094B}" name="Grad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F5125-2AF9-4181-B966-8B4735EE89AE}" name="Table1" displayName="Table1" ref="I4:V14" totalsRowShown="0">
  <autoFilter ref="I4:V14" xr:uid="{AD0F5125-2AF9-4181-B966-8B4735EE89AE}"/>
  <tableColumns count="14">
    <tableColumn id="1" xr3:uid="{FC438C18-5144-4D15-B1A0-0E78FBA676C4}" name="SR.NO"/>
    <tableColumn id="2" xr3:uid="{193B2B0F-9FBD-4BC5-802E-2981295E5F61}" name="NAME OF THE STUDENT"/>
    <tableColumn id="3" xr3:uid="{3CD89181-649A-4594-81CC-E4A937886783}" name="ENG"/>
    <tableColumn id="4" xr3:uid="{AA1CCA6E-BD41-46A8-A251-D21571888A93}" name="HINDI"/>
    <tableColumn id="5" xr3:uid="{1FCAB3D2-C441-474C-8571-48F0B719CD96}" name="SCI"/>
    <tableColumn id="6" xr3:uid="{07B6AC23-7CA9-4C39-8F0E-6428E47F263C}" name="MATHS"/>
    <tableColumn id="7" xr3:uid="{68857179-ACD6-4BD1-9908-4FF03FF95132}" name="TOTAL" dataDxfId="21">
      <calculatedColumnFormula>SUM(Table1[[#This Row],[ENG]:[MATHS]])</calculatedColumnFormula>
    </tableColumn>
    <tableColumn id="8" xr3:uid="{67218123-20DC-4D69-8EFD-0948AE616BE6}" name="MAX" dataDxfId="20">
      <calculatedColumnFormula>MAX(Table1[[#This Row],[ENG]:[MATHS]])</calculatedColumnFormula>
    </tableColumn>
    <tableColumn id="9" xr3:uid="{E923DFF0-50C6-4F9A-8029-D62791AB40EA}" name="MIN" dataDxfId="19">
      <calculatedColumnFormula>MIN(Table1[[#This Row],[ENG]:[MATHS]])</calculatedColumnFormula>
    </tableColumn>
    <tableColumn id="10" xr3:uid="{57303E55-F673-480C-AC4D-768D40BB5E82}" name="COUNT" dataDxfId="18">
      <calculatedColumnFormula>COUNT(Table1[[#This Row],[ENG]:[MATHS]])</calculatedColumnFormula>
    </tableColumn>
    <tableColumn id="11" xr3:uid="{7B998974-D7A5-4A6A-AEE9-CB562FB9A4BF}" name="AVG" dataDxfId="17">
      <calculatedColumnFormula>AVERAGE(Table1[[#This Row],[ENG]:[MATHS]])</calculatedColumnFormula>
    </tableColumn>
    <tableColumn id="18" xr3:uid="{C1BE7EB0-1120-465A-8070-FD55921A6319}" name="PERCENTAGE" dataDxfId="16">
      <calculatedColumnFormula>Table1[[#This Row],[TOTAL]]/400*100</calculatedColumnFormula>
    </tableColumn>
    <tableColumn id="19" xr3:uid="{58CAD3C6-ED81-4B90-9F62-B8989342AF00}" name="RESULT" dataDxfId="15">
      <calculatedColumnFormula>IF(OR(Table1[[#This Row],[ENG]]&lt;33,Table1[[#This Row],[HINDI]]&lt;33,Table1[[#This Row],[SCI]]&lt;33,Table1[[#This Row],[MATHS]]&lt;33),"FAIL","PASS")</calculatedColumnFormula>
    </tableColumn>
    <tableColumn id="20" xr3:uid="{E513B893-75EF-4F76-9000-CFCAA639D215}" name="GRADE" dataDxfId="14">
      <calculatedColumnFormula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F051FF-DD5B-47AF-BC6A-67A0578D76A7}" name="Table3" displayName="Table3" ref="M20:P26" totalsRowCount="1" totalsRowDxfId="13" totalsRowBorderDxfId="12">
  <autoFilter ref="M20:P25" xr:uid="{AEF051FF-DD5B-47AF-BC6A-67A0578D76A7}"/>
  <tableColumns count="4">
    <tableColumn id="1" xr3:uid="{0A9014A3-1F9B-4BD1-905A-E18B1820BF00}" name="PRODUCT" dataDxfId="11" totalsRowDxfId="10"/>
    <tableColumn id="2" xr3:uid="{405E9519-7B57-47E8-9554-6A03BE3F329C}" name="Column1" dataDxfId="9" totalsRowDxfId="8"/>
    <tableColumn id="3" xr3:uid="{EF3C25B0-AD62-4D1A-A636-D8E8AF47E3F5}" name="PRICE" dataDxfId="7" totalsRowDxfId="6"/>
    <tableColumn id="4" xr3:uid="{ABC3C6D8-F359-41E9-A744-36F273E9B015}" name="TOTAL" totalsRowFunction="custom" dataDxfId="5" totalsRowDxfId="4">
      <calculatedColumnFormula>Table3[[#This Row],[Column1]]*Table3[[#This Row],[PRICE]]</calculatedColumnFormula>
      <totalsRowFormula array="1">SUM(Table3[Column1]*Table3[PRICE])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redith.Palmer@Yahoo.com" TargetMode="External"/><Relationship Id="rId13" Type="http://schemas.openxmlformats.org/officeDocument/2006/relationships/hyperlink" Target="mailto:Dwight.Schrute@AOL.com" TargetMode="External"/><Relationship Id="rId18" Type="http://schemas.openxmlformats.org/officeDocument/2006/relationships/hyperlink" Target="mailto:Stanley.Hudson@gmail.com" TargetMode="External"/><Relationship Id="rId3" Type="http://schemas.openxmlformats.org/officeDocument/2006/relationships/hyperlink" Target="mailto:Pam.Beasley@DunderMifflin.com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mailto:Michael.Scott@DunderMifflin.com" TargetMode="External"/><Relationship Id="rId12" Type="http://schemas.openxmlformats.org/officeDocument/2006/relationships/hyperlink" Target="mailto:Pam.Beasley@DunderMifflin.com" TargetMode="External"/><Relationship Id="rId17" Type="http://schemas.openxmlformats.org/officeDocument/2006/relationships/hyperlink" Target="mailto:Meredith.Palmer@Yahoo.com" TargetMode="External"/><Relationship Id="rId25" Type="http://schemas.openxmlformats.org/officeDocument/2006/relationships/table" Target="../tables/table3.xml"/><Relationship Id="rId2" Type="http://schemas.openxmlformats.org/officeDocument/2006/relationships/hyperlink" Target="mailto:Jim.Hallpert@DunderMifflin.com" TargetMode="External"/><Relationship Id="rId16" Type="http://schemas.openxmlformats.org/officeDocument/2006/relationships/hyperlink" Target="mailto:Michael.Scott@DunderMifflin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6" Type="http://schemas.openxmlformats.org/officeDocument/2006/relationships/hyperlink" Target="mailto:Toby.Flenderson@DunderMifflin.com" TargetMode="External"/><Relationship Id="rId11" Type="http://schemas.openxmlformats.org/officeDocument/2006/relationships/hyperlink" Target="mailto:Jim.Hallpert@DunderMifflin.com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Angela.Martin@DunderMifflin.com" TargetMode="External"/><Relationship Id="rId15" Type="http://schemas.openxmlformats.org/officeDocument/2006/relationships/hyperlink" Target="mailto:Toby.Flenderson@DunderMifflin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Kevin.Malone@DunderMifflin.com" TargetMode="External"/><Relationship Id="rId19" Type="http://schemas.openxmlformats.org/officeDocument/2006/relationships/hyperlink" Target="mailto:Kevin.Malone@DunderMifflin.com" TargetMode="External"/><Relationship Id="rId4" Type="http://schemas.openxmlformats.org/officeDocument/2006/relationships/hyperlink" Target="mailto:Dwight.Schrute@AOL.com" TargetMode="External"/><Relationship Id="rId9" Type="http://schemas.openxmlformats.org/officeDocument/2006/relationships/hyperlink" Target="mailto:Stanley.Hudson@gmail.com" TargetMode="External"/><Relationship Id="rId14" Type="http://schemas.openxmlformats.org/officeDocument/2006/relationships/hyperlink" Target="mailto:Angela.Martin@DunderMifflin.com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3531-208F-42C8-9D93-B5AA1EDE827A}">
  <dimension ref="A3:E6"/>
  <sheetViews>
    <sheetView topLeftCell="AD133" workbookViewId="0">
      <selection activeCell="Y16" sqref="Y16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2.7109375" bestFit="1" customWidth="1"/>
    <col min="4" max="4" width="10.28515625" bestFit="1" customWidth="1"/>
    <col min="5" max="5" width="14.140625" bestFit="1" customWidth="1"/>
  </cols>
  <sheetData>
    <row r="3" spans="1:5" x14ac:dyDescent="0.25">
      <c r="A3" s="4" t="s">
        <v>30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25">
      <c r="A4" t="s">
        <v>0</v>
      </c>
      <c r="B4">
        <v>387</v>
      </c>
      <c r="C4">
        <v>395</v>
      </c>
      <c r="D4">
        <v>301</v>
      </c>
      <c r="E4">
        <v>378</v>
      </c>
    </row>
    <row r="5" spans="1:5" x14ac:dyDescent="0.25">
      <c r="A5" t="s">
        <v>1</v>
      </c>
      <c r="B5">
        <v>56</v>
      </c>
      <c r="C5">
        <v>95</v>
      </c>
      <c r="D5">
        <v>44</v>
      </c>
      <c r="E5">
        <v>45</v>
      </c>
    </row>
    <row r="6" spans="1:5" x14ac:dyDescent="0.25">
      <c r="A6" t="s">
        <v>7</v>
      </c>
      <c r="B6">
        <v>228</v>
      </c>
      <c r="C6">
        <v>216</v>
      </c>
      <c r="D6">
        <v>205</v>
      </c>
      <c r="E6">
        <v>142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227B-A09A-4A9B-A07A-353A3270FE82}">
  <dimension ref="A1:AQ134"/>
  <sheetViews>
    <sheetView tabSelected="1" topLeftCell="O85" zoomScale="110" zoomScaleNormal="110" workbookViewId="0">
      <selection activeCell="O103" sqref="O103"/>
    </sheetView>
  </sheetViews>
  <sheetFormatPr defaultRowHeight="15" x14ac:dyDescent="0.25"/>
  <cols>
    <col min="1" max="1" width="13.140625" customWidth="1"/>
    <col min="2" max="2" width="11.140625" customWidth="1"/>
    <col min="3" max="3" width="19.85546875" bestFit="1" customWidth="1"/>
    <col min="4" max="4" width="14.140625" bestFit="1" customWidth="1"/>
    <col min="5" max="5" width="12" bestFit="1" customWidth="1"/>
    <col min="6" max="6" width="11.42578125" bestFit="1" customWidth="1"/>
    <col min="7" max="7" width="11.5703125" bestFit="1" customWidth="1"/>
    <col min="8" max="8" width="19.42578125" bestFit="1" customWidth="1"/>
    <col min="9" max="9" width="11.42578125" bestFit="1" customWidth="1"/>
    <col min="10" max="10" width="12.7109375" bestFit="1" customWidth="1"/>
    <col min="11" max="11" width="6.140625" bestFit="1" customWidth="1"/>
    <col min="12" max="12" width="12.7109375" bestFit="1" customWidth="1"/>
    <col min="13" max="13" width="6.140625" bestFit="1" customWidth="1"/>
    <col min="14" max="14" width="4.28515625" customWidth="1"/>
    <col min="15" max="15" width="13.140625" bestFit="1" customWidth="1"/>
    <col min="16" max="17" width="16.5703125" bestFit="1" customWidth="1"/>
    <col min="18" max="18" width="18" bestFit="1" customWidth="1"/>
    <col min="19" max="19" width="13.140625" bestFit="1" customWidth="1"/>
    <col min="20" max="20" width="10.5703125" bestFit="1" customWidth="1"/>
    <col min="21" max="21" width="21" customWidth="1"/>
    <col min="22" max="22" width="13.140625" bestFit="1" customWidth="1"/>
    <col min="23" max="23" width="10.5703125" bestFit="1" customWidth="1"/>
    <col min="24" max="26" width="10.7109375" customWidth="1"/>
    <col min="27" max="27" width="15.85546875" bestFit="1" customWidth="1"/>
    <col min="28" max="28" width="11.42578125" bestFit="1" customWidth="1"/>
    <col min="29" max="29" width="13.7109375" bestFit="1" customWidth="1"/>
    <col min="31" max="31" width="11.85546875" bestFit="1" customWidth="1"/>
    <col min="32" max="32" width="5.42578125" bestFit="1" customWidth="1"/>
    <col min="33" max="33" width="11.5703125" bestFit="1" customWidth="1"/>
    <col min="34" max="34" width="14.5703125" customWidth="1"/>
    <col min="35" max="35" width="17.7109375" bestFit="1" customWidth="1"/>
    <col min="36" max="36" width="20.28515625" bestFit="1" customWidth="1"/>
    <col min="37" max="37" width="19.85546875" bestFit="1" customWidth="1"/>
    <col min="38" max="38" width="10.85546875" bestFit="1" customWidth="1"/>
    <col min="39" max="39" width="11.85546875" bestFit="1" customWidth="1"/>
  </cols>
  <sheetData>
    <row r="1" spans="1:37" x14ac:dyDescent="0.25">
      <c r="A1" s="26" t="s">
        <v>37</v>
      </c>
      <c r="B1" s="26"/>
      <c r="C1" s="26"/>
      <c r="D1" s="26"/>
    </row>
    <row r="2" spans="1:37" x14ac:dyDescent="0.25">
      <c r="A2" s="3" t="s">
        <v>9</v>
      </c>
      <c r="B2" s="3" t="s">
        <v>8</v>
      </c>
      <c r="C2" s="1" t="s">
        <v>6</v>
      </c>
      <c r="D2" s="1" t="s">
        <v>5</v>
      </c>
      <c r="U2" s="21" t="s">
        <v>117</v>
      </c>
      <c r="V2" s="21" t="s">
        <v>118</v>
      </c>
    </row>
    <row r="3" spans="1:37" x14ac:dyDescent="0.25">
      <c r="A3" s="1">
        <v>1</v>
      </c>
      <c r="B3" s="3" t="s">
        <v>0</v>
      </c>
      <c r="C3" s="2">
        <v>34.68</v>
      </c>
      <c r="D3" s="1" t="s">
        <v>4</v>
      </c>
    </row>
    <row r="4" spans="1:37" x14ac:dyDescent="0.25">
      <c r="A4" s="1">
        <v>2</v>
      </c>
      <c r="B4" s="3" t="s">
        <v>1</v>
      </c>
      <c r="C4" s="2">
        <v>66</v>
      </c>
      <c r="D4" s="1" t="s">
        <v>2</v>
      </c>
      <c r="I4" t="s">
        <v>10</v>
      </c>
      <c r="J4" t="s">
        <v>38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  <c r="Z4" s="3" t="s">
        <v>51</v>
      </c>
      <c r="AA4" t="s">
        <v>44</v>
      </c>
      <c r="AB4" t="s">
        <v>52</v>
      </c>
      <c r="AC4" t="s">
        <v>53</v>
      </c>
      <c r="AF4" t="s">
        <v>44</v>
      </c>
      <c r="AI4" t="s">
        <v>52</v>
      </c>
      <c r="AJ4" t="s">
        <v>53</v>
      </c>
      <c r="AK4" t="s">
        <v>73</v>
      </c>
    </row>
    <row r="5" spans="1:37" x14ac:dyDescent="0.25">
      <c r="A5" s="1">
        <v>3</v>
      </c>
      <c r="B5" s="3" t="s">
        <v>2</v>
      </c>
      <c r="C5" s="3">
        <v>30</v>
      </c>
      <c r="D5" s="1" t="s">
        <v>7</v>
      </c>
      <c r="I5" s="1">
        <v>1</v>
      </c>
      <c r="J5" t="s">
        <v>16</v>
      </c>
      <c r="K5" s="1">
        <v>89</v>
      </c>
      <c r="L5" s="3">
        <v>90</v>
      </c>
      <c r="M5" s="3">
        <v>55</v>
      </c>
      <c r="N5" s="3">
        <v>50</v>
      </c>
      <c r="O5" s="3">
        <f>SUM(Table1[[#This Row],[ENG]:[MATHS]])</f>
        <v>284</v>
      </c>
      <c r="P5" s="3">
        <f>MAX(Table1[[#This Row],[ENG]:[MATHS]])</f>
        <v>90</v>
      </c>
      <c r="Q5" s="3">
        <f>MIN(Table1[[#This Row],[ENG]:[MATHS]])</f>
        <v>50</v>
      </c>
      <c r="R5" s="3">
        <f>COUNT(Table1[[#This Row],[ENG]:[MATHS]])</f>
        <v>4</v>
      </c>
      <c r="S5" s="3">
        <f>AVERAGE(Table1[[#This Row],[ENG]:[MATHS]])</f>
        <v>71</v>
      </c>
      <c r="T5" s="3">
        <f>Table1[[#This Row],[TOTAL]]/400*100</f>
        <v>71</v>
      </c>
      <c r="U5" s="14" t="str">
        <f>IF(OR(Table1[[#This Row],[ENG]]&lt;33,Table1[[#This Row],[HINDI]]&lt;33,Table1[[#This Row],[SCI]]&lt;33,Table1[[#This Row],[MATHS]]&lt;33),"FAIL","PASS")</f>
        <v>PASS</v>
      </c>
      <c r="V5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A</v>
      </c>
      <c r="Z5" s="3">
        <v>1</v>
      </c>
      <c r="AA5" t="s">
        <v>54</v>
      </c>
      <c r="AB5" t="s">
        <v>58</v>
      </c>
      <c r="AC5" s="3">
        <v>88</v>
      </c>
      <c r="AD5" s="3"/>
      <c r="AE5" s="3"/>
      <c r="AF5" s="3" t="s">
        <v>57</v>
      </c>
      <c r="AG5" s="3"/>
      <c r="AH5" s="3"/>
      <c r="AI5" s="3" t="s">
        <v>58</v>
      </c>
      <c r="AJ5" s="3" t="s">
        <v>74</v>
      </c>
      <c r="AK5">
        <f>DCOUNT(Z4:AC9,AC4,AI4:AJ5)</f>
        <v>2</v>
      </c>
    </row>
    <row r="6" spans="1:37" x14ac:dyDescent="0.25">
      <c r="A6" s="1">
        <v>4</v>
      </c>
      <c r="B6" s="3" t="s">
        <v>3</v>
      </c>
      <c r="C6" s="2">
        <v>50.67</v>
      </c>
      <c r="D6" s="1" t="s">
        <v>3</v>
      </c>
      <c r="I6" s="1">
        <v>4</v>
      </c>
      <c r="J6" t="s">
        <v>19</v>
      </c>
      <c r="K6" s="1">
        <v>90</v>
      </c>
      <c r="L6" s="3">
        <v>63</v>
      </c>
      <c r="M6" s="3">
        <v>66</v>
      </c>
      <c r="N6" s="3">
        <v>32</v>
      </c>
      <c r="O6" s="3">
        <f>SUM(Table1[[#This Row],[ENG]:[MATHS]])</f>
        <v>251</v>
      </c>
      <c r="P6" s="3">
        <f>MAX(Table1[[#This Row],[ENG]:[MATHS]])</f>
        <v>90</v>
      </c>
      <c r="Q6" s="3">
        <f>MIN(Table1[[#This Row],[ENG]:[MATHS]])</f>
        <v>32</v>
      </c>
      <c r="R6" s="3">
        <f>COUNT(Table1[[#This Row],[ENG]:[MATHS]])</f>
        <v>4</v>
      </c>
      <c r="S6" s="3">
        <f>AVERAGE(Table1[[#This Row],[ENG]:[MATHS]])</f>
        <v>62.75</v>
      </c>
      <c r="T6" s="3">
        <f>Table1[[#This Row],[TOTAL]]/400*100</f>
        <v>62.749999999999993</v>
      </c>
      <c r="U6" s="13" t="str">
        <f>IF(OR(Table1[[#This Row],[ENG]]&lt;33,Table1[[#This Row],[HINDI]]&lt;33,Table1[[#This Row],[SCI]]&lt;33,Table1[[#This Row],[MATHS]]&lt;33),"FAIL","PASS")</f>
        <v>FAIL</v>
      </c>
      <c r="V6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F</v>
      </c>
      <c r="Z6" s="3">
        <v>2</v>
      </c>
      <c r="AA6" t="s">
        <v>55</v>
      </c>
      <c r="AB6" t="s">
        <v>59</v>
      </c>
      <c r="AC6" s="3">
        <v>70</v>
      </c>
      <c r="AD6" s="3"/>
      <c r="AE6" s="3"/>
      <c r="AF6" s="3">
        <f>DGET(Z4:AC9,AC4,AF4:AF5)</f>
        <v>50</v>
      </c>
      <c r="AG6" s="3"/>
      <c r="AH6" s="3"/>
      <c r="AI6" s="3"/>
      <c r="AJ6" s="3"/>
    </row>
    <row r="7" spans="1:37" x14ac:dyDescent="0.25">
      <c r="A7" s="1" t="s">
        <v>40</v>
      </c>
      <c r="B7" s="3" t="s">
        <v>4</v>
      </c>
      <c r="C7" s="3">
        <v>90</v>
      </c>
      <c r="D7" s="1" t="s">
        <v>0</v>
      </c>
      <c r="I7" s="1">
        <v>5</v>
      </c>
      <c r="J7" t="s">
        <v>20</v>
      </c>
      <c r="K7" s="1">
        <v>63</v>
      </c>
      <c r="L7" s="3">
        <v>56</v>
      </c>
      <c r="M7" s="3">
        <v>69</v>
      </c>
      <c r="N7" s="3">
        <v>78</v>
      </c>
      <c r="O7" s="3">
        <f>SUM(Table1[[#This Row],[ENG]:[MATHS]])</f>
        <v>266</v>
      </c>
      <c r="P7" s="3">
        <f>MAX(Table1[[#This Row],[ENG]:[MATHS]])</f>
        <v>78</v>
      </c>
      <c r="Q7" s="3">
        <f>MIN(Table1[[#This Row],[ENG]:[MATHS]])</f>
        <v>56</v>
      </c>
      <c r="R7" s="3">
        <f>COUNT(Table1[[#This Row],[ENG]:[MATHS]])</f>
        <v>4</v>
      </c>
      <c r="S7" s="3">
        <f>AVERAGE(Table1[[#This Row],[ENG]:[MATHS]])</f>
        <v>66.5</v>
      </c>
      <c r="T7" s="3">
        <f>Table1[[#This Row],[TOTAL]]/400*100</f>
        <v>66.5</v>
      </c>
      <c r="U7" s="14" t="str">
        <f>IF(OR(Table1[[#This Row],[ENG]]&lt;33,Table1[[#This Row],[HINDI]]&lt;33,Table1[[#This Row],[SCI]]&lt;33,Table1[[#This Row],[MATHS]]&lt;33),"FAIL","PASS")</f>
        <v>PASS</v>
      </c>
      <c r="V7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B</v>
      </c>
      <c r="Z7" s="3">
        <v>3</v>
      </c>
      <c r="AA7" t="s">
        <v>56</v>
      </c>
      <c r="AB7" t="s">
        <v>60</v>
      </c>
      <c r="AC7" s="3">
        <v>30</v>
      </c>
      <c r="AD7" s="3"/>
      <c r="AE7" s="3"/>
      <c r="AF7" s="3"/>
      <c r="AG7" s="3"/>
      <c r="AH7" s="3"/>
      <c r="AI7" s="3"/>
      <c r="AJ7" s="3"/>
    </row>
    <row r="8" spans="1:37" x14ac:dyDescent="0.25">
      <c r="A8" s="1">
        <v>6</v>
      </c>
      <c r="B8" s="3" t="s">
        <v>7</v>
      </c>
      <c r="C8" s="2">
        <v>75</v>
      </c>
      <c r="D8" s="1" t="s">
        <v>1</v>
      </c>
      <c r="I8" s="1">
        <v>2</v>
      </c>
      <c r="J8" t="s">
        <v>17</v>
      </c>
      <c r="K8" s="1">
        <v>75</v>
      </c>
      <c r="L8" s="3">
        <v>63</v>
      </c>
      <c r="M8" s="3">
        <v>45</v>
      </c>
      <c r="N8" s="3">
        <v>93</v>
      </c>
      <c r="O8" s="3">
        <f>SUM(Table1[[#This Row],[ENG]:[MATHS]])</f>
        <v>276</v>
      </c>
      <c r="P8" s="3">
        <f>MAX(Table1[[#This Row],[ENG]:[MATHS]])</f>
        <v>93</v>
      </c>
      <c r="Q8" s="3">
        <f>MIN(Table1[[#This Row],[ENG]:[MATHS]])</f>
        <v>45</v>
      </c>
      <c r="R8" s="3">
        <f>COUNT(Table1[[#This Row],[ENG]:[MATHS]])</f>
        <v>4</v>
      </c>
      <c r="S8" s="3">
        <f>AVERAGE(Table1[[#This Row],[ENG]:[MATHS]])</f>
        <v>69</v>
      </c>
      <c r="T8" s="3">
        <f>Table1[[#This Row],[TOTAL]]/400*100</f>
        <v>69</v>
      </c>
      <c r="U8" s="14" t="str">
        <f>IF(OR(Table1[[#This Row],[ENG]]&lt;33,Table1[[#This Row],[HINDI]]&lt;33,Table1[[#This Row],[SCI]]&lt;33,Table1[[#This Row],[MATHS]]&lt;33),"FAIL","PASS")</f>
        <v>PASS</v>
      </c>
      <c r="V8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B</v>
      </c>
      <c r="Z8" s="3">
        <v>4</v>
      </c>
      <c r="AA8" t="s">
        <v>57</v>
      </c>
      <c r="AB8" t="s">
        <v>58</v>
      </c>
      <c r="AC8" s="3">
        <v>50</v>
      </c>
      <c r="AD8" s="3"/>
      <c r="AE8" s="3"/>
      <c r="AF8" s="3"/>
      <c r="AG8" s="3"/>
      <c r="AH8" s="3"/>
      <c r="AI8" s="3"/>
      <c r="AJ8" s="3"/>
    </row>
    <row r="9" spans="1:37" x14ac:dyDescent="0.25">
      <c r="B9" s="3"/>
      <c r="C9" s="2"/>
      <c r="D9" s="1"/>
      <c r="I9" s="1">
        <v>3</v>
      </c>
      <c r="J9" t="s">
        <v>18</v>
      </c>
      <c r="K9" s="1">
        <v>67</v>
      </c>
      <c r="L9" s="3">
        <v>88</v>
      </c>
      <c r="M9" s="3">
        <v>78</v>
      </c>
      <c r="N9" s="3">
        <v>79</v>
      </c>
      <c r="O9" s="3">
        <f>SUM(Table1[[#This Row],[ENG]:[MATHS]])</f>
        <v>312</v>
      </c>
      <c r="P9" s="3">
        <f>MAX(Table1[[#This Row],[ENG]:[MATHS]])</f>
        <v>88</v>
      </c>
      <c r="Q9" s="3">
        <f>MIN(Table1[[#This Row],[ENG]:[MATHS]])</f>
        <v>67</v>
      </c>
      <c r="R9" s="3">
        <f>COUNT(Table1[[#This Row],[ENG]:[MATHS]])</f>
        <v>4</v>
      </c>
      <c r="S9" s="3">
        <f>AVERAGE(Table1[[#This Row],[ENG]:[MATHS]])</f>
        <v>78</v>
      </c>
      <c r="T9" s="3">
        <f>Table1[[#This Row],[TOTAL]]/400*100</f>
        <v>78</v>
      </c>
      <c r="U9" s="14" t="str">
        <f>IF(OR(Table1[[#This Row],[ENG]]&lt;33,Table1[[#This Row],[HINDI]]&lt;33,Table1[[#This Row],[SCI]]&lt;33,Table1[[#This Row],[MATHS]]&lt;33),"FAIL","PASS")</f>
        <v>PASS</v>
      </c>
      <c r="V9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A</v>
      </c>
      <c r="Z9" s="3">
        <v>5</v>
      </c>
      <c r="AA9" t="s">
        <v>55</v>
      </c>
      <c r="AB9" t="s">
        <v>58</v>
      </c>
      <c r="AC9" s="3">
        <v>40</v>
      </c>
      <c r="AD9" s="3"/>
      <c r="AE9" s="3"/>
      <c r="AF9" s="3"/>
      <c r="AG9" s="3"/>
      <c r="AH9" s="3"/>
      <c r="AI9" s="3"/>
      <c r="AJ9" s="3"/>
    </row>
    <row r="10" spans="1:37" x14ac:dyDescent="0.25">
      <c r="B10" s="3"/>
      <c r="C10" s="2"/>
      <c r="D10" s="1"/>
      <c r="I10" s="1">
        <v>6</v>
      </c>
      <c r="J10" t="s">
        <v>21</v>
      </c>
      <c r="K10" s="1">
        <v>23</v>
      </c>
      <c r="L10" s="3">
        <v>87</v>
      </c>
      <c r="M10" s="3">
        <v>52</v>
      </c>
      <c r="N10" s="3">
        <v>54</v>
      </c>
      <c r="O10" s="3">
        <f>SUM(Table1[[#This Row],[ENG]:[MATHS]])</f>
        <v>216</v>
      </c>
      <c r="P10" s="3">
        <f>MAX(Table1[[#This Row],[ENG]:[MATHS]])</f>
        <v>87</v>
      </c>
      <c r="Q10" s="3">
        <f>MIN(Table1[[#This Row],[ENG]:[MATHS]])</f>
        <v>23</v>
      </c>
      <c r="R10" s="3">
        <f>COUNT(Table1[[#This Row],[ENG]:[MATHS]])</f>
        <v>4</v>
      </c>
      <c r="S10" s="3">
        <f>AVERAGE(Table1[[#This Row],[ENG]:[MATHS]])</f>
        <v>54</v>
      </c>
      <c r="T10" s="3">
        <f>Table1[[#This Row],[TOTAL]]/400*100</f>
        <v>54</v>
      </c>
      <c r="U10" s="13" t="str">
        <f>IF(OR(Table1[[#This Row],[ENG]]&lt;33,Table1[[#This Row],[HINDI]]&lt;33,Table1[[#This Row],[SCI]]&lt;33,Table1[[#This Row],[MATHS]]&lt;33),"FAIL","PASS")</f>
        <v>FAIL</v>
      </c>
      <c r="V10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F</v>
      </c>
      <c r="AD10" s="3"/>
      <c r="AE10" s="3"/>
      <c r="AF10" s="3"/>
      <c r="AG10" s="3"/>
      <c r="AH10" s="3"/>
      <c r="AI10" s="3"/>
      <c r="AJ10" s="3"/>
    </row>
    <row r="11" spans="1:37" x14ac:dyDescent="0.25">
      <c r="B11" s="3" t="s">
        <v>39</v>
      </c>
      <c r="C11" s="2"/>
      <c r="D11" s="1"/>
      <c r="I11" s="1">
        <v>7</v>
      </c>
      <c r="J11" t="s">
        <v>22</v>
      </c>
      <c r="K11" s="1">
        <v>56</v>
      </c>
      <c r="L11" s="3">
        <v>95</v>
      </c>
      <c r="M11" s="3">
        <v>44</v>
      </c>
      <c r="N11" s="3"/>
      <c r="O11" s="3">
        <f>SUM(Table1[[#This Row],[ENG]:[MATHS]])</f>
        <v>195</v>
      </c>
      <c r="P11" s="3">
        <f>MAX(Table1[[#This Row],[ENG]:[MATHS]])</f>
        <v>95</v>
      </c>
      <c r="Q11" s="3">
        <f>MIN(Table1[[#This Row],[ENG]:[MATHS]])</f>
        <v>44</v>
      </c>
      <c r="R11" s="3">
        <f>COUNT(Table1[[#This Row],[ENG]:[MATHS]])</f>
        <v>3</v>
      </c>
      <c r="S11" s="3">
        <f>AVERAGE(Table1[[#This Row],[ENG]:[MATHS]])</f>
        <v>65</v>
      </c>
      <c r="T11" s="3">
        <f>Table1[[#This Row],[TOTAL]]/400*100</f>
        <v>48.75</v>
      </c>
      <c r="U11" s="13" t="str">
        <f>IF(OR(Table1[[#This Row],[ENG]]&lt;33,Table1[[#This Row],[HINDI]]&lt;33,Table1[[#This Row],[SCI]]&lt;33,Table1[[#This Row],[MATHS]]&lt;33),"FAIL","PASS")</f>
        <v>FAIL</v>
      </c>
      <c r="V11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F</v>
      </c>
      <c r="AD11" s="3"/>
      <c r="AE11" s="3"/>
      <c r="AF11" s="3"/>
      <c r="AG11" s="3"/>
      <c r="AH11" s="3"/>
      <c r="AI11" s="3"/>
      <c r="AJ11" s="3"/>
    </row>
    <row r="12" spans="1:37" x14ac:dyDescent="0.25">
      <c r="B12" s="3"/>
      <c r="C12" s="2"/>
      <c r="D12" s="1"/>
      <c r="I12" s="1">
        <v>8</v>
      </c>
      <c r="J12" t="s">
        <v>23</v>
      </c>
      <c r="K12" s="1">
        <v>60</v>
      </c>
      <c r="L12" s="3">
        <v>29</v>
      </c>
      <c r="M12" s="3">
        <v>33</v>
      </c>
      <c r="N12" s="3">
        <v>25</v>
      </c>
      <c r="O12" s="3">
        <f>SUM(Table1[[#This Row],[ENG]:[MATHS]])</f>
        <v>147</v>
      </c>
      <c r="P12" s="3">
        <f>MAX(Table1[[#This Row],[ENG]:[MATHS]])</f>
        <v>60</v>
      </c>
      <c r="Q12" s="3">
        <f>MIN(Table1[[#This Row],[ENG]:[MATHS]])</f>
        <v>25</v>
      </c>
      <c r="R12" s="3">
        <f>COUNT(Table1[[#This Row],[ENG]:[MATHS]])</f>
        <v>4</v>
      </c>
      <c r="S12" s="3">
        <f>AVERAGE(Table1[[#This Row],[ENG]:[MATHS]])</f>
        <v>36.75</v>
      </c>
      <c r="T12" s="3">
        <f>Table1[[#This Row],[TOTAL]]/400*100</f>
        <v>36.75</v>
      </c>
      <c r="U12" s="13" t="str">
        <f>IF(OR(Table1[[#This Row],[ENG]]&lt;33,Table1[[#This Row],[HINDI]]&lt;33,Table1[[#This Row],[SCI]]&lt;33,Table1[[#This Row],[MATHS]]&lt;33),"FAIL","PASS")</f>
        <v>FAIL</v>
      </c>
      <c r="V12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F</v>
      </c>
      <c r="AD12" s="3"/>
      <c r="AE12" s="3"/>
      <c r="AF12" s="3"/>
      <c r="AG12" s="3"/>
      <c r="AH12" s="3"/>
      <c r="AI12" s="3"/>
      <c r="AJ12" s="3"/>
    </row>
    <row r="13" spans="1:37" x14ac:dyDescent="0.25">
      <c r="B13" s="3"/>
      <c r="I13" s="1">
        <v>9</v>
      </c>
      <c r="J13" t="s">
        <v>24</v>
      </c>
      <c r="K13" s="1">
        <v>79</v>
      </c>
      <c r="L13" s="3">
        <v>84</v>
      </c>
      <c r="M13" s="3">
        <v>63</v>
      </c>
      <c r="N13" s="3">
        <v>78</v>
      </c>
      <c r="O13" s="3">
        <f>SUM(Table1[[#This Row],[ENG]:[MATHS]])</f>
        <v>304</v>
      </c>
      <c r="P13" s="3">
        <f>MAX(Table1[[#This Row],[ENG]:[MATHS]])</f>
        <v>84</v>
      </c>
      <c r="Q13" s="3">
        <f>MIN(Table1[[#This Row],[ENG]:[MATHS]])</f>
        <v>63</v>
      </c>
      <c r="R13" s="3">
        <f>COUNT(Table1[[#This Row],[ENG]:[MATHS]])</f>
        <v>4</v>
      </c>
      <c r="S13" s="3">
        <f>AVERAGE(Table1[[#This Row],[ENG]:[MATHS]])</f>
        <v>76</v>
      </c>
      <c r="T13" s="3">
        <f>Table1[[#This Row],[TOTAL]]/400*100</f>
        <v>76</v>
      </c>
      <c r="U13" s="14" t="str">
        <f>IF(OR(Table1[[#This Row],[ENG]]&lt;33,Table1[[#This Row],[HINDI]]&lt;33,Table1[[#This Row],[SCI]]&lt;33,Table1[[#This Row],[MATHS]]&lt;33),"FAIL","PASS")</f>
        <v>PASS</v>
      </c>
      <c r="V13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A</v>
      </c>
      <c r="AD13" s="3"/>
      <c r="AE13" s="3"/>
      <c r="AF13" s="3"/>
      <c r="AG13" s="3"/>
      <c r="AH13" s="3"/>
      <c r="AI13" s="3"/>
      <c r="AJ13" s="3"/>
    </row>
    <row r="14" spans="1:37" x14ac:dyDescent="0.25">
      <c r="B14" s="3"/>
      <c r="I14" s="1">
        <v>10</v>
      </c>
      <c r="J14" t="s">
        <v>32</v>
      </c>
      <c r="K14" s="1">
        <v>55</v>
      </c>
      <c r="L14" s="3">
        <v>45</v>
      </c>
      <c r="M14" s="3">
        <v>54</v>
      </c>
      <c r="N14" s="3">
        <v>31</v>
      </c>
      <c r="O14" s="3">
        <f>SUM(Table1[[#This Row],[ENG]:[MATHS]])</f>
        <v>185</v>
      </c>
      <c r="P14" s="3">
        <f>MAX(Table1[[#This Row],[ENG]:[MATHS]])</f>
        <v>55</v>
      </c>
      <c r="Q14" s="3">
        <f>MIN(Table1[[#This Row],[ENG]:[MATHS]])</f>
        <v>31</v>
      </c>
      <c r="R14" s="3">
        <f>COUNT(Table1[[#This Row],[ENG]:[MATHS]])</f>
        <v>4</v>
      </c>
      <c r="S14" s="3">
        <f>AVERAGE(Table1[[#This Row],[ENG]:[MATHS]])</f>
        <v>46.25</v>
      </c>
      <c r="T14" s="3">
        <f>Table1[[#This Row],[TOTAL]]/400*100</f>
        <v>46.25</v>
      </c>
      <c r="U14" s="13" t="str">
        <f>IF(OR(Table1[[#This Row],[ENG]]&lt;33,Table1[[#This Row],[HINDI]]&lt;33,Table1[[#This Row],[SCI]]&lt;33,Table1[[#This Row],[MATHS]]&lt;33),"FAIL","PASS")</f>
        <v>FAIL</v>
      </c>
      <c r="V14" s="3" t="str">
        <f>IF(Table1[[#This Row],[RESULT]]="FAIL","F",IF(Table1[[#This Row],[PERCENTAGE]]&gt;=70,"A",IF(Table1[[#This Row],[PERCENTAGE]]&gt;=60,"B",IF(Table1[[#This Row],[PERCENTAGE]]&gt;=50,"C",IF(Table1[[#This Row],[PERCENTAGE]]&gt;=40,"D",IF(Table1[[#This Row],[PERCENTAGE]]&gt;=30,"E"))))))</f>
        <v>F</v>
      </c>
      <c r="Z14" s="3" t="s">
        <v>51</v>
      </c>
      <c r="AA14" s="3" t="s">
        <v>79</v>
      </c>
      <c r="AB14" s="3" t="s">
        <v>80</v>
      </c>
      <c r="AC14" t="s">
        <v>81</v>
      </c>
      <c r="AD14" s="3"/>
      <c r="AE14" s="3"/>
      <c r="AF14" s="3"/>
      <c r="AG14" s="3" t="s">
        <v>75</v>
      </c>
      <c r="AH14" s="3" t="s">
        <v>76</v>
      </c>
      <c r="AI14" s="3" t="s">
        <v>77</v>
      </c>
      <c r="AJ14" s="3" t="s">
        <v>78</v>
      </c>
    </row>
    <row r="15" spans="1:37" ht="15.75" customHeight="1" x14ac:dyDescent="0.25">
      <c r="Z15" s="3">
        <v>1</v>
      </c>
      <c r="AA15" s="3" t="s">
        <v>0</v>
      </c>
      <c r="AB15" s="3">
        <v>23</v>
      </c>
      <c r="AG15" s="3">
        <v>2345</v>
      </c>
      <c r="AH15" s="3">
        <v>2</v>
      </c>
      <c r="AI15" s="3">
        <f>MOD(AG15,AH15)</f>
        <v>1</v>
      </c>
      <c r="AJ15" s="3" t="str">
        <f>IF(AI15=0,"EVEN","ODD")</f>
        <v>ODD</v>
      </c>
    </row>
    <row r="16" spans="1:37" x14ac:dyDescent="0.25">
      <c r="U16" t="str" cm="1">
        <f t="array" ref="U16:U25">IF(Table1[RESULT]="FAIL","F",IF(Table1[PERCENTAGE]&gt;=70,"A",IF(Table1[PERCENTAGE]&gt;=60,"B",IF(Table1[PERCENTAGE]&gt;=50,"C",IF(Table1[PERCENTAGE]&gt;=40,"D",IF(Table1[PERCENTAGE]&gt;=33,"E"))))))</f>
        <v>A</v>
      </c>
      <c r="Z16" s="3">
        <v>2</v>
      </c>
      <c r="AA16" s="3" t="s">
        <v>1</v>
      </c>
      <c r="AB16" s="3">
        <v>20</v>
      </c>
      <c r="AG16" s="3">
        <v>123</v>
      </c>
      <c r="AH16" s="3">
        <v>3</v>
      </c>
      <c r="AI16" s="3">
        <f t="shared" ref="AI16:AI17" si="0">MOD(AG16,AH16)</f>
        <v>0</v>
      </c>
      <c r="AJ16" s="3" t="str">
        <f t="shared" ref="AJ16:AJ17" si="1">IF(AI16=0,"EVEN","ODD")</f>
        <v>EVEN</v>
      </c>
    </row>
    <row r="17" spans="3:39" x14ac:dyDescent="0.25">
      <c r="J17" t="s">
        <v>41</v>
      </c>
      <c r="M17" s="5"/>
      <c r="N17" s="6"/>
      <c r="U17" t="str">
        <v>F</v>
      </c>
      <c r="Z17" s="3">
        <v>3</v>
      </c>
      <c r="AA17" s="3" t="s">
        <v>2</v>
      </c>
      <c r="AB17" s="3">
        <v>5</v>
      </c>
      <c r="AG17" s="3">
        <v>98</v>
      </c>
      <c r="AH17" s="3">
        <v>2</v>
      </c>
      <c r="AI17" s="3">
        <f t="shared" si="0"/>
        <v>0</v>
      </c>
      <c r="AJ17" s="3" t="str">
        <f t="shared" si="1"/>
        <v>EVEN</v>
      </c>
    </row>
    <row r="18" spans="3:39" x14ac:dyDescent="0.25">
      <c r="M18" s="7"/>
      <c r="O18" s="6"/>
      <c r="U18" t="str">
        <v>B</v>
      </c>
      <c r="Z18" s="3">
        <v>4</v>
      </c>
      <c r="AA18" s="3" t="s">
        <v>3</v>
      </c>
      <c r="AB18" s="3">
        <v>10</v>
      </c>
    </row>
    <row r="19" spans="3:39" x14ac:dyDescent="0.25">
      <c r="M19" s="6"/>
      <c r="U19" t="str">
        <v>B</v>
      </c>
      <c r="Z19" s="3">
        <v>5</v>
      </c>
      <c r="AA19" s="3" t="s">
        <v>4</v>
      </c>
      <c r="AB19" s="3">
        <v>15</v>
      </c>
    </row>
    <row r="20" spans="3:39" x14ac:dyDescent="0.25">
      <c r="M20" t="s">
        <v>44</v>
      </c>
      <c r="N20" t="s">
        <v>42</v>
      </c>
      <c r="O20" t="s">
        <v>45</v>
      </c>
      <c r="P20" t="s">
        <v>15</v>
      </c>
      <c r="U20" t="str">
        <v>A</v>
      </c>
      <c r="Z20" s="3">
        <v>6</v>
      </c>
      <c r="AA20" s="3" t="s">
        <v>7</v>
      </c>
      <c r="AB20" s="3">
        <v>2</v>
      </c>
    </row>
    <row r="21" spans="3:39" x14ac:dyDescent="0.25">
      <c r="M21" s="7" t="s">
        <v>0</v>
      </c>
      <c r="N21" s="7">
        <v>5</v>
      </c>
      <c r="O21" s="12">
        <v>34</v>
      </c>
      <c r="P21" s="7">
        <f>Table3[[#This Row],[Column1]]*Table3[[#This Row],[PRICE]]</f>
        <v>170</v>
      </c>
      <c r="U21" t="str">
        <v>F</v>
      </c>
    </row>
    <row r="22" spans="3:39" x14ac:dyDescent="0.25">
      <c r="M22" s="7" t="s">
        <v>1</v>
      </c>
      <c r="N22" s="7">
        <v>4</v>
      </c>
      <c r="O22" s="12">
        <v>34</v>
      </c>
      <c r="P22" s="7">
        <f>Table3[[#This Row],[Column1]]*Table3[[#This Row],[PRICE]]</f>
        <v>136</v>
      </c>
      <c r="U22" t="str">
        <v>F</v>
      </c>
    </row>
    <row r="23" spans="3:39" x14ac:dyDescent="0.25">
      <c r="M23" s="7" t="s">
        <v>2</v>
      </c>
      <c r="N23" s="7">
        <v>6</v>
      </c>
      <c r="O23" s="12">
        <v>34</v>
      </c>
      <c r="P23" s="7">
        <f>Table3[[#This Row],[Column1]]*Table3[[#This Row],[PRICE]]</f>
        <v>204</v>
      </c>
      <c r="U23" t="str">
        <v>F</v>
      </c>
    </row>
    <row r="24" spans="3:39" x14ac:dyDescent="0.25">
      <c r="M24" s="7" t="s">
        <v>3</v>
      </c>
      <c r="N24" s="7">
        <v>7</v>
      </c>
      <c r="O24" s="12">
        <v>34</v>
      </c>
      <c r="P24" s="7">
        <f>Table3[[#This Row],[Column1]]*Table3[[#This Row],[PRICE]]</f>
        <v>238</v>
      </c>
      <c r="U24" t="str">
        <v>A</v>
      </c>
    </row>
    <row r="25" spans="3:39" ht="15.75" thickBot="1" x14ac:dyDescent="0.3">
      <c r="M25" s="10" t="s">
        <v>4</v>
      </c>
      <c r="N25" s="10">
        <v>3</v>
      </c>
      <c r="O25" s="12">
        <v>34</v>
      </c>
      <c r="P25" s="10">
        <f>Table3[[#This Row],[Column1]]*Table3[[#This Row],[PRICE]]</f>
        <v>102</v>
      </c>
      <c r="U25" t="str">
        <v>F</v>
      </c>
    </row>
    <row r="26" spans="3:39" ht="15.75" thickBot="1" x14ac:dyDescent="0.3">
      <c r="M26" s="9"/>
      <c r="P26" s="11" cm="1">
        <f t="array" ref="P26">SUM(Table3[Column1]*Table3[PRICE])</f>
        <v>850</v>
      </c>
    </row>
    <row r="27" spans="3:39" x14ac:dyDescent="0.25">
      <c r="M27" s="9"/>
    </row>
    <row r="28" spans="3:39" x14ac:dyDescent="0.25">
      <c r="M28" s="9"/>
      <c r="AJ28" t="s">
        <v>102</v>
      </c>
    </row>
    <row r="29" spans="3:39" x14ac:dyDescent="0.25">
      <c r="M29" s="9"/>
      <c r="N29" s="8"/>
      <c r="O29" s="8"/>
      <c r="V29" s="23" t="s">
        <v>119</v>
      </c>
      <c r="X29" s="21" t="s">
        <v>120</v>
      </c>
      <c r="Y29" s="21" t="s">
        <v>121</v>
      </c>
    </row>
    <row r="30" spans="3:39" x14ac:dyDescent="0.25">
      <c r="C30" s="4" t="s">
        <v>111</v>
      </c>
      <c r="D30" t="s">
        <v>113</v>
      </c>
      <c r="E30" t="s">
        <v>114</v>
      </c>
      <c r="F30" t="s">
        <v>115</v>
      </c>
      <c r="G30" t="s">
        <v>112</v>
      </c>
      <c r="H30" t="s">
        <v>116</v>
      </c>
      <c r="I30" t="s">
        <v>33</v>
      </c>
      <c r="J30" t="s">
        <v>34</v>
      </c>
      <c r="V30" cm="1">
        <f t="array" ref="V30:V37">LEN(AA30:AA37)</f>
        <v>8</v>
      </c>
      <c r="X30" t="str" cm="1">
        <f t="array" ref="X30:X37">LEFT(AA30:AA37, 3)</f>
        <v>GAR</v>
      </c>
      <c r="Y30" t="str" cm="1">
        <f t="array" ref="Y30:Y37">RIGHT(AA30:AA37, 3)</f>
        <v>NTS</v>
      </c>
      <c r="AA30" t="s">
        <v>46</v>
      </c>
      <c r="AB30" t="s">
        <v>47</v>
      </c>
      <c r="AC30" t="s">
        <v>48</v>
      </c>
      <c r="AD30" t="s">
        <v>61</v>
      </c>
      <c r="AE30" t="s">
        <v>49</v>
      </c>
      <c r="AI30" t="s">
        <v>46</v>
      </c>
      <c r="AJ30" t="s">
        <v>47</v>
      </c>
      <c r="AK30" t="s">
        <v>72</v>
      </c>
      <c r="AL30" t="s">
        <v>61</v>
      </c>
      <c r="AM30" t="s">
        <v>49</v>
      </c>
    </row>
    <row r="31" spans="3:39" x14ac:dyDescent="0.25">
      <c r="C31" s="8" t="s">
        <v>18</v>
      </c>
      <c r="D31">
        <v>4</v>
      </c>
      <c r="E31">
        <v>88</v>
      </c>
      <c r="F31">
        <v>67</v>
      </c>
      <c r="G31">
        <v>78</v>
      </c>
      <c r="H31">
        <v>78</v>
      </c>
      <c r="I31">
        <v>67</v>
      </c>
      <c r="J31">
        <v>88</v>
      </c>
      <c r="V31">
        <v>6</v>
      </c>
      <c r="X31" t="str">
        <v>KUR</v>
      </c>
      <c r="Y31" t="str">
        <v xml:space="preserve">TA </v>
      </c>
      <c r="AA31" t="s">
        <v>62</v>
      </c>
      <c r="AB31" t="s">
        <v>65</v>
      </c>
      <c r="AC31" t="s">
        <v>43</v>
      </c>
      <c r="AD31" t="s">
        <v>69</v>
      </c>
      <c r="AE31">
        <v>20</v>
      </c>
      <c r="AJ31" t="s">
        <v>66</v>
      </c>
      <c r="AL31" t="s">
        <v>70</v>
      </c>
    </row>
    <row r="32" spans="3:39" x14ac:dyDescent="0.25">
      <c r="C32" s="8" t="s">
        <v>22</v>
      </c>
      <c r="D32">
        <v>4</v>
      </c>
      <c r="E32">
        <v>95</v>
      </c>
      <c r="F32">
        <v>44</v>
      </c>
      <c r="G32">
        <v>60</v>
      </c>
      <c r="H32">
        <v>60</v>
      </c>
      <c r="I32">
        <v>56</v>
      </c>
      <c r="J32">
        <v>95</v>
      </c>
      <c r="V32">
        <v>5</v>
      </c>
      <c r="X32" t="str">
        <v>JEA</v>
      </c>
      <c r="Y32" t="str">
        <v>ANS</v>
      </c>
      <c r="AA32" t="s">
        <v>63</v>
      </c>
      <c r="AB32" t="s">
        <v>66</v>
      </c>
      <c r="AC32" t="s">
        <v>50</v>
      </c>
      <c r="AD32" t="s">
        <v>70</v>
      </c>
      <c r="AE32">
        <v>10</v>
      </c>
    </row>
    <row r="33" spans="3:43" x14ac:dyDescent="0.25">
      <c r="C33" s="8" t="s">
        <v>17</v>
      </c>
      <c r="D33">
        <v>4</v>
      </c>
      <c r="E33">
        <v>93</v>
      </c>
      <c r="F33">
        <v>45</v>
      </c>
      <c r="G33">
        <v>72.5</v>
      </c>
      <c r="H33">
        <v>72.5</v>
      </c>
      <c r="I33">
        <v>75</v>
      </c>
      <c r="J33">
        <v>77</v>
      </c>
      <c r="V33">
        <v>6</v>
      </c>
      <c r="X33" t="str">
        <v>PAJ</v>
      </c>
      <c r="Y33" t="str">
        <v>AMA</v>
      </c>
      <c r="AA33" t="s">
        <v>64</v>
      </c>
      <c r="AB33" t="s">
        <v>66</v>
      </c>
      <c r="AC33" t="s">
        <v>67</v>
      </c>
      <c r="AD33" t="s">
        <v>71</v>
      </c>
      <c r="AE33">
        <v>30</v>
      </c>
      <c r="AJ33">
        <f>DMAX(AA30:AE37,AE30,AI30:AM31)</f>
        <v>30</v>
      </c>
    </row>
    <row r="34" spans="3:43" x14ac:dyDescent="0.25">
      <c r="C34" s="8" t="s">
        <v>23</v>
      </c>
      <c r="D34">
        <v>4</v>
      </c>
      <c r="E34">
        <v>60</v>
      </c>
      <c r="F34">
        <v>25</v>
      </c>
      <c r="G34">
        <v>36.75</v>
      </c>
      <c r="H34">
        <v>36.75</v>
      </c>
      <c r="I34">
        <v>60</v>
      </c>
      <c r="J34">
        <v>29</v>
      </c>
      <c r="V34">
        <v>6</v>
      </c>
      <c r="X34" t="str">
        <v>KUR</v>
      </c>
      <c r="Y34" t="str">
        <v xml:space="preserve">TA </v>
      </c>
      <c r="AA34" t="s">
        <v>62</v>
      </c>
      <c r="AB34" t="s">
        <v>65</v>
      </c>
      <c r="AC34" t="s">
        <v>43</v>
      </c>
      <c r="AD34" t="s">
        <v>69</v>
      </c>
      <c r="AE34">
        <v>40</v>
      </c>
    </row>
    <row r="35" spans="3:43" x14ac:dyDescent="0.25">
      <c r="C35" s="8" t="s">
        <v>24</v>
      </c>
      <c r="D35">
        <v>4</v>
      </c>
      <c r="E35">
        <v>84</v>
      </c>
      <c r="F35">
        <v>54</v>
      </c>
      <c r="G35">
        <v>73.75</v>
      </c>
      <c r="H35">
        <v>73.75</v>
      </c>
      <c r="I35">
        <v>79</v>
      </c>
      <c r="J35">
        <v>84</v>
      </c>
      <c r="V35">
        <v>5</v>
      </c>
      <c r="X35" t="str">
        <v>JEA</v>
      </c>
      <c r="Y35" t="str">
        <v>ANS</v>
      </c>
      <c r="AA35" t="s">
        <v>63</v>
      </c>
      <c r="AB35" t="s">
        <v>66</v>
      </c>
      <c r="AC35" t="s">
        <v>50</v>
      </c>
      <c r="AD35" t="s">
        <v>70</v>
      </c>
      <c r="AE35">
        <v>30</v>
      </c>
    </row>
    <row r="36" spans="3:43" x14ac:dyDescent="0.25">
      <c r="C36" s="8" t="s">
        <v>32</v>
      </c>
      <c r="D36">
        <v>4</v>
      </c>
      <c r="E36">
        <v>55</v>
      </c>
      <c r="F36">
        <v>31</v>
      </c>
      <c r="G36">
        <v>46.25</v>
      </c>
      <c r="H36">
        <v>46.25</v>
      </c>
      <c r="I36">
        <v>55</v>
      </c>
      <c r="J36">
        <v>45</v>
      </c>
      <c r="V36">
        <v>6</v>
      </c>
      <c r="X36" t="str">
        <v>KUR</v>
      </c>
      <c r="Y36" t="str">
        <v xml:space="preserve">TA </v>
      </c>
      <c r="AA36" t="s">
        <v>62</v>
      </c>
      <c r="AB36" t="s">
        <v>66</v>
      </c>
      <c r="AC36" t="s">
        <v>68</v>
      </c>
      <c r="AD36" t="s">
        <v>71</v>
      </c>
      <c r="AE36">
        <v>50</v>
      </c>
      <c r="AJ36" t="s">
        <v>101</v>
      </c>
    </row>
    <row r="37" spans="3:43" x14ac:dyDescent="0.25">
      <c r="C37" s="8" t="s">
        <v>20</v>
      </c>
      <c r="D37">
        <v>4</v>
      </c>
      <c r="E37">
        <v>78</v>
      </c>
      <c r="F37">
        <v>56</v>
      </c>
      <c r="G37">
        <v>70</v>
      </c>
      <c r="H37">
        <v>70</v>
      </c>
      <c r="I37">
        <v>77</v>
      </c>
      <c r="J37">
        <v>56</v>
      </c>
      <c r="V37">
        <v>5</v>
      </c>
      <c r="X37" t="str">
        <v>JEA</v>
      </c>
      <c r="Y37" t="str">
        <v>ANS</v>
      </c>
      <c r="AA37" t="s">
        <v>63</v>
      </c>
      <c r="AB37" t="s">
        <v>65</v>
      </c>
      <c r="AC37" t="s">
        <v>43</v>
      </c>
      <c r="AD37" t="s">
        <v>69</v>
      </c>
      <c r="AE37">
        <v>65</v>
      </c>
      <c r="AJ37" t="s">
        <v>83</v>
      </c>
      <c r="AK37" t="str">
        <f>TRIM(AJ37)</f>
        <v>MOHD UZAIR ANSARI</v>
      </c>
    </row>
    <row r="38" spans="3:43" x14ac:dyDescent="0.25">
      <c r="C38" s="8" t="s">
        <v>19</v>
      </c>
      <c r="D38">
        <v>4</v>
      </c>
      <c r="E38">
        <v>90</v>
      </c>
      <c r="F38">
        <v>32</v>
      </c>
      <c r="G38">
        <v>60.75</v>
      </c>
      <c r="H38">
        <v>60.750000000000007</v>
      </c>
      <c r="I38">
        <v>90</v>
      </c>
      <c r="J38">
        <v>55</v>
      </c>
      <c r="AJ38" t="s">
        <v>82</v>
      </c>
      <c r="AK38" t="str">
        <f>TRIM(AJ38)</f>
        <v>MOHD ADIL ANSARI</v>
      </c>
    </row>
    <row r="39" spans="3:43" x14ac:dyDescent="0.25">
      <c r="C39" s="8" t="s">
        <v>16</v>
      </c>
      <c r="D39">
        <v>4</v>
      </c>
      <c r="E39">
        <v>90</v>
      </c>
      <c r="F39">
        <v>50</v>
      </c>
      <c r="G39">
        <v>71</v>
      </c>
      <c r="H39">
        <v>71</v>
      </c>
      <c r="I39">
        <v>89</v>
      </c>
      <c r="J39">
        <v>90</v>
      </c>
      <c r="AN39" t="s">
        <v>99</v>
      </c>
      <c r="AQ39" t="s">
        <v>100</v>
      </c>
    </row>
    <row r="40" spans="3:43" x14ac:dyDescent="0.25">
      <c r="C40" s="8" t="s">
        <v>21</v>
      </c>
      <c r="D40">
        <v>4</v>
      </c>
      <c r="E40">
        <v>87</v>
      </c>
      <c r="F40">
        <v>23</v>
      </c>
      <c r="G40">
        <v>54</v>
      </c>
      <c r="H40">
        <v>54</v>
      </c>
      <c r="I40">
        <v>23</v>
      </c>
      <c r="J40">
        <v>87</v>
      </c>
      <c r="AJ40" t="s">
        <v>84</v>
      </c>
      <c r="AK40" t="s">
        <v>85</v>
      </c>
      <c r="AL40" t="s">
        <v>86</v>
      </c>
      <c r="AN40" t="str">
        <f>CONCATENATE(AJ40,AK40,AL40)</f>
        <v>MOHDUZAIRANSARI</v>
      </c>
      <c r="AQ40" t="str">
        <f>CONCATENATE(AJ40," ",AK40," ",AL40," ")</f>
        <v xml:space="preserve">MOHD UZAIR ANSARI </v>
      </c>
    </row>
    <row r="41" spans="3:43" x14ac:dyDescent="0.25">
      <c r="C41" s="8" t="s">
        <v>110</v>
      </c>
      <c r="D41">
        <v>40</v>
      </c>
      <c r="E41">
        <v>820</v>
      </c>
      <c r="F41">
        <v>427</v>
      </c>
      <c r="G41">
        <v>623</v>
      </c>
      <c r="H41">
        <v>623</v>
      </c>
      <c r="I41">
        <v>671</v>
      </c>
      <c r="J41">
        <v>706</v>
      </c>
      <c r="P41" t="s">
        <v>40</v>
      </c>
      <c r="V41" s="3" t="s">
        <v>122</v>
      </c>
      <c r="AJ41" t="s">
        <v>84</v>
      </c>
      <c r="AK41" t="s">
        <v>87</v>
      </c>
      <c r="AL41" t="s">
        <v>86</v>
      </c>
      <c r="AN41" t="str">
        <f>CONCATENATE(AJ41,AK41,AL41)</f>
        <v>MOHDADILANSARI</v>
      </c>
      <c r="AQ41" t="str">
        <f>CONCATENATE(AJ41," ",AK41," ",AL41," ")</f>
        <v xml:space="preserve">MOHD ADIL ANSARI </v>
      </c>
    </row>
    <row r="42" spans="3:43" x14ac:dyDescent="0.25">
      <c r="Q42" t="s">
        <v>40</v>
      </c>
      <c r="U42" s="21" t="s">
        <v>127</v>
      </c>
      <c r="V42" s="21" t="s">
        <v>123</v>
      </c>
      <c r="W42" s="21" t="s">
        <v>124</v>
      </c>
      <c r="X42" s="22" t="s">
        <v>126</v>
      </c>
      <c r="Y42" s="22" t="s">
        <v>125</v>
      </c>
      <c r="AA42" s="19">
        <f ca="1">TODAY()</f>
        <v>45277</v>
      </c>
      <c r="AC42" s="19">
        <f ca="1">EDATE(AA42,4)</f>
        <v>45399</v>
      </c>
    </row>
    <row r="43" spans="3:43" x14ac:dyDescent="0.25">
      <c r="U43" t="str" cm="1">
        <f t="array" ref="U43:U45">SUBSTITUTE(_xlfn.ANCHORARRAY(Y43), "/","-")</f>
        <v>09-06-2015</v>
      </c>
      <c r="V43" s="19">
        <v>36933</v>
      </c>
      <c r="W43" s="6">
        <v>42164</v>
      </c>
      <c r="X43" s="3" t="str" cm="1">
        <f t="array" ref="X43:X45">RIGHT(V43:V45, 4)</f>
        <v>6933</v>
      </c>
      <c r="Y43" t="str" cm="1">
        <f t="array" ref="Y43:Y45">TEXT(W43:W45, "dd/mm/yyyy")</f>
        <v>09/06/2015</v>
      </c>
      <c r="AD43" t="s">
        <v>40</v>
      </c>
    </row>
    <row r="44" spans="3:43" x14ac:dyDescent="0.25">
      <c r="U44" t="str">
        <v>10-10-2015</v>
      </c>
      <c r="V44" s="19">
        <v>36229</v>
      </c>
      <c r="W44" s="6">
        <v>42287</v>
      </c>
      <c r="X44" s="3" t="str">
        <v>6229</v>
      </c>
      <c r="Y44" t="str">
        <v>10/10/2015</v>
      </c>
      <c r="AA44" s="15">
        <f ca="1">NOW()</f>
        <v>45277.733535416664</v>
      </c>
      <c r="AI44" t="s">
        <v>103</v>
      </c>
    </row>
    <row r="45" spans="3:43" x14ac:dyDescent="0.25">
      <c r="U45" t="str">
        <v>09-08-2011</v>
      </c>
      <c r="V45" s="19">
        <v>36623</v>
      </c>
      <c r="W45" s="6">
        <v>40764</v>
      </c>
      <c r="X45" s="3" t="str">
        <v>6623</v>
      </c>
      <c r="Y45" t="str">
        <v>09/08/2011</v>
      </c>
      <c r="AH45">
        <v>3</v>
      </c>
      <c r="AI45">
        <f>FACT(AH45)</f>
        <v>6</v>
      </c>
    </row>
    <row r="46" spans="3:43" x14ac:dyDescent="0.25">
      <c r="M46" t="s">
        <v>135</v>
      </c>
      <c r="N46" t="s">
        <v>134</v>
      </c>
      <c r="O46" t="s">
        <v>130</v>
      </c>
      <c r="P46" s="22" t="s">
        <v>131</v>
      </c>
      <c r="Q46" s="22" t="s">
        <v>132</v>
      </c>
      <c r="R46" s="22" t="s">
        <v>133</v>
      </c>
      <c r="AA46" s="15">
        <f ca="1">NOW()</f>
        <v>45277.733535416664</v>
      </c>
      <c r="AH46">
        <v>4</v>
      </c>
      <c r="AI46">
        <f t="shared" ref="AG46:AI48" si="2">FACT(AH46)</f>
        <v>24</v>
      </c>
      <c r="AM46" t="s">
        <v>88</v>
      </c>
    </row>
    <row r="47" spans="3:43" x14ac:dyDescent="0.25">
      <c r="M47" s="3" t="s">
        <v>50</v>
      </c>
      <c r="N47">
        <v>30</v>
      </c>
      <c r="O47">
        <v>45000</v>
      </c>
      <c r="P47" s="3">
        <f>SUM(O47:O50)</f>
        <v>209000</v>
      </c>
      <c r="Q47" s="3">
        <f>SUMIF(O47:O50,"&gt;50000")</f>
        <v>128000</v>
      </c>
      <c r="R47" s="3">
        <f>SUMIFS(O47:O50,M47:M50,"F",N47:N50,"&gt;30")</f>
        <v>65000</v>
      </c>
      <c r="AG47">
        <v>5</v>
      </c>
      <c r="AH47">
        <f t="shared" si="2"/>
        <v>120</v>
      </c>
    </row>
    <row r="48" spans="3:43" x14ac:dyDescent="0.25">
      <c r="M48" s="3" t="s">
        <v>7</v>
      </c>
      <c r="N48">
        <v>30</v>
      </c>
      <c r="O48">
        <v>36000</v>
      </c>
      <c r="Q48" s="3">
        <f>SUMIF(O47:O50, "&lt; 50000")</f>
        <v>81000</v>
      </c>
      <c r="R48" s="3">
        <f>SUMIFS(O47:O50,M47:M50, "M", N47:N50,"&gt;29")</f>
        <v>45000</v>
      </c>
      <c r="U48" t="s">
        <v>129</v>
      </c>
      <c r="V48" t="s">
        <v>128</v>
      </c>
      <c r="Y48" s="21" t="s">
        <v>126</v>
      </c>
      <c r="AF48">
        <v>6</v>
      </c>
      <c r="AG48">
        <f t="shared" si="2"/>
        <v>720</v>
      </c>
      <c r="AK48" t="s">
        <v>89</v>
      </c>
      <c r="AL48" t="s">
        <v>90</v>
      </c>
      <c r="AM48" t="s">
        <v>91</v>
      </c>
      <c r="AN48" t="s">
        <v>92</v>
      </c>
      <c r="AP48" t="s">
        <v>90</v>
      </c>
      <c r="AQ48" s="3" t="s">
        <v>92</v>
      </c>
    </row>
    <row r="49" spans="1:43" x14ac:dyDescent="0.25">
      <c r="M49" s="3" t="s">
        <v>50</v>
      </c>
      <c r="N49">
        <v>29</v>
      </c>
      <c r="O49">
        <v>63000</v>
      </c>
      <c r="T49" t="str" cm="1">
        <f t="array" ref="T49:T51">SUBSTITUTE(_xlfn.ANCHORARRAY(Y43), "/","-")</f>
        <v>09-06-2015</v>
      </c>
      <c r="U49" t="str" cm="1">
        <f t="array" ref="U49:U51">SUBSTITUTE(_xlfn.ANCHORARRAY(Y43), "/", "-", 1)</f>
        <v>09-06/2015</v>
      </c>
      <c r="V49" t="str" cm="1">
        <f t="array" ref="V49:V51">SUBSTITUTE(_xlfn.ANCHORARRAY(Y43), "/", "-", 2)</f>
        <v>09/06-2015</v>
      </c>
      <c r="Y49" t="str" cm="1">
        <f t="array" ref="Y49:Y51">RIGHT(_xlfn.ANCHORARRAY(Y43), 4)</f>
        <v>2015</v>
      </c>
      <c r="AJ49">
        <v>19000</v>
      </c>
      <c r="AK49" s="16">
        <v>10</v>
      </c>
      <c r="AL49">
        <v>2</v>
      </c>
      <c r="AM49">
        <f>AJ49*AK49*AL49/100</f>
        <v>3800</v>
      </c>
      <c r="AO49" s="17">
        <v>0.1</v>
      </c>
      <c r="AP49">
        <f>AJ49*AO49*AL49</f>
        <v>3800</v>
      </c>
    </row>
    <row r="50" spans="1:43" x14ac:dyDescent="0.25">
      <c r="M50" s="3" t="s">
        <v>7</v>
      </c>
      <c r="N50">
        <v>31</v>
      </c>
      <c r="O50">
        <v>65000</v>
      </c>
      <c r="T50" t="str">
        <v>10-10-2015</v>
      </c>
      <c r="U50" t="str">
        <v>10-10/2015</v>
      </c>
      <c r="V50" t="str">
        <v>10/10-2015</v>
      </c>
      <c r="Y50" t="str">
        <v>2015</v>
      </c>
      <c r="AK50">
        <v>15000</v>
      </c>
      <c r="AL50">
        <v>12</v>
      </c>
      <c r="AM50">
        <v>5</v>
      </c>
      <c r="AN50">
        <f>AK50*AL50*AM50/100</f>
        <v>9000</v>
      </c>
      <c r="AP50" s="17">
        <v>0.12</v>
      </c>
      <c r="AQ50">
        <f>AK50*AP50*AM50</f>
        <v>9000</v>
      </c>
    </row>
    <row r="51" spans="1:43" x14ac:dyDescent="0.25">
      <c r="T51" t="str">
        <v>09-08-2011</v>
      </c>
      <c r="U51" t="str">
        <v>09-08/2011</v>
      </c>
      <c r="V51" t="str">
        <v>09/08-2011</v>
      </c>
      <c r="Y51" t="str">
        <v>2011</v>
      </c>
      <c r="AK51">
        <v>20000</v>
      </c>
      <c r="AL51">
        <v>10</v>
      </c>
      <c r="AM51">
        <v>4</v>
      </c>
    </row>
    <row r="52" spans="1:43" x14ac:dyDescent="0.25">
      <c r="P52" s="21" t="s">
        <v>136</v>
      </c>
      <c r="Q52" s="21"/>
    </row>
    <row r="53" spans="1:43" x14ac:dyDescent="0.25">
      <c r="A53" t="s">
        <v>41</v>
      </c>
    </row>
    <row r="54" spans="1:43" x14ac:dyDescent="0.25">
      <c r="V54" s="22" t="s">
        <v>137</v>
      </c>
      <c r="W54" s="21" t="s">
        <v>138</v>
      </c>
    </row>
    <row r="55" spans="1:43" x14ac:dyDescent="0.25">
      <c r="V55" s="3" cm="1">
        <f t="array" ref="V55:V57">_xlfn.DAYS(W43:W45,V43:V45)</f>
        <v>5231</v>
      </c>
      <c r="W55">
        <f>NETWORKDAYS(V43,W43)</f>
        <v>3737</v>
      </c>
    </row>
    <row r="56" spans="1:43" x14ac:dyDescent="0.25">
      <c r="V56" s="3">
        <v>6058</v>
      </c>
      <c r="AN56" t="s">
        <v>93</v>
      </c>
    </row>
    <row r="57" spans="1:43" x14ac:dyDescent="0.25">
      <c r="V57" s="3">
        <v>4141</v>
      </c>
      <c r="AF57" t="s">
        <v>94</v>
      </c>
      <c r="AN57">
        <f>AK50*(1+AL50/100)^AM50-AK50</f>
        <v>11435.125248000008</v>
      </c>
    </row>
    <row r="58" spans="1:43" x14ac:dyDescent="0.25">
      <c r="AF58" t="s">
        <v>95</v>
      </c>
      <c r="AG58" t="s">
        <v>96</v>
      </c>
      <c r="AH58" t="s">
        <v>98</v>
      </c>
      <c r="AI58" t="s">
        <v>97</v>
      </c>
      <c r="AN58">
        <f>AK51*(1+AL51/100)^AM51-AK51</f>
        <v>9282.0000000000073</v>
      </c>
    </row>
    <row r="59" spans="1:43" x14ac:dyDescent="0.25">
      <c r="P59" s="21" t="s">
        <v>139</v>
      </c>
      <c r="AF59">
        <v>2018</v>
      </c>
      <c r="AG59">
        <v>49021.05</v>
      </c>
      <c r="AH59">
        <v>80677.38</v>
      </c>
      <c r="AI59">
        <v>56811.040000000001</v>
      </c>
    </row>
    <row r="60" spans="1:43" x14ac:dyDescent="0.25">
      <c r="AF60">
        <v>2019</v>
      </c>
      <c r="AG60">
        <v>50048.42</v>
      </c>
      <c r="AH60">
        <v>92424.58</v>
      </c>
      <c r="AI60">
        <v>62621.62</v>
      </c>
    </row>
    <row r="61" spans="1:43" x14ac:dyDescent="0.25">
      <c r="I61" t="s">
        <v>140</v>
      </c>
      <c r="J61" s="3" t="s">
        <v>145</v>
      </c>
      <c r="O61" t="s">
        <v>147</v>
      </c>
      <c r="P61" t="s">
        <v>157</v>
      </c>
      <c r="Q61" t="s">
        <v>158</v>
      </c>
      <c r="R61" t="s">
        <v>168</v>
      </c>
      <c r="S61" s="21" t="s">
        <v>123</v>
      </c>
      <c r="T61" s="21" t="s">
        <v>124</v>
      </c>
      <c r="U61" t="s">
        <v>169</v>
      </c>
      <c r="AF61">
        <v>2020</v>
      </c>
      <c r="AG61">
        <f>FORECAST(AF61,AG59:AG60,AF59:AF60)</f>
        <v>51075.790000000037</v>
      </c>
      <c r="AH61">
        <f>FORECAST(AF61,AH59:AH60,AF59:AF60)</f>
        <v>104171.77999999747</v>
      </c>
      <c r="AI61">
        <f>FORECAST(AF61,AI59:AI60,AF59:AF60)</f>
        <v>68432.199999999255</v>
      </c>
    </row>
    <row r="62" spans="1:43" x14ac:dyDescent="0.25">
      <c r="I62" t="s">
        <v>141</v>
      </c>
      <c r="J62" t="str" cm="1">
        <f t="array" ref="J62">_xlfn.XLOOKUP(I62,_xlfn.ANCHORARRAY(R62),U62:U70)</f>
        <v>Toby.Flenderson@DunderMifflin.com</v>
      </c>
      <c r="O62">
        <v>1001</v>
      </c>
      <c r="P62" t="s">
        <v>156</v>
      </c>
      <c r="Q62" t="s">
        <v>159</v>
      </c>
      <c r="R62" t="str" cm="1">
        <f t="array" ref="R62:R70">CONCATENATE(P62:P70, " ",  Q62:Q70)</f>
        <v>Jim Halpert</v>
      </c>
      <c r="S62" s="19">
        <v>36933</v>
      </c>
      <c r="T62" s="6">
        <v>42164</v>
      </c>
      <c r="U62" s="24" t="s">
        <v>170</v>
      </c>
    </row>
    <row r="63" spans="1:43" x14ac:dyDescent="0.25">
      <c r="I63" t="s">
        <v>142</v>
      </c>
      <c r="O63">
        <v>1002</v>
      </c>
      <c r="P63" t="s">
        <v>155</v>
      </c>
      <c r="Q63" t="s">
        <v>160</v>
      </c>
      <c r="R63" t="str">
        <v>Pam Beasley</v>
      </c>
      <c r="S63" s="19">
        <v>36229</v>
      </c>
      <c r="T63" s="6">
        <v>42287</v>
      </c>
      <c r="U63" s="24" t="s">
        <v>171</v>
      </c>
    </row>
    <row r="64" spans="1:43" x14ac:dyDescent="0.25">
      <c r="I64" t="s">
        <v>143</v>
      </c>
      <c r="O64">
        <v>1003</v>
      </c>
      <c r="P64" t="s">
        <v>154</v>
      </c>
      <c r="Q64" t="s">
        <v>167</v>
      </c>
      <c r="R64" t="str">
        <v>Dwight Schrute</v>
      </c>
      <c r="S64" s="19">
        <v>36623</v>
      </c>
      <c r="T64" s="6">
        <v>40764</v>
      </c>
      <c r="U64" s="24" t="s">
        <v>172</v>
      </c>
    </row>
    <row r="65" spans="8:39" x14ac:dyDescent="0.25">
      <c r="I65" t="s">
        <v>144</v>
      </c>
      <c r="O65">
        <v>1004</v>
      </c>
      <c r="P65" t="s">
        <v>153</v>
      </c>
      <c r="Q65" t="s">
        <v>161</v>
      </c>
      <c r="R65" t="str">
        <v>Angela Martin</v>
      </c>
      <c r="S65" s="19">
        <v>36647</v>
      </c>
      <c r="T65" s="6">
        <v>42075</v>
      </c>
      <c r="U65" s="24" t="s">
        <v>173</v>
      </c>
      <c r="AF65" t="s">
        <v>104</v>
      </c>
      <c r="AJ65" t="s">
        <v>40</v>
      </c>
    </row>
    <row r="66" spans="8:39" x14ac:dyDescent="0.25">
      <c r="O66">
        <v>1005</v>
      </c>
      <c r="P66" t="s">
        <v>152</v>
      </c>
      <c r="Q66" t="s">
        <v>162</v>
      </c>
      <c r="R66" t="str">
        <v>Toby Flenderson</v>
      </c>
      <c r="S66" s="19">
        <v>37047</v>
      </c>
      <c r="T66" t="s">
        <v>179</v>
      </c>
      <c r="U66" s="24" t="s">
        <v>174</v>
      </c>
      <c r="AF66" s="3" t="s">
        <v>105</v>
      </c>
      <c r="AG66" s="3" t="s">
        <v>106</v>
      </c>
      <c r="AI66" s="3" t="s">
        <v>95</v>
      </c>
      <c r="AJ66" s="3" t="s">
        <v>104</v>
      </c>
    </row>
    <row r="67" spans="8:39" x14ac:dyDescent="0.25">
      <c r="I67" t="s">
        <v>181</v>
      </c>
      <c r="O67">
        <v>1006</v>
      </c>
      <c r="P67" t="s">
        <v>151</v>
      </c>
      <c r="Q67" t="s">
        <v>163</v>
      </c>
      <c r="R67" t="str">
        <v>Michael Scott</v>
      </c>
      <c r="S67" s="19">
        <v>37047</v>
      </c>
      <c r="T67" s="6">
        <v>41587</v>
      </c>
      <c r="U67" s="24" t="s">
        <v>175</v>
      </c>
      <c r="AF67" s="3" t="s">
        <v>107</v>
      </c>
      <c r="AG67" s="3">
        <v>220000</v>
      </c>
      <c r="AH67" s="3"/>
      <c r="AI67" s="3">
        <v>1</v>
      </c>
      <c r="AJ67" s="20">
        <f>DB(AG67,AG68,AG69,AI67)</f>
        <v>56320</v>
      </c>
      <c r="AK67" s="18"/>
    </row>
    <row r="68" spans="8:39" x14ac:dyDescent="0.25">
      <c r="H68" t="s">
        <v>140</v>
      </c>
      <c r="I68" t="s">
        <v>146</v>
      </c>
      <c r="J68" t="s">
        <v>169</v>
      </c>
      <c r="O68">
        <v>1007</v>
      </c>
      <c r="P68" t="s">
        <v>150</v>
      </c>
      <c r="Q68" t="s">
        <v>164</v>
      </c>
      <c r="R68" t="str">
        <v>Meredith Palmer</v>
      </c>
      <c r="S68" s="19">
        <v>37844</v>
      </c>
      <c r="T68" s="6">
        <v>41587</v>
      </c>
      <c r="U68" s="24" t="s">
        <v>176</v>
      </c>
      <c r="AF68" s="3" t="s">
        <v>108</v>
      </c>
      <c r="AG68" s="3">
        <v>50000</v>
      </c>
      <c r="AH68" s="3"/>
      <c r="AI68" s="3">
        <v>2</v>
      </c>
      <c r="AJ68" s="18"/>
      <c r="AK68" s="18"/>
    </row>
    <row r="69" spans="8:39" x14ac:dyDescent="0.25">
      <c r="H69" t="s">
        <v>141</v>
      </c>
      <c r="I69" t="str" cm="1">
        <f t="array" ref="I69:J69">_xlfn.XLOOKUP(H69,_xlfn.ANCHORARRAY(R62),T62:U70)</f>
        <v>08-30-2017</v>
      </c>
      <c r="J69" t="str">
        <v>Toby.Flenderson@DunderMifflin.com</v>
      </c>
      <c r="O69">
        <v>1008</v>
      </c>
      <c r="P69" t="s">
        <v>149</v>
      </c>
      <c r="Q69" t="s">
        <v>165</v>
      </c>
      <c r="R69" t="str">
        <v>Stanley Hudson</v>
      </c>
      <c r="S69" s="19">
        <v>37505</v>
      </c>
      <c r="T69" t="s">
        <v>180</v>
      </c>
      <c r="U69" s="24" t="s">
        <v>177</v>
      </c>
      <c r="AF69" s="3" t="s">
        <v>109</v>
      </c>
      <c r="AG69" s="3">
        <v>5</v>
      </c>
      <c r="AH69" s="3"/>
      <c r="AI69" s="3">
        <v>3</v>
      </c>
      <c r="AK69" s="18"/>
    </row>
    <row r="70" spans="8:39" x14ac:dyDescent="0.25">
      <c r="H70" t="s">
        <v>142</v>
      </c>
      <c r="O70">
        <v>1009</v>
      </c>
      <c r="P70" t="s">
        <v>148</v>
      </c>
      <c r="Q70" t="s">
        <v>166</v>
      </c>
      <c r="R70" t="str">
        <v>Kevin Malone</v>
      </c>
      <c r="S70" s="19">
        <v>37902</v>
      </c>
      <c r="T70" t="s">
        <v>180</v>
      </c>
      <c r="U70" s="24" t="s">
        <v>178</v>
      </c>
      <c r="AI70" s="3">
        <v>4</v>
      </c>
      <c r="AK70" s="18"/>
    </row>
    <row r="71" spans="8:39" x14ac:dyDescent="0.25">
      <c r="H71" t="s">
        <v>143</v>
      </c>
      <c r="AJ71" s="3">
        <v>5</v>
      </c>
      <c r="AL71" s="18"/>
    </row>
    <row r="72" spans="8:39" x14ac:dyDescent="0.25">
      <c r="H72" t="s">
        <v>144</v>
      </c>
      <c r="AM72" t="s">
        <v>40</v>
      </c>
    </row>
    <row r="74" spans="8:39" x14ac:dyDescent="0.25">
      <c r="I74" t="s">
        <v>182</v>
      </c>
      <c r="P74" t="s">
        <v>186</v>
      </c>
      <c r="U74" t="s">
        <v>189</v>
      </c>
      <c r="AG74" s="3"/>
    </row>
    <row r="75" spans="8:39" x14ac:dyDescent="0.25">
      <c r="H75" t="s">
        <v>140</v>
      </c>
      <c r="I75" t="s">
        <v>169</v>
      </c>
      <c r="S75" t="s">
        <v>193</v>
      </c>
      <c r="V75" t="s">
        <v>194</v>
      </c>
      <c r="W75" t="s">
        <v>193</v>
      </c>
      <c r="X75" t="s">
        <v>195</v>
      </c>
      <c r="Y75" t="s">
        <v>196</v>
      </c>
      <c r="Z75" t="s">
        <v>197</v>
      </c>
      <c r="AA75" t="s">
        <v>198</v>
      </c>
      <c r="AB75" t="s">
        <v>199</v>
      </c>
      <c r="AC75" t="s">
        <v>200</v>
      </c>
      <c r="AD75" t="s">
        <v>201</v>
      </c>
      <c r="AE75" t="s">
        <v>202</v>
      </c>
      <c r="AF75" t="s">
        <v>203</v>
      </c>
      <c r="AG75" t="s">
        <v>204</v>
      </c>
    </row>
    <row r="76" spans="8:39" x14ac:dyDescent="0.25">
      <c r="H76" t="s">
        <v>183</v>
      </c>
      <c r="I76" t="str" cm="1">
        <f t="array" ref="I76">_xlfn.XLOOKUP(H76,_xlfn.ANCHORARRAY(R62),U62:U70,"Not Found")</f>
        <v>Not Found</v>
      </c>
      <c r="O76" s="3" t="s">
        <v>187</v>
      </c>
      <c r="P76" t="s">
        <v>188</v>
      </c>
      <c r="R76" t="s">
        <v>190</v>
      </c>
      <c r="S76">
        <f>_xlfn.XLOOKUP(W75,V75:AG75,V76:AG76)</f>
        <v>310</v>
      </c>
      <c r="U76" t="s">
        <v>190</v>
      </c>
      <c r="V76">
        <v>450</v>
      </c>
      <c r="W76">
        <v>310</v>
      </c>
      <c r="X76">
        <v>150</v>
      </c>
      <c r="Y76">
        <v>750</v>
      </c>
      <c r="Z76">
        <v>440</v>
      </c>
      <c r="AA76">
        <v>485</v>
      </c>
      <c r="AB76">
        <v>510</v>
      </c>
      <c r="AC76">
        <v>347</v>
      </c>
      <c r="AD76">
        <v>736</v>
      </c>
      <c r="AE76">
        <v>155</v>
      </c>
      <c r="AF76">
        <v>450</v>
      </c>
      <c r="AG76">
        <v>288</v>
      </c>
    </row>
    <row r="77" spans="8:39" x14ac:dyDescent="0.25">
      <c r="O77" s="19">
        <v>36647</v>
      </c>
      <c r="P77" t="str" cm="1">
        <f t="array" ref="P77">_xlfn.XLOOKUP(O77,S62:S70,_xlfn.ANCHORARRAY(R62),,1)</f>
        <v>Angela Martin</v>
      </c>
      <c r="R77" t="s">
        <v>191</v>
      </c>
      <c r="S77">
        <f t="shared" ref="S77:S78" si="3">_xlfn.XLOOKUP(W76,V76:AG76,V77:AG77)</f>
        <v>40</v>
      </c>
      <c r="U77" t="s">
        <v>191</v>
      </c>
      <c r="V77">
        <v>75</v>
      </c>
      <c r="W77">
        <v>40</v>
      </c>
      <c r="X77">
        <v>65</v>
      </c>
      <c r="Y77">
        <v>50</v>
      </c>
      <c r="Z77">
        <v>24</v>
      </c>
      <c r="AA77">
        <v>71</v>
      </c>
      <c r="AB77">
        <v>57</v>
      </c>
      <c r="AC77">
        <v>61</v>
      </c>
      <c r="AD77">
        <v>34</v>
      </c>
      <c r="AE77">
        <v>41</v>
      </c>
      <c r="AF77">
        <v>58</v>
      </c>
      <c r="AG77">
        <v>91</v>
      </c>
    </row>
    <row r="78" spans="8:39" x14ac:dyDescent="0.25">
      <c r="O78" s="19">
        <v>37047</v>
      </c>
      <c r="P78" t="str" cm="1">
        <f t="array" ref="P78">_xlfn.XLOOKUP(O78,S62:S70,_xlfn.ANCHORARRAY(R62),,,1)</f>
        <v>Toby Flenderson</v>
      </c>
      <c r="R78" t="s">
        <v>192</v>
      </c>
      <c r="S78">
        <f t="shared" si="3"/>
        <v>118</v>
      </c>
      <c r="U78" t="s">
        <v>192</v>
      </c>
      <c r="V78">
        <v>200</v>
      </c>
      <c r="W78">
        <v>118</v>
      </c>
      <c r="X78">
        <v>145</v>
      </c>
      <c r="Y78">
        <v>210</v>
      </c>
      <c r="Z78">
        <v>45</v>
      </c>
      <c r="AA78">
        <v>170</v>
      </c>
      <c r="AB78">
        <v>130</v>
      </c>
      <c r="AC78">
        <v>90</v>
      </c>
      <c r="AD78">
        <v>55</v>
      </c>
      <c r="AE78">
        <v>110</v>
      </c>
      <c r="AF78">
        <v>130</v>
      </c>
      <c r="AG78">
        <v>180</v>
      </c>
    </row>
    <row r="79" spans="8:39" x14ac:dyDescent="0.25">
      <c r="I79" t="s">
        <v>184</v>
      </c>
      <c r="O79" s="19">
        <v>37047</v>
      </c>
      <c r="P79" t="str" cm="1">
        <f t="array" ref="P79">_xlfn.XLOOKUP(O78,S62:S70,_xlfn.ANCHORARRAY(R62),,,-1)</f>
        <v>Michael Scott</v>
      </c>
    </row>
    <row r="80" spans="8:39" x14ac:dyDescent="0.25">
      <c r="H80" t="s">
        <v>160</v>
      </c>
      <c r="I80" t="str" cm="1">
        <f t="array" ref="I80">_xlfn.XLOOKUP("*"&amp;H80,_xlfn.ANCHORARRAY(R62),U62:U70,"Not Found",2)</f>
        <v>Pam.Beasley@DunderMifflin.com</v>
      </c>
      <c r="S80" t="s">
        <v>205</v>
      </c>
    </row>
    <row r="81" spans="8:25" x14ac:dyDescent="0.25">
      <c r="S81" t="s">
        <v>207</v>
      </c>
      <c r="T81" t="s">
        <v>208</v>
      </c>
    </row>
    <row r="82" spans="8:25" x14ac:dyDescent="0.25">
      <c r="R82" s="3" t="s">
        <v>206</v>
      </c>
      <c r="S82" s="3">
        <f>SUM(_xlfn.XLOOKUP(W75,V75:AG75,V76:AG76):_xlfn.XLOOKUP(X75,V75:AG75,V76:AG76))</f>
        <v>460</v>
      </c>
      <c r="Y82" t="s">
        <v>218</v>
      </c>
    </row>
    <row r="83" spans="8:25" x14ac:dyDescent="0.25">
      <c r="H83" t="s">
        <v>185</v>
      </c>
      <c r="I83" t="str" cm="1">
        <f t="array" ref="I83">_xlfn.XLOOKUP(H83&amp;"*",_xlfn.ANCHORARRAY(R62),U62:U70,"Not Found",2)</f>
        <v>Meredith.Palmer@Yahoo.com</v>
      </c>
      <c r="Y83">
        <f>SUM(_xlfn.XLOOKUP(AA75,V75:AG75,V76:AG76):_xlfn.XLOOKUP(AB75,V75:AG75,V76:AG76))</f>
        <v>995</v>
      </c>
    </row>
    <row r="84" spans="8:25" x14ac:dyDescent="0.25">
      <c r="H84" t="s">
        <v>144</v>
      </c>
    </row>
    <row r="87" spans="8:25" x14ac:dyDescent="0.25">
      <c r="Q87" t="s">
        <v>209</v>
      </c>
    </row>
    <row r="88" spans="8:25" x14ac:dyDescent="0.25">
      <c r="P88" t="s">
        <v>168</v>
      </c>
      <c r="Q88" t="s">
        <v>169</v>
      </c>
    </row>
    <row r="89" spans="8:25" x14ac:dyDescent="0.25">
      <c r="P89" t="s">
        <v>141</v>
      </c>
      <c r="Q89" t="str">
        <f>VLOOKUP(P89,R61:U70,4,)</f>
        <v>Toby.Flenderson@DunderMifflin.com</v>
      </c>
    </row>
    <row r="93" spans="8:25" x14ac:dyDescent="0.25">
      <c r="S93" t="s">
        <v>210</v>
      </c>
    </row>
    <row r="96" spans="8:25" x14ac:dyDescent="0.25">
      <c r="P96" t="s">
        <v>147</v>
      </c>
      <c r="Q96" s="8" t="s">
        <v>157</v>
      </c>
      <c r="R96" t="s">
        <v>158</v>
      </c>
      <c r="S96" t="s">
        <v>168</v>
      </c>
      <c r="T96" s="21" t="s">
        <v>123</v>
      </c>
      <c r="U96" s="23" t="s">
        <v>124</v>
      </c>
      <c r="V96" t="s">
        <v>169</v>
      </c>
      <c r="Y96" s="23" t="s">
        <v>211</v>
      </c>
    </row>
    <row r="97" spans="16:25" x14ac:dyDescent="0.25">
      <c r="P97" s="3">
        <v>1001</v>
      </c>
      <c r="Q97" s="8" t="s">
        <v>156</v>
      </c>
      <c r="R97" t="s">
        <v>159</v>
      </c>
      <c r="S97" t="str" cm="1">
        <f t="array" ref="S97:S105">CONCATENATE(Q97:Q105, " ",  R97:R105)</f>
        <v>Jim Halpert</v>
      </c>
      <c r="T97" s="19">
        <v>36933</v>
      </c>
      <c r="U97" s="6">
        <v>42164</v>
      </c>
      <c r="V97" s="24" t="s">
        <v>170</v>
      </c>
      <c r="Y97">
        <v>45000</v>
      </c>
    </row>
    <row r="98" spans="16:25" x14ac:dyDescent="0.25">
      <c r="P98" s="3">
        <v>1002</v>
      </c>
      <c r="Q98" s="8" t="s">
        <v>155</v>
      </c>
      <c r="R98" t="s">
        <v>160</v>
      </c>
      <c r="S98" t="str">
        <v>Pam Beasley</v>
      </c>
      <c r="T98" s="19">
        <v>36229</v>
      </c>
      <c r="U98" s="6">
        <v>42287</v>
      </c>
      <c r="V98" s="24" t="s">
        <v>171</v>
      </c>
      <c r="Y98">
        <v>36000</v>
      </c>
    </row>
    <row r="99" spans="16:25" x14ac:dyDescent="0.25">
      <c r="P99" s="3">
        <v>1003</v>
      </c>
      <c r="Q99" s="8" t="s">
        <v>154</v>
      </c>
      <c r="R99" t="s">
        <v>167</v>
      </c>
      <c r="S99" t="str">
        <v>Dwight Schrute</v>
      </c>
      <c r="T99" s="19">
        <v>36623</v>
      </c>
      <c r="U99" s="6">
        <v>40764</v>
      </c>
      <c r="V99" s="24" t="s">
        <v>172</v>
      </c>
      <c r="Y99">
        <v>63000</v>
      </c>
    </row>
    <row r="100" spans="16:25" x14ac:dyDescent="0.25">
      <c r="P100" s="3">
        <v>1004</v>
      </c>
      <c r="Q100" s="8" t="s">
        <v>153</v>
      </c>
      <c r="R100" t="s">
        <v>161</v>
      </c>
      <c r="S100" t="str">
        <v>Angela Martin</v>
      </c>
      <c r="T100" s="19">
        <v>36647</v>
      </c>
      <c r="U100" s="6">
        <v>42075</v>
      </c>
      <c r="V100" s="24" t="s">
        <v>173</v>
      </c>
      <c r="Y100">
        <v>47000</v>
      </c>
    </row>
    <row r="101" spans="16:25" x14ac:dyDescent="0.25">
      <c r="P101" s="3">
        <v>1005</v>
      </c>
      <c r="Q101" s="8" t="s">
        <v>152</v>
      </c>
      <c r="R101" t="s">
        <v>162</v>
      </c>
      <c r="S101" t="str">
        <v>Toby Flenderson</v>
      </c>
      <c r="T101" s="19">
        <v>37047</v>
      </c>
      <c r="U101" s="25" t="s">
        <v>179</v>
      </c>
      <c r="V101" s="24" t="s">
        <v>174</v>
      </c>
      <c r="Y101">
        <v>50000</v>
      </c>
    </row>
    <row r="102" spans="16:25" x14ac:dyDescent="0.25">
      <c r="P102" s="3">
        <v>1006</v>
      </c>
      <c r="Q102" s="8" t="s">
        <v>151</v>
      </c>
      <c r="R102" t="s">
        <v>163</v>
      </c>
      <c r="S102" t="str">
        <v>Michael Scott</v>
      </c>
      <c r="T102" s="19">
        <v>37047</v>
      </c>
      <c r="U102" s="6">
        <v>41587</v>
      </c>
      <c r="V102" s="24" t="s">
        <v>175</v>
      </c>
      <c r="Y102">
        <v>65000</v>
      </c>
    </row>
    <row r="103" spans="16:25" x14ac:dyDescent="0.25">
      <c r="P103" s="3">
        <v>1007</v>
      </c>
      <c r="Q103" s="8" t="s">
        <v>150</v>
      </c>
      <c r="R103" t="s">
        <v>164</v>
      </c>
      <c r="S103" t="str">
        <v>Meredith Palmer</v>
      </c>
      <c r="T103" s="19">
        <v>37844</v>
      </c>
      <c r="U103" s="6">
        <v>41587</v>
      </c>
      <c r="V103" s="24" t="s">
        <v>176</v>
      </c>
      <c r="Y103">
        <v>41000</v>
      </c>
    </row>
    <row r="104" spans="16:25" x14ac:dyDescent="0.25">
      <c r="P104" s="3">
        <v>1008</v>
      </c>
      <c r="Q104" s="8" t="s">
        <v>149</v>
      </c>
      <c r="R104" t="s">
        <v>165</v>
      </c>
      <c r="S104" t="str">
        <v>Stanley Hudson</v>
      </c>
      <c r="T104" s="19">
        <v>37505</v>
      </c>
      <c r="U104" s="25" t="s">
        <v>180</v>
      </c>
      <c r="V104" s="24" t="s">
        <v>177</v>
      </c>
      <c r="Y104">
        <v>48000</v>
      </c>
    </row>
    <row r="105" spans="16:25" x14ac:dyDescent="0.25">
      <c r="P105" s="3">
        <v>1009</v>
      </c>
      <c r="Q105" s="8" t="s">
        <v>148</v>
      </c>
      <c r="R105" t="s">
        <v>166</v>
      </c>
      <c r="S105" t="str">
        <v>Kevin Malone</v>
      </c>
      <c r="T105" s="19">
        <v>37902</v>
      </c>
      <c r="U105" s="25" t="s">
        <v>180</v>
      </c>
      <c r="V105" s="24" t="s">
        <v>178</v>
      </c>
      <c r="Y105">
        <v>42000</v>
      </c>
    </row>
    <row r="114" spans="17:37" x14ac:dyDescent="0.25">
      <c r="R114" t="s">
        <v>194</v>
      </c>
      <c r="S114" t="s">
        <v>193</v>
      </c>
      <c r="T114" t="s">
        <v>195</v>
      </c>
      <c r="U114" t="s">
        <v>196</v>
      </c>
      <c r="V114" t="s">
        <v>197</v>
      </c>
      <c r="W114" t="s">
        <v>198</v>
      </c>
      <c r="X114" t="s">
        <v>199</v>
      </c>
      <c r="Y114" t="s">
        <v>200</v>
      </c>
      <c r="Z114" t="s">
        <v>201</v>
      </c>
      <c r="AA114" t="s">
        <v>202</v>
      </c>
      <c r="AB114" t="s">
        <v>203</v>
      </c>
      <c r="AC114" t="s">
        <v>204</v>
      </c>
    </row>
    <row r="115" spans="17:37" x14ac:dyDescent="0.25">
      <c r="Q115" t="s">
        <v>190</v>
      </c>
      <c r="R115">
        <v>450</v>
      </c>
      <c r="S115">
        <v>310</v>
      </c>
      <c r="T115">
        <v>150</v>
      </c>
      <c r="U115">
        <v>750</v>
      </c>
      <c r="V115">
        <v>440</v>
      </c>
      <c r="W115">
        <v>485</v>
      </c>
      <c r="X115">
        <v>510</v>
      </c>
      <c r="Y115">
        <v>347</v>
      </c>
      <c r="Z115">
        <v>736</v>
      </c>
      <c r="AA115">
        <v>155</v>
      </c>
      <c r="AB115">
        <v>450</v>
      </c>
      <c r="AC115">
        <v>288</v>
      </c>
    </row>
    <row r="116" spans="17:37" x14ac:dyDescent="0.25">
      <c r="Q116" t="s">
        <v>191</v>
      </c>
      <c r="R116">
        <v>75</v>
      </c>
      <c r="S116">
        <v>40</v>
      </c>
      <c r="T116">
        <v>65</v>
      </c>
      <c r="U116">
        <v>50</v>
      </c>
      <c r="V116">
        <v>24</v>
      </c>
      <c r="W116">
        <v>71</v>
      </c>
      <c r="X116">
        <v>57</v>
      </c>
      <c r="Y116">
        <v>61</v>
      </c>
      <c r="Z116">
        <v>34</v>
      </c>
      <c r="AA116">
        <v>41</v>
      </c>
      <c r="AB116">
        <v>58</v>
      </c>
      <c r="AC116">
        <v>91</v>
      </c>
    </row>
    <row r="117" spans="17:37" x14ac:dyDescent="0.25">
      <c r="Q117" t="s">
        <v>192</v>
      </c>
      <c r="R117">
        <v>200</v>
      </c>
      <c r="S117">
        <v>118</v>
      </c>
      <c r="T117">
        <v>145</v>
      </c>
      <c r="U117">
        <v>210</v>
      </c>
      <c r="V117">
        <v>45</v>
      </c>
      <c r="W117">
        <v>170</v>
      </c>
      <c r="X117">
        <v>130</v>
      </c>
      <c r="Y117">
        <v>90</v>
      </c>
      <c r="Z117">
        <v>55</v>
      </c>
      <c r="AA117">
        <v>110</v>
      </c>
      <c r="AB117">
        <v>130</v>
      </c>
      <c r="AC117">
        <v>180</v>
      </c>
    </row>
    <row r="126" spans="17:37" x14ac:dyDescent="0.25">
      <c r="Y126" s="21" t="s">
        <v>194</v>
      </c>
      <c r="Z126" s="21" t="s">
        <v>193</v>
      </c>
      <c r="AA126" s="21" t="s">
        <v>195</v>
      </c>
      <c r="AB126" s="21" t="s">
        <v>196</v>
      </c>
      <c r="AC126" s="21" t="s">
        <v>197</v>
      </c>
      <c r="AD126" s="21" t="s">
        <v>198</v>
      </c>
      <c r="AE126" s="21" t="s">
        <v>199</v>
      </c>
      <c r="AF126" s="21" t="s">
        <v>200</v>
      </c>
      <c r="AG126" s="21" t="s">
        <v>201</v>
      </c>
      <c r="AH126" s="21" t="s">
        <v>202</v>
      </c>
      <c r="AI126" s="21" t="s">
        <v>203</v>
      </c>
      <c r="AJ126" s="21" t="s">
        <v>204</v>
      </c>
      <c r="AK126" s="21" t="s">
        <v>217</v>
      </c>
    </row>
    <row r="127" spans="17:37" x14ac:dyDescent="0.25">
      <c r="X127" t="s">
        <v>190</v>
      </c>
      <c r="Y127">
        <v>450</v>
      </c>
      <c r="Z127">
        <v>310</v>
      </c>
      <c r="AA127">
        <v>150</v>
      </c>
      <c r="AB127">
        <v>750</v>
      </c>
      <c r="AC127">
        <v>440</v>
      </c>
      <c r="AD127">
        <v>485</v>
      </c>
      <c r="AE127">
        <v>510</v>
      </c>
      <c r="AF127">
        <v>347</v>
      </c>
      <c r="AG127">
        <v>736</v>
      </c>
      <c r="AH127">
        <v>155</v>
      </c>
      <c r="AI127">
        <v>450</v>
      </c>
      <c r="AJ127">
        <v>288</v>
      </c>
      <c r="AK127">
        <f>SUM(Y127:AJ127)</f>
        <v>5071</v>
      </c>
    </row>
    <row r="128" spans="17:37" x14ac:dyDescent="0.25">
      <c r="X128" t="s">
        <v>191</v>
      </c>
      <c r="Y128">
        <v>75</v>
      </c>
      <c r="Z128">
        <v>40</v>
      </c>
      <c r="AA128">
        <v>65</v>
      </c>
      <c r="AB128">
        <v>50</v>
      </c>
      <c r="AC128">
        <v>24</v>
      </c>
      <c r="AD128">
        <v>71</v>
      </c>
      <c r="AE128">
        <v>57</v>
      </c>
      <c r="AF128">
        <v>61</v>
      </c>
      <c r="AG128">
        <v>34</v>
      </c>
      <c r="AH128">
        <v>41</v>
      </c>
      <c r="AI128">
        <v>58</v>
      </c>
      <c r="AJ128">
        <v>91</v>
      </c>
      <c r="AK128">
        <f t="shared" ref="AK128:AK134" si="4">SUM(Y128:AJ128)</f>
        <v>667</v>
      </c>
    </row>
    <row r="129" spans="24:37" x14ac:dyDescent="0.25">
      <c r="X129" t="s">
        <v>192</v>
      </c>
      <c r="Y129">
        <v>200</v>
      </c>
      <c r="Z129">
        <v>118</v>
      </c>
      <c r="AA129">
        <v>145</v>
      </c>
      <c r="AB129">
        <v>210</v>
      </c>
      <c r="AC129">
        <v>45</v>
      </c>
      <c r="AD129">
        <v>170</v>
      </c>
      <c r="AE129">
        <v>130</v>
      </c>
      <c r="AF129">
        <v>90</v>
      </c>
      <c r="AG129">
        <v>55</v>
      </c>
      <c r="AH129">
        <v>110</v>
      </c>
      <c r="AI129">
        <v>130</v>
      </c>
      <c r="AJ129">
        <v>180</v>
      </c>
      <c r="AK129">
        <f t="shared" si="4"/>
        <v>1583</v>
      </c>
    </row>
    <row r="130" spans="24:37" x14ac:dyDescent="0.25">
      <c r="X130" t="s">
        <v>212</v>
      </c>
      <c r="Y130">
        <v>25</v>
      </c>
      <c r="Z130">
        <v>18</v>
      </c>
      <c r="AA130">
        <v>33</v>
      </c>
      <c r="AB130">
        <v>10</v>
      </c>
      <c r="AC130">
        <v>5</v>
      </c>
      <c r="AD130">
        <v>17</v>
      </c>
      <c r="AE130">
        <v>37</v>
      </c>
      <c r="AF130">
        <v>32</v>
      </c>
      <c r="AG130">
        <v>35</v>
      </c>
      <c r="AH130">
        <v>24</v>
      </c>
      <c r="AI130">
        <v>19</v>
      </c>
      <c r="AJ130">
        <v>16</v>
      </c>
      <c r="AK130">
        <f t="shared" si="4"/>
        <v>271</v>
      </c>
    </row>
    <row r="131" spans="24:37" x14ac:dyDescent="0.25">
      <c r="X131" t="s">
        <v>213</v>
      </c>
      <c r="Y131">
        <v>87</v>
      </c>
      <c r="Z131">
        <v>52</v>
      </c>
      <c r="AA131">
        <v>77</v>
      </c>
      <c r="AB131">
        <v>62</v>
      </c>
      <c r="AC131">
        <v>36</v>
      </c>
      <c r="AD131">
        <v>83</v>
      </c>
      <c r="AE131">
        <v>69</v>
      </c>
      <c r="AF131">
        <v>73</v>
      </c>
      <c r="AG131">
        <v>46</v>
      </c>
      <c r="AH131">
        <v>53</v>
      </c>
      <c r="AI131">
        <v>70</v>
      </c>
      <c r="AJ131">
        <v>103</v>
      </c>
      <c r="AK131">
        <f t="shared" si="4"/>
        <v>811</v>
      </c>
    </row>
    <row r="132" spans="24:37" x14ac:dyDescent="0.25">
      <c r="X132" t="s">
        <v>214</v>
      </c>
      <c r="Y132">
        <v>40</v>
      </c>
      <c r="Z132">
        <v>33</v>
      </c>
      <c r="AA132">
        <v>48</v>
      </c>
      <c r="AB132">
        <v>25</v>
      </c>
      <c r="AC132">
        <v>20</v>
      </c>
      <c r="AD132">
        <v>32</v>
      </c>
      <c r="AE132">
        <v>52</v>
      </c>
      <c r="AF132">
        <v>47</v>
      </c>
      <c r="AG132">
        <v>50</v>
      </c>
      <c r="AH132">
        <v>39</v>
      </c>
      <c r="AI132">
        <v>34</v>
      </c>
      <c r="AJ132">
        <v>31</v>
      </c>
      <c r="AK132">
        <f t="shared" si="4"/>
        <v>451</v>
      </c>
    </row>
    <row r="133" spans="24:37" x14ac:dyDescent="0.25">
      <c r="X133" t="s">
        <v>215</v>
      </c>
      <c r="Y133">
        <v>21</v>
      </c>
      <c r="Z133">
        <v>14</v>
      </c>
      <c r="AA133">
        <v>29</v>
      </c>
      <c r="AB133">
        <v>6</v>
      </c>
      <c r="AC133">
        <v>1</v>
      </c>
      <c r="AD133">
        <v>13</v>
      </c>
      <c r="AE133">
        <v>33</v>
      </c>
      <c r="AF133">
        <v>28</v>
      </c>
      <c r="AG133">
        <v>31</v>
      </c>
      <c r="AH133">
        <v>20</v>
      </c>
      <c r="AI133">
        <v>15</v>
      </c>
      <c r="AJ133">
        <v>12</v>
      </c>
      <c r="AK133">
        <f t="shared" si="4"/>
        <v>223</v>
      </c>
    </row>
    <row r="134" spans="24:37" x14ac:dyDescent="0.25">
      <c r="X134" s="21" t="s">
        <v>216</v>
      </c>
      <c r="Y134" s="21">
        <v>898</v>
      </c>
      <c r="Z134" s="21">
        <v>585</v>
      </c>
      <c r="AA134" s="21">
        <v>547</v>
      </c>
      <c r="AB134" s="21">
        <v>1113</v>
      </c>
      <c r="AC134" s="21">
        <v>571</v>
      </c>
      <c r="AD134" s="21">
        <v>871</v>
      </c>
      <c r="AE134" s="21">
        <v>888</v>
      </c>
      <c r="AF134" s="21">
        <v>678</v>
      </c>
      <c r="AG134" s="21">
        <v>987</v>
      </c>
      <c r="AH134" s="21">
        <v>442</v>
      </c>
      <c r="AI134" s="21">
        <v>776</v>
      </c>
      <c r="AJ134" s="21">
        <v>721</v>
      </c>
      <c r="AK134" s="21">
        <f t="shared" si="4"/>
        <v>9077</v>
      </c>
    </row>
  </sheetData>
  <mergeCells count="1">
    <mergeCell ref="A1:D1"/>
  </mergeCells>
  <phoneticPr fontId="1" type="noConversion"/>
  <conditionalFormatting sqref="I5:I14 K5:M1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5:AC115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Q117:AC117">
    <cfRule type="iconSet" priority="7">
      <iconSet iconSet="3Signs">
        <cfvo type="percent" val="0"/>
        <cfvo type="percent" val="33"/>
        <cfvo type="percent" val="67"/>
      </iconSet>
    </cfRule>
  </conditionalFormatting>
  <conditionalFormatting sqref="V97:V105">
    <cfRule type="containsText" dxfId="3" priority="3" operator="containsText" text="Dunder">
      <formula>NOT(ISERROR(SEARCH("Dunder",V97)))</formula>
    </cfRule>
  </conditionalFormatting>
  <conditionalFormatting sqref="Y96">
    <cfRule type="aboveAverage" dxfId="2" priority="4"/>
    <cfRule type="aboveAverage" dxfId="1" priority="6"/>
  </conditionalFormatting>
  <conditionalFormatting sqref="Y97:Y105">
    <cfRule type="expression" dxfId="0" priority="1">
      <formula>Y97:Y105&gt;50000</formula>
    </cfRule>
  </conditionalFormatting>
  <hyperlinks>
    <hyperlink ref="U62" r:id="rId2" xr:uid="{2FC26427-9C4F-42AB-965A-B89901E1179A}"/>
    <hyperlink ref="U63" r:id="rId3" xr:uid="{81FF9B70-BDE0-4DBD-A349-067F9309E8B9}"/>
    <hyperlink ref="U64" r:id="rId4" xr:uid="{ED02DFEF-B3C6-46C8-9051-A1A68BE0FA33}"/>
    <hyperlink ref="U65" r:id="rId5" xr:uid="{A08A0413-96D0-45D6-BE40-F3BD43576AB9}"/>
    <hyperlink ref="U66" r:id="rId6" xr:uid="{E54762EB-80DC-4153-B51F-97040C9CF9E4}"/>
    <hyperlink ref="U67" r:id="rId7" xr:uid="{B57D397F-3407-42D2-8A99-07C5268FB41A}"/>
    <hyperlink ref="U68" r:id="rId8" xr:uid="{60C9849A-58CD-4FED-BA72-B03539BC8ABE}"/>
    <hyperlink ref="U69" r:id="rId9" xr:uid="{7FE4D134-02EB-4D5E-B047-5A2A271FC1E1}"/>
    <hyperlink ref="U70" r:id="rId10" xr:uid="{18442206-A6D7-433A-8845-E74224D3224E}"/>
    <hyperlink ref="V97" r:id="rId11" xr:uid="{1A9A4FD7-EC9F-41FF-BF3F-766571B53134}"/>
    <hyperlink ref="V98" r:id="rId12" xr:uid="{B3C1A779-1CF1-4556-870A-668993791D4D}"/>
    <hyperlink ref="V99" r:id="rId13" xr:uid="{A5FD65BC-CA36-4EAA-A704-A11FC8DDCE45}"/>
    <hyperlink ref="V100" r:id="rId14" xr:uid="{CDF8DBEA-EE24-496F-872E-9A657E113777}"/>
    <hyperlink ref="V101" r:id="rId15" xr:uid="{23F021C2-FCCC-4A74-8BF6-3DC812D46FB4}"/>
    <hyperlink ref="V102" r:id="rId16" xr:uid="{64C88503-283A-4E6F-B87F-C2FA25AB2BBE}"/>
    <hyperlink ref="V103" r:id="rId17" xr:uid="{FD0D65AB-6F4E-4656-B8DE-69AF7CBAD221}"/>
    <hyperlink ref="V104" r:id="rId18" xr:uid="{48B9042A-F6EC-42AE-8F91-8BA5E2F3D99D}"/>
    <hyperlink ref="V105" r:id="rId19" xr:uid="{C6635253-C19C-4FBD-BB40-F7E74C7C6AB9}"/>
  </hyperlinks>
  <pageMargins left="0.7" right="0.7" top="0.75" bottom="0.75" header="0.3" footer="0.3"/>
  <pageSetup orientation="landscape" r:id="rId20"/>
  <headerFooter>
    <oddHeader>&amp;C
&amp;G</oddHeader>
  </headerFooter>
  <drawing r:id="rId21"/>
  <legacyDrawingHF r:id="rId22"/>
  <tableParts count="3">
    <tablePart r:id="rId23"/>
    <tablePart r:id="rId24"/>
    <tablePart r:id="rId2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E9D4E759-8A1A-4882-9E8D-AC6AF64EE23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Q116:AC116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9E6F-E80D-4633-8DF9-B0DFEFD35801}">
  <dimension ref="A1"/>
  <sheetViews>
    <sheetView topLeftCell="A14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almaas ansari</dc:creator>
  <cp:lastModifiedBy>almaas ansari</cp:lastModifiedBy>
  <dcterms:created xsi:type="dcterms:W3CDTF">2023-11-21T09:38:46Z</dcterms:created>
  <dcterms:modified xsi:type="dcterms:W3CDTF">2023-12-17T12:12:56Z</dcterms:modified>
</cp:coreProperties>
</file>