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Adam\Programozas\GitHub\ThermoSnake\"/>
    </mc:Choice>
  </mc:AlternateContent>
  <bookViews>
    <workbookView xWindow="0" yWindow="0" windowWidth="215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R2" i="1"/>
  <c r="O3" i="1"/>
  <c r="Q2" i="1"/>
  <c r="L5" i="1"/>
  <c r="E23" i="1"/>
  <c r="E24" i="1"/>
  <c r="E25" i="1"/>
  <c r="E26" i="1"/>
  <c r="E27" i="1"/>
  <c r="E28" i="1"/>
  <c r="O23" i="1" l="1"/>
  <c r="L23" i="1" s="1"/>
  <c r="M23" i="1" s="1"/>
  <c r="K28" i="1"/>
  <c r="K27" i="1"/>
  <c r="K26" i="1"/>
  <c r="K25" i="1"/>
  <c r="K24" i="1"/>
  <c r="K23" i="1"/>
  <c r="K29" i="1" s="1"/>
  <c r="L14" i="1"/>
  <c r="L15" i="1"/>
  <c r="L16" i="1"/>
  <c r="M16" i="1" s="1"/>
  <c r="L17" i="1"/>
  <c r="M17" i="1" s="1"/>
  <c r="L18" i="1"/>
  <c r="M18" i="1" s="1"/>
  <c r="L19" i="1"/>
  <c r="M14" i="1"/>
  <c r="M19" i="1"/>
  <c r="K19" i="1"/>
  <c r="K18" i="1"/>
  <c r="K17" i="1"/>
  <c r="K16" i="1"/>
  <c r="M15" i="1"/>
  <c r="K15" i="1"/>
  <c r="K14" i="1"/>
  <c r="L7" i="1"/>
  <c r="M7" i="1" s="1"/>
  <c r="L6" i="1"/>
  <c r="M6" i="1" s="1"/>
  <c r="L2" i="1"/>
  <c r="L3" i="1"/>
  <c r="M3" i="1" s="1"/>
  <c r="L4" i="1"/>
  <c r="L8" i="1"/>
  <c r="L9" i="1"/>
  <c r="L10" i="1"/>
  <c r="M10" i="1" s="1"/>
  <c r="M4" i="1"/>
  <c r="M5" i="1"/>
  <c r="M8" i="1"/>
  <c r="M9" i="1"/>
  <c r="M2" i="1"/>
  <c r="K11" i="1"/>
  <c r="K2" i="1"/>
  <c r="K3" i="1"/>
  <c r="K4" i="1"/>
  <c r="K5" i="1"/>
  <c r="K6" i="1"/>
  <c r="K7" i="1"/>
  <c r="K8" i="1"/>
  <c r="K9" i="1"/>
  <c r="K10" i="1"/>
  <c r="F23" i="1"/>
  <c r="F24" i="1"/>
  <c r="F25" i="1"/>
  <c r="F26" i="1"/>
  <c r="F28" i="1"/>
  <c r="F27" i="1"/>
  <c r="D28" i="1"/>
  <c r="D27" i="1"/>
  <c r="D26" i="1"/>
  <c r="D25" i="1"/>
  <c r="D24" i="1"/>
  <c r="D23" i="1"/>
  <c r="E14" i="1"/>
  <c r="F14" i="1" s="1"/>
  <c r="E15" i="1"/>
  <c r="F15" i="1" s="1"/>
  <c r="E16" i="1"/>
  <c r="F16" i="1" s="1"/>
  <c r="E17" i="1"/>
  <c r="E18" i="1"/>
  <c r="F18" i="1" s="1"/>
  <c r="E19" i="1"/>
  <c r="F17" i="1"/>
  <c r="F19" i="1"/>
  <c r="D19" i="1"/>
  <c r="D18" i="1"/>
  <c r="D17" i="1"/>
  <c r="D16" i="1"/>
  <c r="D15" i="1"/>
  <c r="D14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E9" i="1"/>
  <c r="E10" i="1"/>
  <c r="F8" i="1"/>
  <c r="F9" i="1"/>
  <c r="F10" i="1"/>
  <c r="D2" i="1"/>
  <c r="D3" i="1"/>
  <c r="D4" i="1"/>
  <c r="D5" i="1"/>
  <c r="D6" i="1"/>
  <c r="D7" i="1"/>
  <c r="D8" i="1"/>
  <c r="D9" i="1"/>
  <c r="D10" i="1"/>
  <c r="L28" i="1" l="1"/>
  <c r="M28" i="1" s="1"/>
  <c r="L27" i="1"/>
  <c r="M27" i="1" s="1"/>
  <c r="L26" i="1"/>
  <c r="M26" i="1" s="1"/>
  <c r="L25" i="1"/>
  <c r="M25" i="1" s="1"/>
  <c r="L24" i="1"/>
  <c r="M24" i="1" s="1"/>
  <c r="D29" i="1"/>
  <c r="K20" i="1"/>
  <c r="D20" i="1"/>
  <c r="M20" i="1"/>
  <c r="M11" i="1"/>
  <c r="F29" i="1"/>
  <c r="F20" i="1"/>
  <c r="F11" i="1"/>
  <c r="D11" i="1"/>
  <c r="M29" i="1" l="1"/>
</calcChain>
</file>

<file path=xl/sharedStrings.xml><?xml version="1.0" encoding="utf-8"?>
<sst xmlns="http://schemas.openxmlformats.org/spreadsheetml/2006/main" count="41" uniqueCount="13">
  <si>
    <t>temp1</t>
  </si>
  <si>
    <t>hum1</t>
  </si>
  <si>
    <t>temp2</t>
  </si>
  <si>
    <t>hum2</t>
  </si>
  <si>
    <t>ID</t>
  </si>
  <si>
    <t>dif</t>
  </si>
  <si>
    <t>calculated</t>
  </si>
  <si>
    <t>miss</t>
  </si>
  <si>
    <t>1.835</t>
  </si>
  <si>
    <t>min véglet tökéletes</t>
  </si>
  <si>
    <t>max véglet tökéletes</t>
  </si>
  <si>
    <t>tester</t>
  </si>
  <si>
    <t>60-65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</si>
</sst>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á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áblázat3" displayName="Táblázat3" ref="A1:F11" totalsRowCount="1">
  <autoFilter ref="A1:F10"/>
  <tableColumns count="6">
    <tableColumn id="1" name="ID"/>
    <tableColumn id="2" name="temp1"/>
    <tableColumn id="3" name="temp2"/>
    <tableColumn id="4" name="dif" totalsRowFunction="custom" dataDxfId="29" totalsRowDxfId="28">
      <calculatedColumnFormula>Táblázat3[[#This Row],[temp2]]-Táblázat3[[#This Row],[temp1]]</calculatedColumnFormula>
      <totalsRowFormula>AVERAGE(Táblázat3[dif])</totalsRowFormula>
    </tableColumn>
    <tableColumn id="5" name="calculated" dataDxfId="27" totalsRowDxfId="26">
      <calculatedColumnFormula>Táblázat3[[#This Row],[temp1]]+0.7</calculatedColumnFormula>
    </tableColumn>
    <tableColumn id="6" name="miss" totalsRowFunction="custom" dataDxfId="25" totalsRowDxfId="24">
      <calculatedColumnFormula>ABS(Táblázat3[[#This Row],[calculated]]-Táblázat3[[#This Row],[temp2]])</calculatedColumnFormula>
      <totalsRowFormula>AVERAGE(Táblázat3[miss])</totalsRowFormula>
    </tableColumn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4" name="Táblázat35" displayName="Táblázat35" ref="A13:F20" totalsRowCount="1">
  <autoFilter ref="A13:F19"/>
  <tableColumns count="6">
    <tableColumn id="1" name="ID"/>
    <tableColumn id="2" name="temp1"/>
    <tableColumn id="3" name="temp2"/>
    <tableColumn id="4" name="dif" totalsRowFunction="custom" dataDxfId="23" totalsRowDxfId="22">
      <calculatedColumnFormula>Táblázat35[[#This Row],[temp2]]-Táblázat35[[#This Row],[temp1]]</calculatedColumnFormula>
      <totalsRowFormula>AVERAGE(Táblázat35[dif])</totalsRowFormula>
    </tableColumn>
    <tableColumn id="5" name="calculated" dataDxfId="21" totalsRowDxfId="20">
      <calculatedColumnFormula>Táblázat35[[#This Row],[temp1]]+0.7</calculatedColumnFormula>
    </tableColumn>
    <tableColumn id="6" name="miss" totalsRowFunction="custom" dataDxfId="19" totalsRowDxfId="18">
      <calculatedColumnFormula>ABS(Táblázat35[[#This Row],[calculated]]-Táblázat35[[#This Row],[temp2]])</calculatedColumnFormula>
      <totalsRowFormula>AVERAGE(Táblázat35[miss])</totalsRowFormula>
    </tableColumn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id="5" name="Táblázat356" displayName="Táblázat356" ref="A22:F29" totalsRowCount="1">
  <autoFilter ref="A22:F28"/>
  <tableColumns count="6">
    <tableColumn id="1" name="ID"/>
    <tableColumn id="2" name="temp1"/>
    <tableColumn id="3" name="temp2"/>
    <tableColumn id="4" name="dif" totalsRowFunction="custom" dataDxfId="17" totalsRowDxfId="4">
      <calculatedColumnFormula>Táblázat356[[#This Row],[temp2]]-Táblázat356[[#This Row],[temp1]]</calculatedColumnFormula>
      <totalsRowFormula>AVERAGE(Táblázat356[dif])</totalsRowFormula>
    </tableColumn>
    <tableColumn id="5" name="calculated" dataDxfId="1" totalsRowDxfId="3">
      <calculatedColumnFormula>Táblázat356[[#This Row],[temp1]]*1.0286</calculatedColumnFormula>
    </tableColumn>
    <tableColumn id="6" name="miss" totalsRowFunction="custom" dataDxfId="16" totalsRowDxfId="2">
      <calculatedColumnFormula>ABS(Táblázat356[[#This Row],[calculated]]-Táblázat356[[#This Row],[temp2]])</calculatedColumnFormula>
      <totalsRowFormula>AVERAGE(Táblázat356[miss])</totalsRowFormula>
    </tableColumn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7" name="Táblázat7" displayName="Táblázat7" ref="H1:M11" totalsRowCount="1">
  <autoFilter ref="H1:M10"/>
  <tableColumns count="6">
    <tableColumn id="1" name="ID"/>
    <tableColumn id="2" name="hum1"/>
    <tableColumn id="3" name="hum2"/>
    <tableColumn id="4" name="dif" totalsRowFunction="custom" dataDxfId="15" totalsRowDxfId="0">
      <calculatedColumnFormula>Táblázat7[[#This Row],[hum1]]-Táblázat7[[#This Row],[hum2]]</calculatedColumnFormula>
      <totalsRowFormula>AVERAGE(Táblázat7[dif])</totalsRowFormula>
    </tableColumn>
    <tableColumn id="5" name="calculated" dataDxfId="14">
      <calculatedColumnFormula>Táblázat7[[#This Row],[hum1]]-8.49</calculatedColumnFormula>
    </tableColumn>
    <tableColumn id="6" name="miss" totalsRowFunction="custom" dataDxfId="13">
      <calculatedColumnFormula>ABS(Táblázat7[[#This Row],[calculated]]-Táblázat7[[#This Row],[hum2]])</calculatedColumnFormula>
      <totalsRowFormula>AVERAGE(Táblázat7[miss])</totalsRowFormula>
    </tableColumn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id="8" name="Táblázat79" displayName="Táblázat79" ref="H13:M20" totalsRowCount="1">
  <autoFilter ref="H13:M19"/>
  <tableColumns count="6">
    <tableColumn id="1" name="ID"/>
    <tableColumn id="2" name="hum1"/>
    <tableColumn id="3" name="hum2"/>
    <tableColumn id="4" name="dif" totalsRowFunction="custom" dataDxfId="12" totalsRowDxfId="11">
      <calculatedColumnFormula>Táblázat79[[#This Row],[hum1]]-Táblázat79[[#This Row],[hum2]]</calculatedColumnFormula>
      <totalsRowFormula>AVERAGE(Táblázat79[dif])</totalsRowFormula>
    </tableColumn>
    <tableColumn id="5" name="calculated" dataDxfId="10">
      <calculatedColumnFormula>Táblázat79[[#This Row],[hum1]]-5.15</calculatedColumnFormula>
    </tableColumn>
    <tableColumn id="6" name="miss" totalsRowFunction="custom" dataDxfId="9">
      <calculatedColumnFormula>ABS(Táblázat79[[#This Row],[calculated]]-Táblázat79[[#This Row],[hum2]])</calculatedColumnFormula>
      <totalsRowFormula>AVERAGE(Táblázat79[miss])</totalsRowFormula>
    </tableColumn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9" name="Táblázat7910" displayName="Táblázat7910" ref="H22:M29" totalsRowCount="1">
  <autoFilter ref="H22:M28"/>
  <tableColumns count="6">
    <tableColumn id="1" name="ID"/>
    <tableColumn id="2" name="hum1"/>
    <tableColumn id="3" name="hum2"/>
    <tableColumn id="4" name="dif" totalsRowFunction="custom" dataDxfId="8" totalsRowDxfId="7">
      <calculatedColumnFormula>Táblázat7910[[#This Row],[hum1]]-Táblázat7910[[#This Row],[hum2]]</calculatedColumnFormula>
      <totalsRowFormula>AVERAGE(Táblázat7910[dif])</totalsRowFormula>
    </tableColumn>
    <tableColumn id="5" name="calculated" dataDxfId="6">
      <calculatedColumnFormula>Táblázat7910[[#This Row],[hum1]]-($O$23-Táblázat7910[[#This Row],[hum1]])*$P$23</calculatedColumnFormula>
    </tableColumn>
    <tableColumn id="6" name="miss" totalsRowFunction="custom" dataDxfId="5">
      <calculatedColumnFormula>ABS(Táblázat7910[[#This Row],[calculated]]-Táblázat7910[[#This Row],[hum2]])</calculatedColumnFormula>
      <totalsRowFormula>AVERAGE(Táblázat7910[miss])</totalsRow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R8" sqref="R8"/>
    </sheetView>
  </sheetViews>
  <sheetFormatPr defaultRowHeight="15" x14ac:dyDescent="0.25"/>
  <cols>
    <col min="5" max="5" width="12.140625" customWidth="1"/>
    <col min="11" max="11" width="10" bestFit="1" customWidth="1"/>
    <col min="12" max="12" width="12.140625" customWidth="1"/>
  </cols>
  <sheetData>
    <row r="1" spans="1:18" x14ac:dyDescent="0.25">
      <c r="A1" t="s">
        <v>4</v>
      </c>
      <c r="B1" t="s">
        <v>0</v>
      </c>
      <c r="C1" t="s">
        <v>2</v>
      </c>
      <c r="D1" t="s">
        <v>5</v>
      </c>
      <c r="E1" t="s">
        <v>6</v>
      </c>
      <c r="F1" t="s">
        <v>7</v>
      </c>
      <c r="H1" t="s">
        <v>4</v>
      </c>
      <c r="I1" t="s">
        <v>1</v>
      </c>
      <c r="J1" t="s">
        <v>3</v>
      </c>
      <c r="K1" t="s">
        <v>5</v>
      </c>
      <c r="L1" t="s">
        <v>6</v>
      </c>
      <c r="M1" t="s">
        <v>7</v>
      </c>
      <c r="O1" t="s">
        <v>11</v>
      </c>
    </row>
    <row r="2" spans="1:18" x14ac:dyDescent="0.25">
      <c r="A2">
        <v>1</v>
      </c>
      <c r="B2">
        <v>23</v>
      </c>
      <c r="C2">
        <v>23.1</v>
      </c>
      <c r="D2">
        <f>Táblázat3[[#This Row],[temp2]]-Táblázat3[[#This Row],[temp1]]</f>
        <v>0.10000000000000142</v>
      </c>
      <c r="E2">
        <f>Táblázat3[[#This Row],[temp1]]+0.7</f>
        <v>23.7</v>
      </c>
      <c r="F2" s="1">
        <f>ABS(Táblázat3[[#This Row],[calculated]]-Táblázat3[[#This Row],[temp2]])</f>
        <v>0.59999999999999787</v>
      </c>
      <c r="H2">
        <v>1</v>
      </c>
      <c r="I2">
        <v>49</v>
      </c>
      <c r="J2">
        <v>37.5</v>
      </c>
      <c r="K2">
        <f>Táblázat7[[#This Row],[hum1]]-Táblázat7[[#This Row],[hum2]]</f>
        <v>11.5</v>
      </c>
      <c r="L2">
        <f>Táblázat7[[#This Row],[hum1]]-8.49</f>
        <v>40.51</v>
      </c>
      <c r="M2">
        <f>ABS(Táblázat7[[#This Row],[calculated]]-Táblázat7[[#This Row],[hum2]])</f>
        <v>3.009999999999998</v>
      </c>
      <c r="O2" s="3">
        <v>32.5</v>
      </c>
      <c r="P2" s="3">
        <v>65</v>
      </c>
      <c r="Q2">
        <f>O2+0.7</f>
        <v>33.200000000000003</v>
      </c>
      <c r="R2">
        <f>P2-5.15</f>
        <v>59.85</v>
      </c>
    </row>
    <row r="3" spans="1:18" x14ac:dyDescent="0.25">
      <c r="A3">
        <v>2</v>
      </c>
      <c r="B3">
        <v>23</v>
      </c>
      <c r="C3">
        <v>23.7</v>
      </c>
      <c r="D3">
        <f>Táblázat3[[#This Row],[temp2]]-Táblázat3[[#This Row],[temp1]]</f>
        <v>0.69999999999999929</v>
      </c>
      <c r="E3">
        <f>Táblázat3[[#This Row],[temp1]]+0.7</f>
        <v>23.7</v>
      </c>
      <c r="F3" s="1">
        <f>ABS(Táblázat3[[#This Row],[calculated]]-Táblázat3[[#This Row],[temp2]])</f>
        <v>0</v>
      </c>
      <c r="H3">
        <v>2</v>
      </c>
      <c r="I3">
        <v>52</v>
      </c>
      <c r="J3">
        <v>46.79</v>
      </c>
      <c r="K3">
        <f>Táblázat7[[#This Row],[hum1]]-Táblázat7[[#This Row],[hum2]]</f>
        <v>5.2100000000000009</v>
      </c>
      <c r="L3">
        <f>Táblázat7[[#This Row],[hum1]]-8.49</f>
        <v>43.51</v>
      </c>
      <c r="M3">
        <f>ABS(Táblázat7[[#This Row],[calculated]]-Táblázat7[[#This Row],[hum2]])</f>
        <v>3.2800000000000011</v>
      </c>
      <c r="O3">
        <f>Q3-0.7</f>
        <v>24.3</v>
      </c>
      <c r="P3">
        <f>R3+5.15</f>
        <v>62.15</v>
      </c>
      <c r="Q3" s="3">
        <v>25</v>
      </c>
      <c r="R3" s="3">
        <v>57</v>
      </c>
    </row>
    <row r="4" spans="1:18" x14ac:dyDescent="0.25">
      <c r="A4">
        <v>3</v>
      </c>
      <c r="B4">
        <v>23.3</v>
      </c>
      <c r="C4">
        <v>24.75</v>
      </c>
      <c r="D4">
        <f>Táblázat3[[#This Row],[temp2]]-Táblázat3[[#This Row],[temp1]]</f>
        <v>1.4499999999999993</v>
      </c>
      <c r="E4">
        <f>Táblázat3[[#This Row],[temp1]]+0.7</f>
        <v>24</v>
      </c>
      <c r="F4" s="1">
        <f>ABS(Táblázat3[[#This Row],[calculated]]-Táblázat3[[#This Row],[temp2]])</f>
        <v>0.75</v>
      </c>
      <c r="H4">
        <v>3</v>
      </c>
      <c r="I4">
        <v>55</v>
      </c>
      <c r="J4">
        <v>45.2</v>
      </c>
      <c r="K4">
        <f>Táblázat7[[#This Row],[hum1]]-Táblázat7[[#This Row],[hum2]]</f>
        <v>9.7999999999999972</v>
      </c>
      <c r="L4">
        <f>Táblázat7[[#This Row],[hum1]]-8.49</f>
        <v>46.51</v>
      </c>
      <c r="M4">
        <f>ABS(Táblázat7[[#This Row],[calculated]]-Táblázat7[[#This Row],[hum2]])</f>
        <v>1.3099999999999952</v>
      </c>
    </row>
    <row r="5" spans="1:18" x14ac:dyDescent="0.25">
      <c r="A5">
        <v>4</v>
      </c>
      <c r="B5">
        <v>23.4</v>
      </c>
      <c r="C5">
        <v>23.6</v>
      </c>
      <c r="D5">
        <f>Táblázat3[[#This Row],[temp2]]-Táblázat3[[#This Row],[temp1]]</f>
        <v>0.20000000000000284</v>
      </c>
      <c r="E5">
        <f>Táblázat3[[#This Row],[temp1]]+0.7</f>
        <v>24.099999999999998</v>
      </c>
      <c r="F5" s="1">
        <f>ABS(Táblázat3[[#This Row],[calculated]]-Táblázat3[[#This Row],[temp2]])</f>
        <v>0.49999999999999645</v>
      </c>
      <c r="H5">
        <v>4</v>
      </c>
      <c r="I5">
        <v>56</v>
      </c>
      <c r="J5">
        <v>47.5</v>
      </c>
      <c r="K5">
        <f>Táblázat7[[#This Row],[hum1]]-Táblázat7[[#This Row],[hum2]]</f>
        <v>8.5</v>
      </c>
      <c r="L5">
        <f>Táblázat7[[#This Row],[hum1]]-8.49</f>
        <v>47.51</v>
      </c>
      <c r="M5">
        <f>ABS(Táblázat7[[#This Row],[calculated]]-Táblázat7[[#This Row],[hum2]])</f>
        <v>9.9999999999980105E-3</v>
      </c>
    </row>
    <row r="6" spans="1:18" x14ac:dyDescent="0.25">
      <c r="A6">
        <v>5</v>
      </c>
      <c r="B6">
        <v>23.5</v>
      </c>
      <c r="C6">
        <v>24.25</v>
      </c>
      <c r="D6">
        <f>Táblázat3[[#This Row],[temp2]]-Táblázat3[[#This Row],[temp1]]</f>
        <v>0.75</v>
      </c>
      <c r="E6">
        <f>Táblázat3[[#This Row],[temp1]]+0.7</f>
        <v>24.2</v>
      </c>
      <c r="F6" s="1">
        <f>ABS(Táblázat3[[#This Row],[calculated]]-Táblázat3[[#This Row],[temp2]])</f>
        <v>5.0000000000000711E-2</v>
      </c>
      <c r="H6">
        <v>5</v>
      </c>
      <c r="I6">
        <v>56</v>
      </c>
      <c r="J6">
        <v>47.5</v>
      </c>
      <c r="K6">
        <f>Táblázat7[[#This Row],[hum1]]-Táblázat7[[#This Row],[hum2]]</f>
        <v>8.5</v>
      </c>
      <c r="L6">
        <f>Táblázat7[[#This Row],[hum1]]-8.49</f>
        <v>47.51</v>
      </c>
      <c r="M6">
        <f>ABS(Táblázat7[[#This Row],[calculated]]-Táblázat7[[#This Row],[hum2]])</f>
        <v>9.9999999999980105E-3</v>
      </c>
    </row>
    <row r="7" spans="1:18" x14ac:dyDescent="0.25">
      <c r="A7">
        <v>6</v>
      </c>
      <c r="B7">
        <v>23.5</v>
      </c>
      <c r="C7">
        <v>24.3</v>
      </c>
      <c r="D7">
        <f>Táblázat3[[#This Row],[temp2]]-Táblázat3[[#This Row],[temp1]]</f>
        <v>0.80000000000000071</v>
      </c>
      <c r="E7">
        <f>Táblázat3[[#This Row],[temp1]]+0.7</f>
        <v>24.2</v>
      </c>
      <c r="F7" s="1">
        <f>ABS(Táblázat3[[#This Row],[calculated]]-Táblázat3[[#This Row],[temp2]])</f>
        <v>0.10000000000000142</v>
      </c>
      <c r="H7">
        <v>6</v>
      </c>
      <c r="I7">
        <v>57</v>
      </c>
      <c r="J7">
        <v>52.33</v>
      </c>
      <c r="K7">
        <f>Táblázat7[[#This Row],[hum1]]-Táblázat7[[#This Row],[hum2]]</f>
        <v>4.6700000000000017</v>
      </c>
      <c r="L7">
        <f>Táblázat7[[#This Row],[hum1]]-8.49</f>
        <v>48.51</v>
      </c>
      <c r="M7">
        <f>ABS(Táblázat7[[#This Row],[calculated]]-Táblázat7[[#This Row],[hum2]])</f>
        <v>3.8200000000000003</v>
      </c>
      <c r="O7" t="s">
        <v>12</v>
      </c>
    </row>
    <row r="8" spans="1:18" x14ac:dyDescent="0.25">
      <c r="A8">
        <v>7</v>
      </c>
      <c r="B8">
        <v>23.75</v>
      </c>
      <c r="C8">
        <v>24.25</v>
      </c>
      <c r="D8">
        <f>Táblázat3[[#This Row],[temp2]]-Táblázat3[[#This Row],[temp1]]</f>
        <v>0.5</v>
      </c>
      <c r="E8">
        <f>Táblázat3[[#This Row],[temp1]]+0.7</f>
        <v>24.45</v>
      </c>
      <c r="F8" s="1">
        <f>ABS(Táblázat3[[#This Row],[calculated]]-Táblázat3[[#This Row],[temp2]])</f>
        <v>0.19999999999999929</v>
      </c>
      <c r="H8">
        <v>7</v>
      </c>
      <c r="I8">
        <v>57.5</v>
      </c>
      <c r="J8">
        <v>47.5</v>
      </c>
      <c r="K8">
        <f>Táblázat7[[#This Row],[hum1]]-Táblázat7[[#This Row],[hum2]]</f>
        <v>10</v>
      </c>
      <c r="L8">
        <f>Táblázat7[[#This Row],[hum1]]-8.49</f>
        <v>49.01</v>
      </c>
      <c r="M8">
        <f>ABS(Táblázat7[[#This Row],[calculated]]-Táblázat7[[#This Row],[hum2]])</f>
        <v>1.509999999999998</v>
      </c>
    </row>
    <row r="9" spans="1:18" x14ac:dyDescent="0.25">
      <c r="A9">
        <v>8</v>
      </c>
      <c r="B9">
        <v>23.9</v>
      </c>
      <c r="C9">
        <v>24.25</v>
      </c>
      <c r="D9">
        <f>Táblázat3[[#This Row],[temp2]]-Táblázat3[[#This Row],[temp1]]</f>
        <v>0.35000000000000142</v>
      </c>
      <c r="E9">
        <f>Táblázat3[[#This Row],[temp1]]+0.7</f>
        <v>24.599999999999998</v>
      </c>
      <c r="F9" s="1">
        <f>ABS(Táblázat3[[#This Row],[calculated]]-Táblázat3[[#This Row],[temp2]])</f>
        <v>0.34999999999999787</v>
      </c>
      <c r="H9">
        <v>8</v>
      </c>
      <c r="I9">
        <v>59</v>
      </c>
      <c r="J9">
        <v>54.59</v>
      </c>
      <c r="K9">
        <f>Táblázat7[[#This Row],[hum1]]-Táblázat7[[#This Row],[hum2]]</f>
        <v>4.4099999999999966</v>
      </c>
      <c r="L9">
        <f>Táblázat7[[#This Row],[hum1]]-8.49</f>
        <v>50.51</v>
      </c>
      <c r="M9">
        <f>ABS(Táblázat7[[#This Row],[calculated]]-Táblázat7[[#This Row],[hum2]])</f>
        <v>4.0800000000000054</v>
      </c>
    </row>
    <row r="10" spans="1:18" x14ac:dyDescent="0.25">
      <c r="A10">
        <v>9</v>
      </c>
      <c r="B10">
        <v>24.5</v>
      </c>
      <c r="C10">
        <v>25.2</v>
      </c>
      <c r="D10">
        <f>Táblázat3[[#This Row],[temp2]]-Táblázat3[[#This Row],[temp1]]</f>
        <v>0.69999999999999929</v>
      </c>
      <c r="E10">
        <f>Táblázat3[[#This Row],[temp1]]+0.7</f>
        <v>25.2</v>
      </c>
      <c r="F10" s="1">
        <f>ABS(Táblázat3[[#This Row],[calculated]]-Táblázat3[[#This Row],[temp2]])</f>
        <v>0</v>
      </c>
      <c r="H10">
        <v>9</v>
      </c>
      <c r="I10">
        <v>60</v>
      </c>
      <c r="J10">
        <v>57.06</v>
      </c>
      <c r="K10">
        <f>Táblázat7[[#This Row],[hum1]]-Táblázat7[[#This Row],[hum2]]</f>
        <v>2.9399999999999977</v>
      </c>
      <c r="L10">
        <f>Táblázat7[[#This Row],[hum1]]-8.49</f>
        <v>51.51</v>
      </c>
      <c r="M10">
        <f>ABS(Táblázat7[[#This Row],[calculated]]-Táblázat7[[#This Row],[hum2]])</f>
        <v>5.5500000000000043</v>
      </c>
    </row>
    <row r="11" spans="1:18" x14ac:dyDescent="0.25">
      <c r="D11" s="1">
        <f>AVERAGE(Táblázat3[dif])</f>
        <v>0.61666666666666714</v>
      </c>
      <c r="E11" s="1"/>
      <c r="F11" s="1">
        <f>AVERAGE(Táblázat3[miss])</f>
        <v>0.2833333333333326</v>
      </c>
      <c r="K11" s="1">
        <f>AVERAGE(Táblázat7[dif])</f>
        <v>7.2811111111111115</v>
      </c>
      <c r="M11">
        <f>AVERAGE(Táblázat7[miss])</f>
        <v>2.5088888888888885</v>
      </c>
    </row>
    <row r="13" spans="1:18" x14ac:dyDescent="0.25">
      <c r="A13" t="s">
        <v>4</v>
      </c>
      <c r="B13" t="s">
        <v>0</v>
      </c>
      <c r="C13" t="s">
        <v>2</v>
      </c>
      <c r="D13" t="s">
        <v>5</v>
      </c>
      <c r="E13" t="s">
        <v>6</v>
      </c>
      <c r="F13" t="s">
        <v>7</v>
      </c>
      <c r="H13" t="s">
        <v>4</v>
      </c>
      <c r="I13" t="s">
        <v>1</v>
      </c>
      <c r="J13" t="s">
        <v>3</v>
      </c>
      <c r="K13" t="s">
        <v>5</v>
      </c>
      <c r="L13" t="s">
        <v>6</v>
      </c>
      <c r="M13" t="s">
        <v>7</v>
      </c>
    </row>
    <row r="14" spans="1:18" x14ac:dyDescent="0.25">
      <c r="A14">
        <v>2</v>
      </c>
      <c r="B14">
        <v>23</v>
      </c>
      <c r="C14">
        <v>23.7</v>
      </c>
      <c r="D14">
        <f>Táblázat35[[#This Row],[temp2]]-Táblázat35[[#This Row],[temp1]]</f>
        <v>0.69999999999999929</v>
      </c>
      <c r="E14">
        <f>Táblázat35[[#This Row],[temp1]]+0.7</f>
        <v>23.7</v>
      </c>
      <c r="F14" s="1">
        <f>ABS(Táblázat35[[#This Row],[calculated]]-Táblázat35[[#This Row],[temp2]])</f>
        <v>0</v>
      </c>
      <c r="H14">
        <v>2</v>
      </c>
      <c r="I14">
        <v>52</v>
      </c>
      <c r="J14">
        <v>46.79</v>
      </c>
      <c r="K14">
        <f>Táblázat79[[#This Row],[hum1]]-Táblázat79[[#This Row],[hum2]]</f>
        <v>5.2100000000000009</v>
      </c>
      <c r="L14">
        <f>Táblázat79[[#This Row],[hum1]]-5.15</f>
        <v>46.85</v>
      </c>
      <c r="M14">
        <f>ABS(Táblázat79[[#This Row],[calculated]]-Táblázat79[[#This Row],[hum2]])</f>
        <v>6.0000000000002274E-2</v>
      </c>
    </row>
    <row r="15" spans="1:18" x14ac:dyDescent="0.25">
      <c r="A15">
        <v>5</v>
      </c>
      <c r="B15">
        <v>23.5</v>
      </c>
      <c r="C15">
        <v>24.25</v>
      </c>
      <c r="D15">
        <f>Táblázat35[[#This Row],[temp2]]-Táblázat35[[#This Row],[temp1]]</f>
        <v>0.75</v>
      </c>
      <c r="E15">
        <f>Táblázat35[[#This Row],[temp1]]+0.7</f>
        <v>24.2</v>
      </c>
      <c r="F15" s="1">
        <f>ABS(Táblázat35[[#This Row],[calculated]]-Táblázat35[[#This Row],[temp2]])</f>
        <v>5.0000000000000711E-2</v>
      </c>
      <c r="H15">
        <v>4</v>
      </c>
      <c r="I15">
        <v>56</v>
      </c>
      <c r="J15">
        <v>47.5</v>
      </c>
      <c r="K15">
        <f>Táblázat79[[#This Row],[hum1]]-Táblázat79[[#This Row],[hum2]]</f>
        <v>8.5</v>
      </c>
      <c r="L15">
        <f>Táblázat79[[#This Row],[hum1]]-5.15</f>
        <v>50.85</v>
      </c>
      <c r="M15">
        <f>ABS(Táblázat79[[#This Row],[calculated]]-Táblázat79[[#This Row],[hum2]])</f>
        <v>3.3500000000000014</v>
      </c>
    </row>
    <row r="16" spans="1:18" x14ac:dyDescent="0.25">
      <c r="A16">
        <v>6</v>
      </c>
      <c r="B16">
        <v>23.5</v>
      </c>
      <c r="C16">
        <v>24.3</v>
      </c>
      <c r="D16">
        <f>Táblázat35[[#This Row],[temp2]]-Táblázat35[[#This Row],[temp1]]</f>
        <v>0.80000000000000071</v>
      </c>
      <c r="E16">
        <f>Táblázat35[[#This Row],[temp1]]+0.7</f>
        <v>24.2</v>
      </c>
      <c r="F16" s="1">
        <f>ABS(Táblázat35[[#This Row],[calculated]]-Táblázat35[[#This Row],[temp2]])</f>
        <v>0.10000000000000142</v>
      </c>
      <c r="H16">
        <v>5</v>
      </c>
      <c r="I16">
        <v>56</v>
      </c>
      <c r="J16">
        <v>47.5</v>
      </c>
      <c r="K16">
        <f>Táblázat79[[#This Row],[hum1]]-Táblázat79[[#This Row],[hum2]]</f>
        <v>8.5</v>
      </c>
      <c r="L16">
        <f>Táblázat79[[#This Row],[hum1]]-5.15</f>
        <v>50.85</v>
      </c>
      <c r="M16">
        <f>ABS(Táblázat79[[#This Row],[calculated]]-Táblázat79[[#This Row],[hum2]])</f>
        <v>3.3500000000000014</v>
      </c>
    </row>
    <row r="17" spans="1:18" x14ac:dyDescent="0.25">
      <c r="A17">
        <v>7</v>
      </c>
      <c r="B17">
        <v>23.75</v>
      </c>
      <c r="C17">
        <v>24.25</v>
      </c>
      <c r="D17">
        <f>Táblázat35[[#This Row],[temp2]]-Táblázat35[[#This Row],[temp1]]</f>
        <v>0.5</v>
      </c>
      <c r="E17">
        <f>Táblázat35[[#This Row],[temp1]]+0.7</f>
        <v>24.45</v>
      </c>
      <c r="F17" s="1">
        <f>ABS(Táblázat35[[#This Row],[calculated]]-Táblázat35[[#This Row],[temp2]])</f>
        <v>0.19999999999999929</v>
      </c>
      <c r="H17">
        <v>6</v>
      </c>
      <c r="I17">
        <v>57</v>
      </c>
      <c r="J17">
        <v>52.33</v>
      </c>
      <c r="K17">
        <f>Táblázat79[[#This Row],[hum1]]-Táblázat79[[#This Row],[hum2]]</f>
        <v>4.6700000000000017</v>
      </c>
      <c r="L17">
        <f>Táblázat79[[#This Row],[hum1]]-5.15</f>
        <v>51.85</v>
      </c>
      <c r="M17">
        <f>ABS(Táblázat79[[#This Row],[calculated]]-Táblázat79[[#This Row],[hum2]])</f>
        <v>0.47999999999999687</v>
      </c>
    </row>
    <row r="18" spans="1:18" x14ac:dyDescent="0.25">
      <c r="A18">
        <v>8</v>
      </c>
      <c r="B18">
        <v>23.9</v>
      </c>
      <c r="C18">
        <v>24.25</v>
      </c>
      <c r="D18">
        <f>Táblázat35[[#This Row],[temp2]]-Táblázat35[[#This Row],[temp1]]</f>
        <v>0.35000000000000142</v>
      </c>
      <c r="E18">
        <f>Táblázat35[[#This Row],[temp1]]+0.7</f>
        <v>24.599999999999998</v>
      </c>
      <c r="F18" s="1">
        <f>ABS(Táblázat35[[#This Row],[calculated]]-Táblázat35[[#This Row],[temp2]])</f>
        <v>0.34999999999999787</v>
      </c>
      <c r="H18">
        <v>8</v>
      </c>
      <c r="I18">
        <v>59</v>
      </c>
      <c r="J18">
        <v>54.59</v>
      </c>
      <c r="K18">
        <f>Táblázat79[[#This Row],[hum1]]-Táblázat79[[#This Row],[hum2]]</f>
        <v>4.4099999999999966</v>
      </c>
      <c r="L18">
        <f>Táblázat79[[#This Row],[hum1]]-5.15</f>
        <v>53.85</v>
      </c>
      <c r="M18">
        <f>ABS(Táblázat79[[#This Row],[calculated]]-Táblázat79[[#This Row],[hum2]])</f>
        <v>0.74000000000000199</v>
      </c>
    </row>
    <row r="19" spans="1:18" x14ac:dyDescent="0.25">
      <c r="A19">
        <v>9</v>
      </c>
      <c r="B19">
        <v>24.5</v>
      </c>
      <c r="C19">
        <v>25.2</v>
      </c>
      <c r="D19">
        <f>Táblázat35[[#This Row],[temp2]]-Táblázat35[[#This Row],[temp1]]</f>
        <v>0.69999999999999929</v>
      </c>
      <c r="E19">
        <f>Táblázat35[[#This Row],[temp1]]+0.7</f>
        <v>25.2</v>
      </c>
      <c r="F19" s="1">
        <f>ABS(Táblázat35[[#This Row],[calculated]]-Táblázat35[[#This Row],[temp2]])</f>
        <v>0</v>
      </c>
      <c r="H19">
        <v>9</v>
      </c>
      <c r="I19">
        <v>60</v>
      </c>
      <c r="J19">
        <v>57.06</v>
      </c>
      <c r="K19">
        <f>Táblázat79[[#This Row],[hum1]]-Táblázat79[[#This Row],[hum2]]</f>
        <v>2.9399999999999977</v>
      </c>
      <c r="L19">
        <f>Táblázat79[[#This Row],[hum1]]-5.15</f>
        <v>54.85</v>
      </c>
      <c r="M19">
        <f>ABS(Táblázat79[[#This Row],[calculated]]-Táblázat79[[#This Row],[hum2]])</f>
        <v>2.2100000000000009</v>
      </c>
    </row>
    <row r="20" spans="1:18" x14ac:dyDescent="0.25">
      <c r="D20" s="1">
        <f>AVERAGE(Táblázat35[dif])</f>
        <v>0.63333333333333341</v>
      </c>
      <c r="E20" s="1"/>
      <c r="F20" s="1">
        <f>AVERAGE(Táblázat35[miss])</f>
        <v>0.11666666666666654</v>
      </c>
      <c r="K20" s="1">
        <f>AVERAGE(Táblázat79[dif])</f>
        <v>5.7049999999999992</v>
      </c>
      <c r="M20">
        <f>AVERAGE(Táblázat79[miss])</f>
        <v>1.6983333333333341</v>
      </c>
    </row>
    <row r="21" spans="1:18" x14ac:dyDescent="0.25">
      <c r="O21">
        <v>65</v>
      </c>
      <c r="P21">
        <v>0.4</v>
      </c>
      <c r="Q21">
        <v>2.371667</v>
      </c>
      <c r="R21" t="s">
        <v>9</v>
      </c>
    </row>
    <row r="22" spans="1:18" x14ac:dyDescent="0.25">
      <c r="A22" t="s">
        <v>4</v>
      </c>
      <c r="B22" t="s">
        <v>0</v>
      </c>
      <c r="C22" t="s">
        <v>2</v>
      </c>
      <c r="D22" t="s">
        <v>5</v>
      </c>
      <c r="E22" t="s">
        <v>6</v>
      </c>
      <c r="F22" t="s">
        <v>7</v>
      </c>
      <c r="H22" t="s">
        <v>4</v>
      </c>
      <c r="I22" t="s">
        <v>1</v>
      </c>
      <c r="J22" t="s">
        <v>3</v>
      </c>
      <c r="K22" t="s">
        <v>5</v>
      </c>
      <c r="L22" t="s">
        <v>6</v>
      </c>
      <c r="M22" t="s">
        <v>7</v>
      </c>
      <c r="O22">
        <v>67</v>
      </c>
      <c r="P22">
        <v>0.4</v>
      </c>
      <c r="Q22" t="s">
        <v>8</v>
      </c>
      <c r="R22" t="s">
        <v>10</v>
      </c>
    </row>
    <row r="23" spans="1:18" x14ac:dyDescent="0.25">
      <c r="A23">
        <v>2</v>
      </c>
      <c r="B23">
        <v>23</v>
      </c>
      <c r="C23">
        <v>23.7</v>
      </c>
      <c r="D23">
        <f>Táblázat356[[#This Row],[temp2]]-Táblázat356[[#This Row],[temp1]]</f>
        <v>0.69999999999999929</v>
      </c>
      <c r="E23">
        <f>Táblázat356[[#This Row],[temp1]]*1.0286</f>
        <v>23.657799999999998</v>
      </c>
      <c r="F23" s="2">
        <f>ABS(Táblázat356[[#This Row],[calculated]]-Táblázat356[[#This Row],[temp2]])</f>
        <v>4.2200000000001125E-2</v>
      </c>
      <c r="H23">
        <v>2</v>
      </c>
      <c r="I23">
        <v>52</v>
      </c>
      <c r="J23">
        <v>46.79</v>
      </c>
      <c r="K23">
        <f>Táblázat7910[[#This Row],[hum1]]-Táblázat7910[[#This Row],[hum2]]</f>
        <v>5.2100000000000009</v>
      </c>
      <c r="L23">
        <f>Táblázat7910[[#This Row],[hum1]]-($O$23-Táblázat7910[[#This Row],[hum1]])*$P$23</f>
        <v>45.839999999999996</v>
      </c>
      <c r="M23">
        <f>ABS(Táblázat7910[[#This Row],[calculated]]-Táblázat7910[[#This Row],[hum2]])</f>
        <v>0.95000000000000284</v>
      </c>
      <c r="O23">
        <f>67+(O24/100)</f>
        <v>67.400000000000006</v>
      </c>
      <c r="P23">
        <v>0.4</v>
      </c>
    </row>
    <row r="24" spans="1:18" x14ac:dyDescent="0.25">
      <c r="A24">
        <v>5</v>
      </c>
      <c r="B24">
        <v>23.5</v>
      </c>
      <c r="C24">
        <v>24.25</v>
      </c>
      <c r="D24">
        <f>Táblázat356[[#This Row],[temp2]]-Táblázat356[[#This Row],[temp1]]</f>
        <v>0.75</v>
      </c>
      <c r="E24">
        <f>Táblázat356[[#This Row],[temp1]]*1.0286</f>
        <v>24.1721</v>
      </c>
      <c r="F24" s="2">
        <f>ABS(Táblázat356[[#This Row],[calculated]]-Táblázat356[[#This Row],[temp2]])</f>
        <v>7.7899999999999636E-2</v>
      </c>
      <c r="H24">
        <v>4</v>
      </c>
      <c r="I24">
        <v>56</v>
      </c>
      <c r="J24">
        <v>47.5</v>
      </c>
      <c r="K24">
        <f>Táblázat7910[[#This Row],[hum1]]-Táblázat7910[[#This Row],[hum2]]</f>
        <v>8.5</v>
      </c>
      <c r="L24">
        <f>Táblázat7910[[#This Row],[hum1]]-($O$23-Táblázat7910[[#This Row],[hum1]])*$P$23</f>
        <v>51.44</v>
      </c>
      <c r="M24">
        <f>ABS(Táblázat7910[[#This Row],[calculated]]-Táblázat7910[[#This Row],[hum2]])</f>
        <v>3.9399999999999977</v>
      </c>
      <c r="O24">
        <v>40</v>
      </c>
    </row>
    <row r="25" spans="1:18" x14ac:dyDescent="0.25">
      <c r="A25">
        <v>6</v>
      </c>
      <c r="B25">
        <v>23.5</v>
      </c>
      <c r="C25">
        <v>24.3</v>
      </c>
      <c r="D25">
        <f>Táblázat356[[#This Row],[temp2]]-Táblázat356[[#This Row],[temp1]]</f>
        <v>0.80000000000000071</v>
      </c>
      <c r="E25">
        <f>Táblázat356[[#This Row],[temp1]]*1.0286</f>
        <v>24.1721</v>
      </c>
      <c r="F25" s="2">
        <f>ABS(Táblázat356[[#This Row],[calculated]]-Táblázat356[[#This Row],[temp2]])</f>
        <v>0.12790000000000035</v>
      </c>
      <c r="H25">
        <v>5</v>
      </c>
      <c r="I25">
        <v>56</v>
      </c>
      <c r="J25">
        <v>47.5</v>
      </c>
      <c r="K25">
        <f>Táblázat7910[[#This Row],[hum1]]-Táblázat7910[[#This Row],[hum2]]</f>
        <v>8.5</v>
      </c>
      <c r="L25">
        <f>Táblázat7910[[#This Row],[hum1]]-($O$23-Táblázat7910[[#This Row],[hum1]])*$P$23</f>
        <v>51.44</v>
      </c>
      <c r="M25">
        <f>ABS(Táblázat7910[[#This Row],[calculated]]-Táblázat7910[[#This Row],[hum2]])</f>
        <v>3.9399999999999977</v>
      </c>
    </row>
    <row r="26" spans="1:18" x14ac:dyDescent="0.25">
      <c r="A26">
        <v>7</v>
      </c>
      <c r="B26">
        <v>23.75</v>
      </c>
      <c r="C26">
        <v>24.25</v>
      </c>
      <c r="D26">
        <f>Táblázat356[[#This Row],[temp2]]-Táblázat356[[#This Row],[temp1]]</f>
        <v>0.5</v>
      </c>
      <c r="E26">
        <f>Táblázat356[[#This Row],[temp1]]*1.0286</f>
        <v>24.42925</v>
      </c>
      <c r="F26" s="2">
        <f>ABS(Táblázat356[[#This Row],[calculated]]-Táblázat356[[#This Row],[temp2]])</f>
        <v>0.17924999999999969</v>
      </c>
      <c r="H26">
        <v>6</v>
      </c>
      <c r="I26">
        <v>57</v>
      </c>
      <c r="J26">
        <v>52.33</v>
      </c>
      <c r="K26">
        <f>Táblázat7910[[#This Row],[hum1]]-Táblázat7910[[#This Row],[hum2]]</f>
        <v>4.6700000000000017</v>
      </c>
      <c r="L26">
        <f>Táblázat7910[[#This Row],[hum1]]-($O$23-Táblázat7910[[#This Row],[hum1]])*$P$23</f>
        <v>52.839999999999996</v>
      </c>
      <c r="M26">
        <f>ABS(Táblázat7910[[#This Row],[calculated]]-Táblázat7910[[#This Row],[hum2]])</f>
        <v>0.50999999999999801</v>
      </c>
    </row>
    <row r="27" spans="1:18" x14ac:dyDescent="0.25">
      <c r="A27">
        <v>8</v>
      </c>
      <c r="B27">
        <v>23.9</v>
      </c>
      <c r="C27">
        <v>24.25</v>
      </c>
      <c r="D27">
        <f>Táblázat356[[#This Row],[temp2]]-Táblázat356[[#This Row],[temp1]]</f>
        <v>0.35000000000000142</v>
      </c>
      <c r="E27">
        <f>Táblázat356[[#This Row],[temp1]]*1.0286</f>
        <v>24.583539999999999</v>
      </c>
      <c r="F27" s="2">
        <f>ABS(Táblázat356[[#This Row],[calculated]]-Táblázat356[[#This Row],[temp2]])</f>
        <v>0.33353999999999928</v>
      </c>
      <c r="H27">
        <v>8</v>
      </c>
      <c r="I27">
        <v>59</v>
      </c>
      <c r="J27">
        <v>54.59</v>
      </c>
      <c r="K27">
        <f>Táblázat7910[[#This Row],[hum1]]-Táblázat7910[[#This Row],[hum2]]</f>
        <v>4.4099999999999966</v>
      </c>
      <c r="L27">
        <f>Táblázat7910[[#This Row],[hum1]]-($O$23-Táblázat7910[[#This Row],[hum1]])*$P$23</f>
        <v>55.64</v>
      </c>
      <c r="M27">
        <f>ABS(Táblázat7910[[#This Row],[calculated]]-Táblázat7910[[#This Row],[hum2]])</f>
        <v>1.0499999999999972</v>
      </c>
    </row>
    <row r="28" spans="1:18" x14ac:dyDescent="0.25">
      <c r="A28">
        <v>9</v>
      </c>
      <c r="B28">
        <v>24.5</v>
      </c>
      <c r="C28">
        <v>25.2</v>
      </c>
      <c r="D28">
        <f>Táblázat356[[#This Row],[temp2]]-Táblázat356[[#This Row],[temp1]]</f>
        <v>0.69999999999999929</v>
      </c>
      <c r="E28">
        <f>Táblázat356[[#This Row],[temp1]]*1.0286</f>
        <v>25.200699999999998</v>
      </c>
      <c r="F28" s="2">
        <f>ABS(Táblázat356[[#This Row],[calculated]]-Táblázat356[[#This Row],[temp2]])</f>
        <v>6.9999999999836859E-4</v>
      </c>
      <c r="H28">
        <v>9</v>
      </c>
      <c r="I28">
        <v>60</v>
      </c>
      <c r="J28">
        <v>57.06</v>
      </c>
      <c r="K28">
        <f>Táblázat7910[[#This Row],[hum1]]-Táblázat7910[[#This Row],[hum2]]</f>
        <v>2.9399999999999977</v>
      </c>
      <c r="L28">
        <f>Táblázat7910[[#This Row],[hum1]]-($O$23-Táblázat7910[[#This Row],[hum1]])*$P$23</f>
        <v>57.04</v>
      </c>
      <c r="M28">
        <f>ABS(Táblázat7910[[#This Row],[calculated]]-Táblázat7910[[#This Row],[hum2]])</f>
        <v>2.0000000000003126E-2</v>
      </c>
    </row>
    <row r="29" spans="1:18" x14ac:dyDescent="0.25">
      <c r="D29" s="1">
        <f>AVERAGE(Táblázat356[dif])</f>
        <v>0.63333333333333341</v>
      </c>
      <c r="E29" s="1"/>
      <c r="F29" s="1">
        <f>AVERAGE(Táblázat356[miss])</f>
        <v>0.12691499999999975</v>
      </c>
      <c r="K29" s="1">
        <f>AVERAGE(Táblázat7910[dif])</f>
        <v>5.7049999999999992</v>
      </c>
      <c r="M29">
        <f>AVERAGE(Táblázat7910[miss])</f>
        <v>1.7349999999999994</v>
      </c>
    </row>
  </sheetData>
  <sortState ref="I2:J10">
    <sortCondition ref="I2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Vilányi</dc:creator>
  <cp:lastModifiedBy>Ádám Vilányi</cp:lastModifiedBy>
  <dcterms:created xsi:type="dcterms:W3CDTF">2021-10-10T19:33:21Z</dcterms:created>
  <dcterms:modified xsi:type="dcterms:W3CDTF">2021-10-10T22:25:57Z</dcterms:modified>
</cp:coreProperties>
</file>