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7540" windowHeight="23520" tabRatio="593"/>
  </bookViews>
  <sheets>
    <sheet name="Amphibole" sheetId="1" r:id="rId1"/>
    <sheet name="Plagioclase" sheetId="2" r:id="rId2"/>
    <sheet name="Holland &amp; Blundy (1994) A" sheetId="5" r:id="rId3"/>
    <sheet name="Holland &amp; Blundy (1994) B" sheetId="6" r:id="rId4"/>
    <sheet name="Holland &amp; Blundy (1994) A 0326" sheetId="7" r:id="rId5"/>
    <sheet name="Holland &amp; Blundy (1994) B 0326" sheetId="8" r:id="rId6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7" i="2" l="1"/>
  <c r="AV8" i="2"/>
  <c r="AV9" i="2"/>
  <c r="AV10" i="2"/>
  <c r="H3" i="2"/>
  <c r="Q7" i="2"/>
  <c r="Y7" i="2"/>
  <c r="C3" i="2"/>
  <c r="L7" i="2"/>
  <c r="T7" i="2"/>
  <c r="D3" i="2"/>
  <c r="M7" i="2"/>
  <c r="U7" i="2"/>
  <c r="E3" i="2"/>
  <c r="N7" i="2"/>
  <c r="V7" i="2"/>
  <c r="F3" i="2"/>
  <c r="O7" i="2"/>
  <c r="W7" i="2"/>
  <c r="G3" i="2"/>
  <c r="P7" i="2"/>
  <c r="X7" i="2"/>
  <c r="I3" i="2"/>
  <c r="R7" i="2"/>
  <c r="Z7" i="2"/>
  <c r="J3" i="2"/>
  <c r="S7" i="2"/>
  <c r="AA7" i="2"/>
  <c r="AB7" i="2"/>
  <c r="AH7" i="2"/>
  <c r="AQ7" i="2"/>
  <c r="AI7" i="2"/>
  <c r="AR7" i="2"/>
  <c r="AJ7" i="2"/>
  <c r="AS7" i="2"/>
  <c r="AW7" i="2"/>
  <c r="AX7" i="2"/>
  <c r="AY7" i="2"/>
  <c r="AZ7" i="2"/>
  <c r="BA7" i="2"/>
  <c r="Q8" i="2"/>
  <c r="Y8" i="2"/>
  <c r="L8" i="2"/>
  <c r="T8" i="2"/>
  <c r="M8" i="2"/>
  <c r="U8" i="2"/>
  <c r="N8" i="2"/>
  <c r="V8" i="2"/>
  <c r="O8" i="2"/>
  <c r="W8" i="2"/>
  <c r="P8" i="2"/>
  <c r="X8" i="2"/>
  <c r="R8" i="2"/>
  <c r="Z8" i="2"/>
  <c r="S8" i="2"/>
  <c r="AA8" i="2"/>
  <c r="AB8" i="2"/>
  <c r="AH8" i="2"/>
  <c r="AQ8" i="2"/>
  <c r="AI8" i="2"/>
  <c r="AR8" i="2"/>
  <c r="AJ8" i="2"/>
  <c r="AS8" i="2"/>
  <c r="AW8" i="2"/>
  <c r="AX8" i="2"/>
  <c r="AY8" i="2"/>
  <c r="AZ8" i="2"/>
  <c r="BA8" i="2"/>
  <c r="Q9" i="2"/>
  <c r="Y9" i="2"/>
  <c r="L9" i="2"/>
  <c r="T9" i="2"/>
  <c r="M9" i="2"/>
  <c r="U9" i="2"/>
  <c r="N9" i="2"/>
  <c r="V9" i="2"/>
  <c r="O9" i="2"/>
  <c r="W9" i="2"/>
  <c r="P9" i="2"/>
  <c r="X9" i="2"/>
  <c r="R9" i="2"/>
  <c r="Z9" i="2"/>
  <c r="S9" i="2"/>
  <c r="AA9" i="2"/>
  <c r="AB9" i="2"/>
  <c r="AH9" i="2"/>
  <c r="AQ9" i="2"/>
  <c r="AI9" i="2"/>
  <c r="AR9" i="2"/>
  <c r="AJ9" i="2"/>
  <c r="AS9" i="2"/>
  <c r="AW9" i="2"/>
  <c r="AX9" i="2"/>
  <c r="AY9" i="2"/>
  <c r="AZ9" i="2"/>
  <c r="BA9" i="2"/>
  <c r="Q10" i="2"/>
  <c r="Y10" i="2"/>
  <c r="L10" i="2"/>
  <c r="T10" i="2"/>
  <c r="M10" i="2"/>
  <c r="U10" i="2"/>
  <c r="N10" i="2"/>
  <c r="V10" i="2"/>
  <c r="O10" i="2"/>
  <c r="W10" i="2"/>
  <c r="P10" i="2"/>
  <c r="X10" i="2"/>
  <c r="R10" i="2"/>
  <c r="Z10" i="2"/>
  <c r="S10" i="2"/>
  <c r="AA10" i="2"/>
  <c r="AB10" i="2"/>
  <c r="AH10" i="2"/>
  <c r="AQ10" i="2"/>
  <c r="AI10" i="2"/>
  <c r="AR10" i="2"/>
  <c r="AJ10" i="2"/>
  <c r="AS10" i="2"/>
  <c r="AW10" i="2"/>
  <c r="AX10" i="2"/>
  <c r="AY10" i="2"/>
  <c r="AZ10" i="2"/>
  <c r="BA10" i="2"/>
  <c r="AV11" i="2"/>
  <c r="Q11" i="2"/>
  <c r="Y11" i="2"/>
  <c r="L11" i="2"/>
  <c r="T11" i="2"/>
  <c r="M11" i="2"/>
  <c r="U11" i="2"/>
  <c r="N11" i="2"/>
  <c r="V11" i="2"/>
  <c r="O11" i="2"/>
  <c r="W11" i="2"/>
  <c r="P11" i="2"/>
  <c r="X11" i="2"/>
  <c r="R11" i="2"/>
  <c r="Z11" i="2"/>
  <c r="S11" i="2"/>
  <c r="AA11" i="2"/>
  <c r="AB11" i="2"/>
  <c r="AH11" i="2"/>
  <c r="AQ11" i="2"/>
  <c r="AI11" i="2"/>
  <c r="AR11" i="2"/>
  <c r="AJ11" i="2"/>
  <c r="AS11" i="2"/>
  <c r="AW11" i="2"/>
  <c r="AX11" i="2"/>
  <c r="AY11" i="2"/>
  <c r="AZ11" i="2"/>
  <c r="BA11" i="2"/>
  <c r="AV12" i="2"/>
  <c r="Q12" i="2"/>
  <c r="Y12" i="2"/>
  <c r="L12" i="2"/>
  <c r="T12" i="2"/>
  <c r="M12" i="2"/>
  <c r="U12" i="2"/>
  <c r="N12" i="2"/>
  <c r="V12" i="2"/>
  <c r="O12" i="2"/>
  <c r="W12" i="2"/>
  <c r="P12" i="2"/>
  <c r="X12" i="2"/>
  <c r="R12" i="2"/>
  <c r="Z12" i="2"/>
  <c r="S12" i="2"/>
  <c r="AA12" i="2"/>
  <c r="AB12" i="2"/>
  <c r="AH12" i="2"/>
  <c r="AQ12" i="2"/>
  <c r="AI12" i="2"/>
  <c r="AR12" i="2"/>
  <c r="AJ12" i="2"/>
  <c r="AS12" i="2"/>
  <c r="AW12" i="2"/>
  <c r="AX12" i="2"/>
  <c r="AY12" i="2"/>
  <c r="AZ12" i="2"/>
  <c r="BA12" i="2"/>
  <c r="AV13" i="2"/>
  <c r="Q13" i="2"/>
  <c r="Y13" i="2"/>
  <c r="L13" i="2"/>
  <c r="T13" i="2"/>
  <c r="M13" i="2"/>
  <c r="U13" i="2"/>
  <c r="N13" i="2"/>
  <c r="V13" i="2"/>
  <c r="O13" i="2"/>
  <c r="W13" i="2"/>
  <c r="P13" i="2"/>
  <c r="X13" i="2"/>
  <c r="R13" i="2"/>
  <c r="Z13" i="2"/>
  <c r="S13" i="2"/>
  <c r="AA13" i="2"/>
  <c r="AB13" i="2"/>
  <c r="AH13" i="2"/>
  <c r="AQ13" i="2"/>
  <c r="AI13" i="2"/>
  <c r="AR13" i="2"/>
  <c r="AJ13" i="2"/>
  <c r="AS13" i="2"/>
  <c r="AW13" i="2"/>
  <c r="AX13" i="2"/>
  <c r="AY13" i="2"/>
  <c r="AZ13" i="2"/>
  <c r="BA13" i="2"/>
  <c r="AV14" i="2"/>
  <c r="Q14" i="2"/>
  <c r="Y14" i="2"/>
  <c r="L14" i="2"/>
  <c r="T14" i="2"/>
  <c r="M14" i="2"/>
  <c r="U14" i="2"/>
  <c r="N14" i="2"/>
  <c r="V14" i="2"/>
  <c r="O14" i="2"/>
  <c r="W14" i="2"/>
  <c r="P14" i="2"/>
  <c r="X14" i="2"/>
  <c r="R14" i="2"/>
  <c r="Z14" i="2"/>
  <c r="S14" i="2"/>
  <c r="AA14" i="2"/>
  <c r="AB14" i="2"/>
  <c r="AH14" i="2"/>
  <c r="AQ14" i="2"/>
  <c r="AI14" i="2"/>
  <c r="AR14" i="2"/>
  <c r="AJ14" i="2"/>
  <c r="AS14" i="2"/>
  <c r="AW14" i="2"/>
  <c r="AX14" i="2"/>
  <c r="AY14" i="2"/>
  <c r="AZ14" i="2"/>
  <c r="BA14" i="2"/>
  <c r="AV15" i="2"/>
  <c r="Q15" i="2"/>
  <c r="Y15" i="2"/>
  <c r="L15" i="2"/>
  <c r="T15" i="2"/>
  <c r="M15" i="2"/>
  <c r="U15" i="2"/>
  <c r="N15" i="2"/>
  <c r="V15" i="2"/>
  <c r="O15" i="2"/>
  <c r="W15" i="2"/>
  <c r="P15" i="2"/>
  <c r="X15" i="2"/>
  <c r="R15" i="2"/>
  <c r="Z15" i="2"/>
  <c r="S15" i="2"/>
  <c r="AA15" i="2"/>
  <c r="AB15" i="2"/>
  <c r="AH15" i="2"/>
  <c r="AQ15" i="2"/>
  <c r="AI15" i="2"/>
  <c r="AR15" i="2"/>
  <c r="AJ15" i="2"/>
  <c r="AS15" i="2"/>
  <c r="AW15" i="2"/>
  <c r="AX15" i="2"/>
  <c r="AY15" i="2"/>
  <c r="AZ15" i="2"/>
  <c r="BA15" i="2"/>
  <c r="AV16" i="2"/>
  <c r="Q16" i="2"/>
  <c r="Y16" i="2"/>
  <c r="L16" i="2"/>
  <c r="T16" i="2"/>
  <c r="M16" i="2"/>
  <c r="U16" i="2"/>
  <c r="N16" i="2"/>
  <c r="V16" i="2"/>
  <c r="O16" i="2"/>
  <c r="W16" i="2"/>
  <c r="P16" i="2"/>
  <c r="X16" i="2"/>
  <c r="R16" i="2"/>
  <c r="Z16" i="2"/>
  <c r="S16" i="2"/>
  <c r="AA16" i="2"/>
  <c r="AB16" i="2"/>
  <c r="AH16" i="2"/>
  <c r="AQ16" i="2"/>
  <c r="AI16" i="2"/>
  <c r="AR16" i="2"/>
  <c r="AJ16" i="2"/>
  <c r="AS16" i="2"/>
  <c r="AW16" i="2"/>
  <c r="AX16" i="2"/>
  <c r="AY16" i="2"/>
  <c r="AZ16" i="2"/>
  <c r="BA16" i="2"/>
  <c r="AV17" i="2"/>
  <c r="Q17" i="2"/>
  <c r="Y17" i="2"/>
  <c r="L17" i="2"/>
  <c r="T17" i="2"/>
  <c r="M17" i="2"/>
  <c r="U17" i="2"/>
  <c r="N17" i="2"/>
  <c r="V17" i="2"/>
  <c r="O17" i="2"/>
  <c r="W17" i="2"/>
  <c r="P17" i="2"/>
  <c r="X17" i="2"/>
  <c r="R17" i="2"/>
  <c r="Z17" i="2"/>
  <c r="S17" i="2"/>
  <c r="AA17" i="2"/>
  <c r="AB17" i="2"/>
  <c r="AH17" i="2"/>
  <c r="AQ17" i="2"/>
  <c r="AI17" i="2"/>
  <c r="AR17" i="2"/>
  <c r="AJ17" i="2"/>
  <c r="AS17" i="2"/>
  <c r="AW17" i="2"/>
  <c r="AX17" i="2"/>
  <c r="AY17" i="2"/>
  <c r="AZ17" i="2"/>
  <c r="BA17" i="2"/>
  <c r="AV18" i="2"/>
  <c r="Q18" i="2"/>
  <c r="Y18" i="2"/>
  <c r="L18" i="2"/>
  <c r="T18" i="2"/>
  <c r="M18" i="2"/>
  <c r="U18" i="2"/>
  <c r="N18" i="2"/>
  <c r="V18" i="2"/>
  <c r="O18" i="2"/>
  <c r="W18" i="2"/>
  <c r="P18" i="2"/>
  <c r="X18" i="2"/>
  <c r="R18" i="2"/>
  <c r="Z18" i="2"/>
  <c r="S18" i="2"/>
  <c r="AA18" i="2"/>
  <c r="AB18" i="2"/>
  <c r="AH18" i="2"/>
  <c r="AQ18" i="2"/>
  <c r="AI18" i="2"/>
  <c r="AR18" i="2"/>
  <c r="AJ18" i="2"/>
  <c r="AS18" i="2"/>
  <c r="AW18" i="2"/>
  <c r="AX18" i="2"/>
  <c r="AY18" i="2"/>
  <c r="AZ18" i="2"/>
  <c r="BA18" i="2"/>
  <c r="AV19" i="2"/>
  <c r="Q19" i="2"/>
  <c r="Y19" i="2"/>
  <c r="L19" i="2"/>
  <c r="T19" i="2"/>
  <c r="M19" i="2"/>
  <c r="U19" i="2"/>
  <c r="N19" i="2"/>
  <c r="V19" i="2"/>
  <c r="O19" i="2"/>
  <c r="W19" i="2"/>
  <c r="P19" i="2"/>
  <c r="X19" i="2"/>
  <c r="R19" i="2"/>
  <c r="Z19" i="2"/>
  <c r="S19" i="2"/>
  <c r="AA19" i="2"/>
  <c r="AB19" i="2"/>
  <c r="AH19" i="2"/>
  <c r="AQ19" i="2"/>
  <c r="AI19" i="2"/>
  <c r="AR19" i="2"/>
  <c r="AJ19" i="2"/>
  <c r="AS19" i="2"/>
  <c r="AW19" i="2"/>
  <c r="AX19" i="2"/>
  <c r="AY19" i="2"/>
  <c r="AZ19" i="2"/>
  <c r="BA19" i="2"/>
  <c r="AV20" i="2"/>
  <c r="Q20" i="2"/>
  <c r="Y20" i="2"/>
  <c r="L20" i="2"/>
  <c r="T20" i="2"/>
  <c r="M20" i="2"/>
  <c r="U20" i="2"/>
  <c r="N20" i="2"/>
  <c r="V20" i="2"/>
  <c r="O20" i="2"/>
  <c r="W20" i="2"/>
  <c r="P20" i="2"/>
  <c r="X20" i="2"/>
  <c r="R20" i="2"/>
  <c r="Z20" i="2"/>
  <c r="S20" i="2"/>
  <c r="AA20" i="2"/>
  <c r="AB20" i="2"/>
  <c r="AH20" i="2"/>
  <c r="AQ20" i="2"/>
  <c r="AI20" i="2"/>
  <c r="AR20" i="2"/>
  <c r="AJ20" i="2"/>
  <c r="AS20" i="2"/>
  <c r="AW20" i="2"/>
  <c r="AX20" i="2"/>
  <c r="AY20" i="2"/>
  <c r="AZ20" i="2"/>
  <c r="BA20" i="2"/>
  <c r="AV21" i="2"/>
  <c r="Q21" i="2"/>
  <c r="Y21" i="2"/>
  <c r="L21" i="2"/>
  <c r="T21" i="2"/>
  <c r="M21" i="2"/>
  <c r="U21" i="2"/>
  <c r="N21" i="2"/>
  <c r="V21" i="2"/>
  <c r="O21" i="2"/>
  <c r="W21" i="2"/>
  <c r="P21" i="2"/>
  <c r="X21" i="2"/>
  <c r="R21" i="2"/>
  <c r="Z21" i="2"/>
  <c r="S21" i="2"/>
  <c r="AA21" i="2"/>
  <c r="AB21" i="2"/>
  <c r="AH21" i="2"/>
  <c r="AQ21" i="2"/>
  <c r="AI21" i="2"/>
  <c r="AR21" i="2"/>
  <c r="AJ21" i="2"/>
  <c r="AS21" i="2"/>
  <c r="AW21" i="2"/>
  <c r="AX21" i="2"/>
  <c r="AY21" i="2"/>
  <c r="AZ21" i="2"/>
  <c r="BA21" i="2"/>
  <c r="AV22" i="2"/>
  <c r="Q22" i="2"/>
  <c r="Y22" i="2"/>
  <c r="L22" i="2"/>
  <c r="T22" i="2"/>
  <c r="M22" i="2"/>
  <c r="U22" i="2"/>
  <c r="N22" i="2"/>
  <c r="V22" i="2"/>
  <c r="O22" i="2"/>
  <c r="W22" i="2"/>
  <c r="P22" i="2"/>
  <c r="X22" i="2"/>
  <c r="R22" i="2"/>
  <c r="Z22" i="2"/>
  <c r="S22" i="2"/>
  <c r="AA22" i="2"/>
  <c r="AB22" i="2"/>
  <c r="AH22" i="2"/>
  <c r="AQ22" i="2"/>
  <c r="AI22" i="2"/>
  <c r="AR22" i="2"/>
  <c r="AJ22" i="2"/>
  <c r="AS22" i="2"/>
  <c r="AW22" i="2"/>
  <c r="AX22" i="2"/>
  <c r="AY22" i="2"/>
  <c r="AZ22" i="2"/>
  <c r="BA22" i="2"/>
  <c r="AV23" i="2"/>
  <c r="Q23" i="2"/>
  <c r="Y23" i="2"/>
  <c r="L23" i="2"/>
  <c r="T23" i="2"/>
  <c r="M23" i="2"/>
  <c r="U23" i="2"/>
  <c r="N23" i="2"/>
  <c r="V23" i="2"/>
  <c r="O23" i="2"/>
  <c r="W23" i="2"/>
  <c r="P23" i="2"/>
  <c r="X23" i="2"/>
  <c r="R23" i="2"/>
  <c r="Z23" i="2"/>
  <c r="S23" i="2"/>
  <c r="AA23" i="2"/>
  <c r="AB23" i="2"/>
  <c r="AH23" i="2"/>
  <c r="AQ23" i="2"/>
  <c r="AI23" i="2"/>
  <c r="AR23" i="2"/>
  <c r="AJ23" i="2"/>
  <c r="AS23" i="2"/>
  <c r="AW23" i="2"/>
  <c r="AX23" i="2"/>
  <c r="AY23" i="2"/>
  <c r="AZ23" i="2"/>
  <c r="BA23" i="2"/>
  <c r="AV24" i="2"/>
  <c r="Q24" i="2"/>
  <c r="Y24" i="2"/>
  <c r="L24" i="2"/>
  <c r="T24" i="2"/>
  <c r="M24" i="2"/>
  <c r="U24" i="2"/>
  <c r="N24" i="2"/>
  <c r="V24" i="2"/>
  <c r="O24" i="2"/>
  <c r="W24" i="2"/>
  <c r="P24" i="2"/>
  <c r="X24" i="2"/>
  <c r="R24" i="2"/>
  <c r="Z24" i="2"/>
  <c r="S24" i="2"/>
  <c r="AA24" i="2"/>
  <c r="AB24" i="2"/>
  <c r="AH24" i="2"/>
  <c r="AQ24" i="2"/>
  <c r="AI24" i="2"/>
  <c r="AR24" i="2"/>
  <c r="AJ24" i="2"/>
  <c r="AS24" i="2"/>
  <c r="AW24" i="2"/>
  <c r="AX24" i="2"/>
  <c r="AY24" i="2"/>
  <c r="AZ24" i="2"/>
  <c r="BA24" i="2"/>
  <c r="AV25" i="2"/>
  <c r="Q25" i="2"/>
  <c r="Y25" i="2"/>
  <c r="L25" i="2"/>
  <c r="T25" i="2"/>
  <c r="M25" i="2"/>
  <c r="U25" i="2"/>
  <c r="N25" i="2"/>
  <c r="V25" i="2"/>
  <c r="O25" i="2"/>
  <c r="W25" i="2"/>
  <c r="P25" i="2"/>
  <c r="X25" i="2"/>
  <c r="R25" i="2"/>
  <c r="Z25" i="2"/>
  <c r="S25" i="2"/>
  <c r="AA25" i="2"/>
  <c r="AB25" i="2"/>
  <c r="AH25" i="2"/>
  <c r="AQ25" i="2"/>
  <c r="AI25" i="2"/>
  <c r="AR25" i="2"/>
  <c r="AJ25" i="2"/>
  <c r="AS25" i="2"/>
  <c r="AW25" i="2"/>
  <c r="AX25" i="2"/>
  <c r="AY25" i="2"/>
  <c r="AZ25" i="2"/>
  <c r="BA25" i="2"/>
  <c r="AV26" i="2"/>
  <c r="Q26" i="2"/>
  <c r="Y26" i="2"/>
  <c r="L26" i="2"/>
  <c r="T26" i="2"/>
  <c r="M26" i="2"/>
  <c r="U26" i="2"/>
  <c r="N26" i="2"/>
  <c r="V26" i="2"/>
  <c r="O26" i="2"/>
  <c r="W26" i="2"/>
  <c r="P26" i="2"/>
  <c r="X26" i="2"/>
  <c r="R26" i="2"/>
  <c r="Z26" i="2"/>
  <c r="S26" i="2"/>
  <c r="AA26" i="2"/>
  <c r="AB26" i="2"/>
  <c r="AH26" i="2"/>
  <c r="AQ26" i="2"/>
  <c r="AI26" i="2"/>
  <c r="AR26" i="2"/>
  <c r="AJ26" i="2"/>
  <c r="AS26" i="2"/>
  <c r="AW26" i="2"/>
  <c r="AX26" i="2"/>
  <c r="AY26" i="2"/>
  <c r="AZ26" i="2"/>
  <c r="BA26" i="2"/>
  <c r="AV27" i="2"/>
  <c r="Q27" i="2"/>
  <c r="Y27" i="2"/>
  <c r="L27" i="2"/>
  <c r="T27" i="2"/>
  <c r="M27" i="2"/>
  <c r="U27" i="2"/>
  <c r="N27" i="2"/>
  <c r="V27" i="2"/>
  <c r="O27" i="2"/>
  <c r="W27" i="2"/>
  <c r="P27" i="2"/>
  <c r="X27" i="2"/>
  <c r="R27" i="2"/>
  <c r="Z27" i="2"/>
  <c r="S27" i="2"/>
  <c r="AA27" i="2"/>
  <c r="AB27" i="2"/>
  <c r="AH27" i="2"/>
  <c r="AQ27" i="2"/>
  <c r="AI27" i="2"/>
  <c r="AR27" i="2"/>
  <c r="AJ27" i="2"/>
  <c r="AS27" i="2"/>
  <c r="AW27" i="2"/>
  <c r="AX27" i="2"/>
  <c r="AY27" i="2"/>
  <c r="AZ27" i="2"/>
  <c r="BA27" i="2"/>
  <c r="AV28" i="2"/>
  <c r="Q28" i="2"/>
  <c r="Y28" i="2"/>
  <c r="L28" i="2"/>
  <c r="T28" i="2"/>
  <c r="M28" i="2"/>
  <c r="U28" i="2"/>
  <c r="N28" i="2"/>
  <c r="V28" i="2"/>
  <c r="O28" i="2"/>
  <c r="W28" i="2"/>
  <c r="P28" i="2"/>
  <c r="X28" i="2"/>
  <c r="R28" i="2"/>
  <c r="Z28" i="2"/>
  <c r="S28" i="2"/>
  <c r="AA28" i="2"/>
  <c r="AB28" i="2"/>
  <c r="AH28" i="2"/>
  <c r="AQ28" i="2"/>
  <c r="AI28" i="2"/>
  <c r="AR28" i="2"/>
  <c r="AJ28" i="2"/>
  <c r="AS28" i="2"/>
  <c r="AW28" i="2"/>
  <c r="AX28" i="2"/>
  <c r="AY28" i="2"/>
  <c r="AZ28" i="2"/>
  <c r="BA28" i="2"/>
  <c r="AV29" i="2"/>
  <c r="Q29" i="2"/>
  <c r="Y29" i="2"/>
  <c r="L29" i="2"/>
  <c r="T29" i="2"/>
  <c r="M29" i="2"/>
  <c r="U29" i="2"/>
  <c r="N29" i="2"/>
  <c r="V29" i="2"/>
  <c r="O29" i="2"/>
  <c r="W29" i="2"/>
  <c r="P29" i="2"/>
  <c r="X29" i="2"/>
  <c r="R29" i="2"/>
  <c r="Z29" i="2"/>
  <c r="S29" i="2"/>
  <c r="AA29" i="2"/>
  <c r="AB29" i="2"/>
  <c r="AH29" i="2"/>
  <c r="AQ29" i="2"/>
  <c r="AI29" i="2"/>
  <c r="AR29" i="2"/>
  <c r="AJ29" i="2"/>
  <c r="AS29" i="2"/>
  <c r="AW29" i="2"/>
  <c r="AX29" i="2"/>
  <c r="AY29" i="2"/>
  <c r="AZ29" i="2"/>
  <c r="BA29" i="2"/>
  <c r="AV30" i="2"/>
  <c r="Q30" i="2"/>
  <c r="Y30" i="2"/>
  <c r="L30" i="2"/>
  <c r="T30" i="2"/>
  <c r="M30" i="2"/>
  <c r="U30" i="2"/>
  <c r="N30" i="2"/>
  <c r="V30" i="2"/>
  <c r="O30" i="2"/>
  <c r="W30" i="2"/>
  <c r="P30" i="2"/>
  <c r="X30" i="2"/>
  <c r="R30" i="2"/>
  <c r="Z30" i="2"/>
  <c r="S30" i="2"/>
  <c r="AA30" i="2"/>
  <c r="AB30" i="2"/>
  <c r="AH30" i="2"/>
  <c r="AQ30" i="2"/>
  <c r="AI30" i="2"/>
  <c r="AR30" i="2"/>
  <c r="AJ30" i="2"/>
  <c r="AS30" i="2"/>
  <c r="AW30" i="2"/>
  <c r="AX30" i="2"/>
  <c r="AY30" i="2"/>
  <c r="AZ30" i="2"/>
  <c r="BA30" i="2"/>
  <c r="AV31" i="2"/>
  <c r="Q31" i="2"/>
  <c r="Y31" i="2"/>
  <c r="L31" i="2"/>
  <c r="T31" i="2"/>
  <c r="M31" i="2"/>
  <c r="U31" i="2"/>
  <c r="N31" i="2"/>
  <c r="V31" i="2"/>
  <c r="O31" i="2"/>
  <c r="W31" i="2"/>
  <c r="P31" i="2"/>
  <c r="X31" i="2"/>
  <c r="R31" i="2"/>
  <c r="Z31" i="2"/>
  <c r="S31" i="2"/>
  <c r="AA31" i="2"/>
  <c r="AB31" i="2"/>
  <c r="AH31" i="2"/>
  <c r="AQ31" i="2"/>
  <c r="AI31" i="2"/>
  <c r="AR31" i="2"/>
  <c r="AJ31" i="2"/>
  <c r="AS31" i="2"/>
  <c r="AW31" i="2"/>
  <c r="AX31" i="2"/>
  <c r="AY31" i="2"/>
  <c r="AZ31" i="2"/>
  <c r="BA31" i="2"/>
  <c r="AV32" i="2"/>
  <c r="Q32" i="2"/>
  <c r="Y32" i="2"/>
  <c r="L32" i="2"/>
  <c r="T32" i="2"/>
  <c r="M32" i="2"/>
  <c r="U32" i="2"/>
  <c r="N32" i="2"/>
  <c r="V32" i="2"/>
  <c r="O32" i="2"/>
  <c r="W32" i="2"/>
  <c r="P32" i="2"/>
  <c r="X32" i="2"/>
  <c r="R32" i="2"/>
  <c r="Z32" i="2"/>
  <c r="S32" i="2"/>
  <c r="AA32" i="2"/>
  <c r="AB32" i="2"/>
  <c r="AH32" i="2"/>
  <c r="AQ32" i="2"/>
  <c r="AI32" i="2"/>
  <c r="AR32" i="2"/>
  <c r="AJ32" i="2"/>
  <c r="AS32" i="2"/>
  <c r="AW32" i="2"/>
  <c r="AX32" i="2"/>
  <c r="AY32" i="2"/>
  <c r="AZ32" i="2"/>
  <c r="BA32" i="2"/>
  <c r="AV33" i="2"/>
  <c r="Q33" i="2"/>
  <c r="Y33" i="2"/>
  <c r="L33" i="2"/>
  <c r="T33" i="2"/>
  <c r="M33" i="2"/>
  <c r="U33" i="2"/>
  <c r="N33" i="2"/>
  <c r="V33" i="2"/>
  <c r="O33" i="2"/>
  <c r="W33" i="2"/>
  <c r="P33" i="2"/>
  <c r="X33" i="2"/>
  <c r="R33" i="2"/>
  <c r="Z33" i="2"/>
  <c r="S33" i="2"/>
  <c r="AA33" i="2"/>
  <c r="AB33" i="2"/>
  <c r="AH33" i="2"/>
  <c r="AQ33" i="2"/>
  <c r="AI33" i="2"/>
  <c r="AR33" i="2"/>
  <c r="AJ33" i="2"/>
  <c r="AS33" i="2"/>
  <c r="AW33" i="2"/>
  <c r="AX33" i="2"/>
  <c r="AY33" i="2"/>
  <c r="AZ33" i="2"/>
  <c r="BA33" i="2"/>
  <c r="AV34" i="2"/>
  <c r="Q34" i="2"/>
  <c r="Y34" i="2"/>
  <c r="L34" i="2"/>
  <c r="T34" i="2"/>
  <c r="M34" i="2"/>
  <c r="U34" i="2"/>
  <c r="N34" i="2"/>
  <c r="V34" i="2"/>
  <c r="O34" i="2"/>
  <c r="W34" i="2"/>
  <c r="P34" i="2"/>
  <c r="X34" i="2"/>
  <c r="R34" i="2"/>
  <c r="Z34" i="2"/>
  <c r="S34" i="2"/>
  <c r="AA34" i="2"/>
  <c r="AB34" i="2"/>
  <c r="AH34" i="2"/>
  <c r="AQ34" i="2"/>
  <c r="AI34" i="2"/>
  <c r="AR34" i="2"/>
  <c r="AJ34" i="2"/>
  <c r="AS34" i="2"/>
  <c r="AW34" i="2"/>
  <c r="AX34" i="2"/>
  <c r="AY34" i="2"/>
  <c r="AZ34" i="2"/>
  <c r="BA34" i="2"/>
  <c r="AV35" i="2"/>
  <c r="Q35" i="2"/>
  <c r="Y35" i="2"/>
  <c r="L35" i="2"/>
  <c r="T35" i="2"/>
  <c r="M35" i="2"/>
  <c r="U35" i="2"/>
  <c r="N35" i="2"/>
  <c r="V35" i="2"/>
  <c r="O35" i="2"/>
  <c r="W35" i="2"/>
  <c r="P35" i="2"/>
  <c r="X35" i="2"/>
  <c r="R35" i="2"/>
  <c r="Z35" i="2"/>
  <c r="S35" i="2"/>
  <c r="AA35" i="2"/>
  <c r="AB35" i="2"/>
  <c r="AH35" i="2"/>
  <c r="AQ35" i="2"/>
  <c r="AI35" i="2"/>
  <c r="AR35" i="2"/>
  <c r="AJ35" i="2"/>
  <c r="AS35" i="2"/>
  <c r="AW35" i="2"/>
  <c r="AX35" i="2"/>
  <c r="AY35" i="2"/>
  <c r="AZ35" i="2"/>
  <c r="BA35" i="2"/>
  <c r="AV36" i="2"/>
  <c r="Q36" i="2"/>
  <c r="Y36" i="2"/>
  <c r="L36" i="2"/>
  <c r="T36" i="2"/>
  <c r="M36" i="2"/>
  <c r="U36" i="2"/>
  <c r="N36" i="2"/>
  <c r="V36" i="2"/>
  <c r="O36" i="2"/>
  <c r="W36" i="2"/>
  <c r="P36" i="2"/>
  <c r="X36" i="2"/>
  <c r="R36" i="2"/>
  <c r="Z36" i="2"/>
  <c r="S36" i="2"/>
  <c r="AA36" i="2"/>
  <c r="AB36" i="2"/>
  <c r="AH36" i="2"/>
  <c r="AQ36" i="2"/>
  <c r="AI36" i="2"/>
  <c r="AR36" i="2"/>
  <c r="AJ36" i="2"/>
  <c r="AS36" i="2"/>
  <c r="AW36" i="2"/>
  <c r="AX36" i="2"/>
  <c r="AY36" i="2"/>
  <c r="AZ36" i="2"/>
  <c r="BA36" i="2"/>
  <c r="AV37" i="2"/>
  <c r="Q37" i="2"/>
  <c r="Y37" i="2"/>
  <c r="L37" i="2"/>
  <c r="T37" i="2"/>
  <c r="M37" i="2"/>
  <c r="U37" i="2"/>
  <c r="N37" i="2"/>
  <c r="V37" i="2"/>
  <c r="O37" i="2"/>
  <c r="W37" i="2"/>
  <c r="P37" i="2"/>
  <c r="X37" i="2"/>
  <c r="R37" i="2"/>
  <c r="Z37" i="2"/>
  <c r="S37" i="2"/>
  <c r="AA37" i="2"/>
  <c r="AB37" i="2"/>
  <c r="AH37" i="2"/>
  <c r="AQ37" i="2"/>
  <c r="AI37" i="2"/>
  <c r="AR37" i="2"/>
  <c r="AJ37" i="2"/>
  <c r="AS37" i="2"/>
  <c r="AW37" i="2"/>
  <c r="AX37" i="2"/>
  <c r="AY37" i="2"/>
  <c r="AZ37" i="2"/>
  <c r="BA37" i="2"/>
  <c r="AV38" i="2"/>
  <c r="Q38" i="2"/>
  <c r="Y38" i="2"/>
  <c r="L38" i="2"/>
  <c r="T38" i="2"/>
  <c r="M38" i="2"/>
  <c r="U38" i="2"/>
  <c r="N38" i="2"/>
  <c r="V38" i="2"/>
  <c r="O38" i="2"/>
  <c r="W38" i="2"/>
  <c r="P38" i="2"/>
  <c r="X38" i="2"/>
  <c r="R38" i="2"/>
  <c r="Z38" i="2"/>
  <c r="S38" i="2"/>
  <c r="AA38" i="2"/>
  <c r="AB38" i="2"/>
  <c r="AH38" i="2"/>
  <c r="AQ38" i="2"/>
  <c r="AI38" i="2"/>
  <c r="AR38" i="2"/>
  <c r="AJ38" i="2"/>
  <c r="AS38" i="2"/>
  <c r="AW38" i="2"/>
  <c r="AX38" i="2"/>
  <c r="AY38" i="2"/>
  <c r="AZ38" i="2"/>
  <c r="BA38" i="2"/>
  <c r="AV39" i="2"/>
  <c r="Q39" i="2"/>
  <c r="Y39" i="2"/>
  <c r="L39" i="2"/>
  <c r="T39" i="2"/>
  <c r="M39" i="2"/>
  <c r="U39" i="2"/>
  <c r="N39" i="2"/>
  <c r="V39" i="2"/>
  <c r="O39" i="2"/>
  <c r="W39" i="2"/>
  <c r="P39" i="2"/>
  <c r="X39" i="2"/>
  <c r="R39" i="2"/>
  <c r="Z39" i="2"/>
  <c r="S39" i="2"/>
  <c r="AA39" i="2"/>
  <c r="AB39" i="2"/>
  <c r="AH39" i="2"/>
  <c r="AQ39" i="2"/>
  <c r="AI39" i="2"/>
  <c r="AR39" i="2"/>
  <c r="AJ39" i="2"/>
  <c r="AS39" i="2"/>
  <c r="AW39" i="2"/>
  <c r="AX39" i="2"/>
  <c r="AY39" i="2"/>
  <c r="AZ39" i="2"/>
  <c r="BA39" i="2"/>
  <c r="AV40" i="2"/>
  <c r="Q40" i="2"/>
  <c r="Y40" i="2"/>
  <c r="L40" i="2"/>
  <c r="T40" i="2"/>
  <c r="M40" i="2"/>
  <c r="U40" i="2"/>
  <c r="N40" i="2"/>
  <c r="V40" i="2"/>
  <c r="O40" i="2"/>
  <c r="W40" i="2"/>
  <c r="P40" i="2"/>
  <c r="X40" i="2"/>
  <c r="R40" i="2"/>
  <c r="Z40" i="2"/>
  <c r="S40" i="2"/>
  <c r="AA40" i="2"/>
  <c r="AB40" i="2"/>
  <c r="AH40" i="2"/>
  <c r="AQ40" i="2"/>
  <c r="AI40" i="2"/>
  <c r="AR40" i="2"/>
  <c r="AJ40" i="2"/>
  <c r="AS40" i="2"/>
  <c r="AW40" i="2"/>
  <c r="AX40" i="2"/>
  <c r="AY40" i="2"/>
  <c r="AZ40" i="2"/>
  <c r="BA40" i="2"/>
  <c r="AV41" i="2"/>
  <c r="Q41" i="2"/>
  <c r="Y41" i="2"/>
  <c r="L41" i="2"/>
  <c r="T41" i="2"/>
  <c r="M41" i="2"/>
  <c r="U41" i="2"/>
  <c r="N41" i="2"/>
  <c r="V41" i="2"/>
  <c r="O41" i="2"/>
  <c r="W41" i="2"/>
  <c r="P41" i="2"/>
  <c r="X41" i="2"/>
  <c r="R41" i="2"/>
  <c r="Z41" i="2"/>
  <c r="S41" i="2"/>
  <c r="AA41" i="2"/>
  <c r="AB41" i="2"/>
  <c r="AH41" i="2"/>
  <c r="AQ41" i="2"/>
  <c r="AI41" i="2"/>
  <c r="AR41" i="2"/>
  <c r="AJ41" i="2"/>
  <c r="AS41" i="2"/>
  <c r="AW41" i="2"/>
  <c r="AX41" i="2"/>
  <c r="AY41" i="2"/>
  <c r="AZ41" i="2"/>
  <c r="BA41" i="2"/>
  <c r="AV42" i="2"/>
  <c r="Q42" i="2"/>
  <c r="Y42" i="2"/>
  <c r="L42" i="2"/>
  <c r="T42" i="2"/>
  <c r="M42" i="2"/>
  <c r="U42" i="2"/>
  <c r="N42" i="2"/>
  <c r="V42" i="2"/>
  <c r="O42" i="2"/>
  <c r="W42" i="2"/>
  <c r="P42" i="2"/>
  <c r="X42" i="2"/>
  <c r="R42" i="2"/>
  <c r="Z42" i="2"/>
  <c r="S42" i="2"/>
  <c r="AA42" i="2"/>
  <c r="AB42" i="2"/>
  <c r="AH42" i="2"/>
  <c r="AQ42" i="2"/>
  <c r="AI42" i="2"/>
  <c r="AR42" i="2"/>
  <c r="AJ42" i="2"/>
  <c r="AS42" i="2"/>
  <c r="AW42" i="2"/>
  <c r="AX42" i="2"/>
  <c r="AY42" i="2"/>
  <c r="AZ42" i="2"/>
  <c r="BA42" i="2"/>
  <c r="AV43" i="2"/>
  <c r="Q43" i="2"/>
  <c r="Y43" i="2"/>
  <c r="L43" i="2"/>
  <c r="T43" i="2"/>
  <c r="M43" i="2"/>
  <c r="U43" i="2"/>
  <c r="N43" i="2"/>
  <c r="V43" i="2"/>
  <c r="O43" i="2"/>
  <c r="W43" i="2"/>
  <c r="P43" i="2"/>
  <c r="X43" i="2"/>
  <c r="R43" i="2"/>
  <c r="Z43" i="2"/>
  <c r="S43" i="2"/>
  <c r="AA43" i="2"/>
  <c r="AB43" i="2"/>
  <c r="AH43" i="2"/>
  <c r="AQ43" i="2"/>
  <c r="AI43" i="2"/>
  <c r="AR43" i="2"/>
  <c r="AJ43" i="2"/>
  <c r="AS43" i="2"/>
  <c r="AW43" i="2"/>
  <c r="AX43" i="2"/>
  <c r="AY43" i="2"/>
  <c r="AZ43" i="2"/>
  <c r="BA43" i="2"/>
  <c r="AV44" i="2"/>
  <c r="Q44" i="2"/>
  <c r="Y44" i="2"/>
  <c r="L44" i="2"/>
  <c r="T44" i="2"/>
  <c r="M44" i="2"/>
  <c r="U44" i="2"/>
  <c r="N44" i="2"/>
  <c r="V44" i="2"/>
  <c r="O44" i="2"/>
  <c r="W44" i="2"/>
  <c r="P44" i="2"/>
  <c r="X44" i="2"/>
  <c r="R44" i="2"/>
  <c r="Z44" i="2"/>
  <c r="S44" i="2"/>
  <c r="AA44" i="2"/>
  <c r="AB44" i="2"/>
  <c r="AH44" i="2"/>
  <c r="AQ44" i="2"/>
  <c r="AI44" i="2"/>
  <c r="AR44" i="2"/>
  <c r="AJ44" i="2"/>
  <c r="AS44" i="2"/>
  <c r="AW44" i="2"/>
  <c r="AX44" i="2"/>
  <c r="AY44" i="2"/>
  <c r="AZ44" i="2"/>
  <c r="BA44" i="2"/>
  <c r="AV45" i="2"/>
  <c r="Q45" i="2"/>
  <c r="Y45" i="2"/>
  <c r="L45" i="2"/>
  <c r="T45" i="2"/>
  <c r="M45" i="2"/>
  <c r="U45" i="2"/>
  <c r="N45" i="2"/>
  <c r="V45" i="2"/>
  <c r="O45" i="2"/>
  <c r="W45" i="2"/>
  <c r="P45" i="2"/>
  <c r="X45" i="2"/>
  <c r="R45" i="2"/>
  <c r="Z45" i="2"/>
  <c r="S45" i="2"/>
  <c r="AA45" i="2"/>
  <c r="AB45" i="2"/>
  <c r="AH45" i="2"/>
  <c r="AQ45" i="2"/>
  <c r="AI45" i="2"/>
  <c r="AR45" i="2"/>
  <c r="AJ45" i="2"/>
  <c r="AS45" i="2"/>
  <c r="AW45" i="2"/>
  <c r="AX45" i="2"/>
  <c r="AY45" i="2"/>
  <c r="AZ45" i="2"/>
  <c r="BA45" i="2"/>
  <c r="D13" i="7"/>
  <c r="C13" i="7"/>
  <c r="D14" i="7"/>
  <c r="C14" i="7"/>
  <c r="D15" i="7"/>
  <c r="C15" i="7"/>
  <c r="D16" i="7"/>
  <c r="C16" i="7"/>
  <c r="D17" i="7"/>
  <c r="C17" i="7"/>
  <c r="D18" i="7"/>
  <c r="C18" i="7"/>
  <c r="D19" i="7"/>
  <c r="C19" i="7"/>
  <c r="D20" i="7"/>
  <c r="C20" i="7"/>
  <c r="D21" i="7"/>
  <c r="C21" i="7"/>
  <c r="D22" i="7"/>
  <c r="C22" i="7"/>
  <c r="D23" i="7"/>
  <c r="C23" i="7"/>
  <c r="D24" i="7"/>
  <c r="C24" i="7"/>
  <c r="D25" i="7"/>
  <c r="C25" i="7"/>
  <c r="D26" i="7"/>
  <c r="C26" i="7"/>
  <c r="D27" i="7"/>
  <c r="C27" i="7"/>
  <c r="D28" i="7"/>
  <c r="C28" i="7"/>
  <c r="D29" i="7"/>
  <c r="C29" i="7"/>
  <c r="D30" i="7"/>
  <c r="C30" i="7"/>
  <c r="D31" i="7"/>
  <c r="C31" i="7"/>
  <c r="D32" i="7"/>
  <c r="C32" i="7"/>
  <c r="D33" i="7"/>
  <c r="C33" i="7"/>
  <c r="D34" i="7"/>
  <c r="C34" i="7"/>
  <c r="D35" i="7"/>
  <c r="C35" i="7"/>
  <c r="D36" i="7"/>
  <c r="C36" i="7"/>
  <c r="D37" i="7"/>
  <c r="C37" i="7"/>
  <c r="D38" i="7"/>
  <c r="C38" i="7"/>
  <c r="C3" i="1"/>
  <c r="P7" i="1"/>
  <c r="AB7" i="1"/>
  <c r="D3" i="1"/>
  <c r="Q7" i="1"/>
  <c r="AC7" i="1"/>
  <c r="E3" i="1"/>
  <c r="R7" i="1"/>
  <c r="AD7" i="1"/>
  <c r="F3" i="1"/>
  <c r="S7" i="1"/>
  <c r="AE7" i="1"/>
  <c r="G3" i="1"/>
  <c r="T7" i="1"/>
  <c r="AF7" i="1"/>
  <c r="H3" i="1"/>
  <c r="U7" i="1"/>
  <c r="AG7" i="1"/>
  <c r="I3" i="1"/>
  <c r="V7" i="1"/>
  <c r="AH7" i="1"/>
  <c r="J3" i="1"/>
  <c r="W7" i="1"/>
  <c r="AI7" i="1"/>
  <c r="K3" i="1"/>
  <c r="X7" i="1"/>
  <c r="AJ7" i="1"/>
  <c r="L3" i="1"/>
  <c r="Y7" i="1"/>
  <c r="AK7" i="1"/>
  <c r="AL7" i="1"/>
  <c r="AM7" i="1"/>
  <c r="AX7" i="1"/>
  <c r="AO7" i="1"/>
  <c r="AZ7" i="1"/>
  <c r="BQ7" i="1"/>
  <c r="AN7" i="1"/>
  <c r="AY7" i="1"/>
  <c r="AP7" i="1"/>
  <c r="BA7" i="1"/>
  <c r="AQ7" i="1"/>
  <c r="BB7" i="1"/>
  <c r="AR7" i="1"/>
  <c r="BC7" i="1"/>
  <c r="AS7" i="1"/>
  <c r="BD7" i="1"/>
  <c r="AT7" i="1"/>
  <c r="BE7" i="1"/>
  <c r="AU7" i="1"/>
  <c r="BF7" i="1"/>
  <c r="AV7" i="1"/>
  <c r="BG7" i="1"/>
  <c r="BK7" i="1"/>
  <c r="BR7" i="1"/>
  <c r="BS7" i="1"/>
  <c r="BT7" i="1"/>
  <c r="BU7" i="1"/>
  <c r="BW7" i="1"/>
  <c r="BL7" i="1"/>
  <c r="BM7" i="1"/>
  <c r="BN7" i="1"/>
  <c r="BO7" i="1"/>
  <c r="BP7" i="1"/>
  <c r="BV7" i="1"/>
  <c r="BX7" i="1"/>
  <c r="CN7" i="1"/>
  <c r="P8" i="1"/>
  <c r="AB8" i="1"/>
  <c r="Q8" i="1"/>
  <c r="AC8" i="1"/>
  <c r="R8" i="1"/>
  <c r="AD8" i="1"/>
  <c r="S8" i="1"/>
  <c r="AE8" i="1"/>
  <c r="T8" i="1"/>
  <c r="AF8" i="1"/>
  <c r="U8" i="1"/>
  <c r="AG8" i="1"/>
  <c r="V8" i="1"/>
  <c r="AH8" i="1"/>
  <c r="W8" i="1"/>
  <c r="AI8" i="1"/>
  <c r="X8" i="1"/>
  <c r="AJ8" i="1"/>
  <c r="Y8" i="1"/>
  <c r="AK8" i="1"/>
  <c r="AL8" i="1"/>
  <c r="AM8" i="1"/>
  <c r="AX8" i="1"/>
  <c r="AO8" i="1"/>
  <c r="AZ8" i="1"/>
  <c r="BQ8" i="1"/>
  <c r="AN8" i="1"/>
  <c r="AY8" i="1"/>
  <c r="AP8" i="1"/>
  <c r="BA8" i="1"/>
  <c r="AQ8" i="1"/>
  <c r="BB8" i="1"/>
  <c r="AR8" i="1"/>
  <c r="BC8" i="1"/>
  <c r="AS8" i="1"/>
  <c r="BD8" i="1"/>
  <c r="AT8" i="1"/>
  <c r="BE8" i="1"/>
  <c r="AU8" i="1"/>
  <c r="BF8" i="1"/>
  <c r="AV8" i="1"/>
  <c r="BG8" i="1"/>
  <c r="BK8" i="1"/>
  <c r="BR8" i="1"/>
  <c r="BS8" i="1"/>
  <c r="BT8" i="1"/>
  <c r="BU8" i="1"/>
  <c r="BW8" i="1"/>
  <c r="BL8" i="1"/>
  <c r="BM8" i="1"/>
  <c r="BN8" i="1"/>
  <c r="BO8" i="1"/>
  <c r="BP8" i="1"/>
  <c r="BV8" i="1"/>
  <c r="BX8" i="1"/>
  <c r="CN8" i="1"/>
  <c r="P9" i="1"/>
  <c r="AB9" i="1"/>
  <c r="Q9" i="1"/>
  <c r="AC9" i="1"/>
  <c r="R9" i="1"/>
  <c r="AD9" i="1"/>
  <c r="S9" i="1"/>
  <c r="AE9" i="1"/>
  <c r="T9" i="1"/>
  <c r="AF9" i="1"/>
  <c r="U9" i="1"/>
  <c r="AG9" i="1"/>
  <c r="V9" i="1"/>
  <c r="AH9" i="1"/>
  <c r="W9" i="1"/>
  <c r="AI9" i="1"/>
  <c r="X9" i="1"/>
  <c r="AJ9" i="1"/>
  <c r="Y9" i="1"/>
  <c r="AK9" i="1"/>
  <c r="AL9" i="1"/>
  <c r="AM9" i="1"/>
  <c r="AX9" i="1"/>
  <c r="AO9" i="1"/>
  <c r="AZ9" i="1"/>
  <c r="BQ9" i="1"/>
  <c r="AN9" i="1"/>
  <c r="AY9" i="1"/>
  <c r="AP9" i="1"/>
  <c r="BA9" i="1"/>
  <c r="AQ9" i="1"/>
  <c r="BB9" i="1"/>
  <c r="AR9" i="1"/>
  <c r="BC9" i="1"/>
  <c r="AS9" i="1"/>
  <c r="BD9" i="1"/>
  <c r="AT9" i="1"/>
  <c r="BE9" i="1"/>
  <c r="AU9" i="1"/>
  <c r="BF9" i="1"/>
  <c r="AV9" i="1"/>
  <c r="BG9" i="1"/>
  <c r="BK9" i="1"/>
  <c r="BR9" i="1"/>
  <c r="BS9" i="1"/>
  <c r="BT9" i="1"/>
  <c r="BU9" i="1"/>
  <c r="BW9" i="1"/>
  <c r="BL9" i="1"/>
  <c r="BM9" i="1"/>
  <c r="BN9" i="1"/>
  <c r="BO9" i="1"/>
  <c r="BP9" i="1"/>
  <c r="BV9" i="1"/>
  <c r="BX9" i="1"/>
  <c r="CN9" i="1"/>
  <c r="P10" i="1"/>
  <c r="AB10" i="1"/>
  <c r="Q10" i="1"/>
  <c r="AC10" i="1"/>
  <c r="R10" i="1"/>
  <c r="AD10" i="1"/>
  <c r="S10" i="1"/>
  <c r="AE10" i="1"/>
  <c r="T10" i="1"/>
  <c r="AF10" i="1"/>
  <c r="U10" i="1"/>
  <c r="AG10" i="1"/>
  <c r="V10" i="1"/>
  <c r="AH10" i="1"/>
  <c r="W10" i="1"/>
  <c r="AI10" i="1"/>
  <c r="X10" i="1"/>
  <c r="AJ10" i="1"/>
  <c r="Y10" i="1"/>
  <c r="AK10" i="1"/>
  <c r="AL10" i="1"/>
  <c r="AM10" i="1"/>
  <c r="AX10" i="1"/>
  <c r="AO10" i="1"/>
  <c r="AZ10" i="1"/>
  <c r="BQ10" i="1"/>
  <c r="AN10" i="1"/>
  <c r="AY10" i="1"/>
  <c r="AP10" i="1"/>
  <c r="BA10" i="1"/>
  <c r="AQ10" i="1"/>
  <c r="BB10" i="1"/>
  <c r="AR10" i="1"/>
  <c r="BC10" i="1"/>
  <c r="AS10" i="1"/>
  <c r="BD10" i="1"/>
  <c r="AT10" i="1"/>
  <c r="BE10" i="1"/>
  <c r="AU10" i="1"/>
  <c r="BF10" i="1"/>
  <c r="AV10" i="1"/>
  <c r="BG10" i="1"/>
  <c r="BK10" i="1"/>
  <c r="BR10" i="1"/>
  <c r="BS10" i="1"/>
  <c r="BT10" i="1"/>
  <c r="BU10" i="1"/>
  <c r="BW10" i="1"/>
  <c r="BL10" i="1"/>
  <c r="BM10" i="1"/>
  <c r="BN10" i="1"/>
  <c r="BO10" i="1"/>
  <c r="BP10" i="1"/>
  <c r="BV10" i="1"/>
  <c r="BX10" i="1"/>
  <c r="CN10" i="1"/>
  <c r="BY7" i="1"/>
  <c r="CO7" i="1"/>
  <c r="CP7" i="1"/>
  <c r="CA7" i="1"/>
  <c r="CQ7" i="1"/>
  <c r="CH7" i="1"/>
  <c r="CR7" i="1"/>
  <c r="CE7" i="1"/>
  <c r="CG7" i="1"/>
  <c r="BZ7" i="1"/>
  <c r="CJ7" i="1"/>
  <c r="CD7" i="1"/>
  <c r="CF7" i="1"/>
  <c r="CC7" i="1"/>
  <c r="CK7" i="1"/>
  <c r="CL7" i="1"/>
  <c r="CS7" i="1"/>
  <c r="CT7" i="1"/>
  <c r="CU7" i="1"/>
  <c r="CV7" i="1"/>
  <c r="CW7" i="1"/>
  <c r="BY8" i="1"/>
  <c r="CO8" i="1"/>
  <c r="CP8" i="1"/>
  <c r="CA8" i="1"/>
  <c r="CQ8" i="1"/>
  <c r="CH8" i="1"/>
  <c r="CR8" i="1"/>
  <c r="CE8" i="1"/>
  <c r="CG8" i="1"/>
  <c r="BZ8" i="1"/>
  <c r="CJ8" i="1"/>
  <c r="CD8" i="1"/>
  <c r="CF8" i="1"/>
  <c r="CC8" i="1"/>
  <c r="CK8" i="1"/>
  <c r="CL8" i="1"/>
  <c r="CS8" i="1"/>
  <c r="CT8" i="1"/>
  <c r="CU8" i="1"/>
  <c r="CV8" i="1"/>
  <c r="CW8" i="1"/>
  <c r="BY9" i="1"/>
  <c r="CO9" i="1"/>
  <c r="CP9" i="1"/>
  <c r="CA9" i="1"/>
  <c r="CQ9" i="1"/>
  <c r="CH9" i="1"/>
  <c r="CR9" i="1"/>
  <c r="CE9" i="1"/>
  <c r="CG9" i="1"/>
  <c r="BZ9" i="1"/>
  <c r="CJ9" i="1"/>
  <c r="CD9" i="1"/>
  <c r="CF9" i="1"/>
  <c r="CC9" i="1"/>
  <c r="CK9" i="1"/>
  <c r="CL9" i="1"/>
  <c r="CS9" i="1"/>
  <c r="CT9" i="1"/>
  <c r="CU9" i="1"/>
  <c r="CV9" i="1"/>
  <c r="CW9" i="1"/>
  <c r="BY10" i="1"/>
  <c r="CO10" i="1"/>
  <c r="CP10" i="1"/>
  <c r="CA10" i="1"/>
  <c r="CQ10" i="1"/>
  <c r="CH10" i="1"/>
  <c r="CR10" i="1"/>
  <c r="CE10" i="1"/>
  <c r="CG10" i="1"/>
  <c r="BZ10" i="1"/>
  <c r="CJ10" i="1"/>
  <c r="CD10" i="1"/>
  <c r="CF10" i="1"/>
  <c r="CC10" i="1"/>
  <c r="CK10" i="1"/>
  <c r="CL10" i="1"/>
  <c r="CS10" i="1"/>
  <c r="CT10" i="1"/>
  <c r="CU10" i="1"/>
  <c r="CV10" i="1"/>
  <c r="CW10" i="1"/>
  <c r="P11" i="1"/>
  <c r="AB11" i="1"/>
  <c r="Q11" i="1"/>
  <c r="AC11" i="1"/>
  <c r="R11" i="1"/>
  <c r="AD11" i="1"/>
  <c r="S11" i="1"/>
  <c r="AE11" i="1"/>
  <c r="T11" i="1"/>
  <c r="AF11" i="1"/>
  <c r="U11" i="1"/>
  <c r="AG11" i="1"/>
  <c r="V11" i="1"/>
  <c r="AH11" i="1"/>
  <c r="W11" i="1"/>
  <c r="AI11" i="1"/>
  <c r="X11" i="1"/>
  <c r="AJ11" i="1"/>
  <c r="Y11" i="1"/>
  <c r="AK11" i="1"/>
  <c r="AL11" i="1"/>
  <c r="AM11" i="1"/>
  <c r="AX11" i="1"/>
  <c r="AO11" i="1"/>
  <c r="AZ11" i="1"/>
  <c r="BQ11" i="1"/>
  <c r="AN11" i="1"/>
  <c r="AY11" i="1"/>
  <c r="AP11" i="1"/>
  <c r="BA11" i="1"/>
  <c r="AQ11" i="1"/>
  <c r="BB11" i="1"/>
  <c r="AR11" i="1"/>
  <c r="BC11" i="1"/>
  <c r="AS11" i="1"/>
  <c r="BD11" i="1"/>
  <c r="AT11" i="1"/>
  <c r="BE11" i="1"/>
  <c r="AU11" i="1"/>
  <c r="BF11" i="1"/>
  <c r="AV11" i="1"/>
  <c r="BG11" i="1"/>
  <c r="BK11" i="1"/>
  <c r="BR11" i="1"/>
  <c r="BS11" i="1"/>
  <c r="BT11" i="1"/>
  <c r="BU11" i="1"/>
  <c r="BW11" i="1"/>
  <c r="BL11" i="1"/>
  <c r="BM11" i="1"/>
  <c r="BN11" i="1"/>
  <c r="BO11" i="1"/>
  <c r="BP11" i="1"/>
  <c r="BV11" i="1"/>
  <c r="BX11" i="1"/>
  <c r="CN11" i="1"/>
  <c r="BY11" i="1"/>
  <c r="CO11" i="1"/>
  <c r="CP11" i="1"/>
  <c r="CA11" i="1"/>
  <c r="CQ11" i="1"/>
  <c r="CH11" i="1"/>
  <c r="CR11" i="1"/>
  <c r="CE11" i="1"/>
  <c r="CG11" i="1"/>
  <c r="BZ11" i="1"/>
  <c r="CJ11" i="1"/>
  <c r="CD11" i="1"/>
  <c r="CF11" i="1"/>
  <c r="CC11" i="1"/>
  <c r="CK11" i="1"/>
  <c r="CL11" i="1"/>
  <c r="CS11" i="1"/>
  <c r="CT11" i="1"/>
  <c r="CU11" i="1"/>
  <c r="CV11" i="1"/>
  <c r="CW11" i="1"/>
  <c r="P12" i="1"/>
  <c r="AB12" i="1"/>
  <c r="Q12" i="1"/>
  <c r="AC12" i="1"/>
  <c r="R12" i="1"/>
  <c r="AD12" i="1"/>
  <c r="S12" i="1"/>
  <c r="AE12" i="1"/>
  <c r="T12" i="1"/>
  <c r="AF12" i="1"/>
  <c r="U12" i="1"/>
  <c r="AG12" i="1"/>
  <c r="V12" i="1"/>
  <c r="AH12" i="1"/>
  <c r="W12" i="1"/>
  <c r="AI12" i="1"/>
  <c r="X12" i="1"/>
  <c r="AJ12" i="1"/>
  <c r="Y12" i="1"/>
  <c r="AK12" i="1"/>
  <c r="AL12" i="1"/>
  <c r="AM12" i="1"/>
  <c r="AX12" i="1"/>
  <c r="AO12" i="1"/>
  <c r="AZ12" i="1"/>
  <c r="BQ12" i="1"/>
  <c r="AN12" i="1"/>
  <c r="AY12" i="1"/>
  <c r="AP12" i="1"/>
  <c r="BA12" i="1"/>
  <c r="AQ12" i="1"/>
  <c r="BB12" i="1"/>
  <c r="AR12" i="1"/>
  <c r="BC12" i="1"/>
  <c r="AS12" i="1"/>
  <c r="BD12" i="1"/>
  <c r="AT12" i="1"/>
  <c r="BE12" i="1"/>
  <c r="AU12" i="1"/>
  <c r="BF12" i="1"/>
  <c r="AV12" i="1"/>
  <c r="BG12" i="1"/>
  <c r="BK12" i="1"/>
  <c r="BR12" i="1"/>
  <c r="BS12" i="1"/>
  <c r="BT12" i="1"/>
  <c r="BU12" i="1"/>
  <c r="BW12" i="1"/>
  <c r="BL12" i="1"/>
  <c r="BM12" i="1"/>
  <c r="BN12" i="1"/>
  <c r="BO12" i="1"/>
  <c r="BP12" i="1"/>
  <c r="BV12" i="1"/>
  <c r="BX12" i="1"/>
  <c r="CN12" i="1"/>
  <c r="BY12" i="1"/>
  <c r="CO12" i="1"/>
  <c r="CP12" i="1"/>
  <c r="CA12" i="1"/>
  <c r="CQ12" i="1"/>
  <c r="CH12" i="1"/>
  <c r="CR12" i="1"/>
  <c r="CE12" i="1"/>
  <c r="CG12" i="1"/>
  <c r="BZ12" i="1"/>
  <c r="CJ12" i="1"/>
  <c r="CD12" i="1"/>
  <c r="CF12" i="1"/>
  <c r="CC12" i="1"/>
  <c r="CK12" i="1"/>
  <c r="CL12" i="1"/>
  <c r="CS12" i="1"/>
  <c r="CT12" i="1"/>
  <c r="CU12" i="1"/>
  <c r="CV12" i="1"/>
  <c r="CW12" i="1"/>
  <c r="P13" i="1"/>
  <c r="AB13" i="1"/>
  <c r="Q13" i="1"/>
  <c r="AC13" i="1"/>
  <c r="R13" i="1"/>
  <c r="AD13" i="1"/>
  <c r="S13" i="1"/>
  <c r="AE13" i="1"/>
  <c r="T13" i="1"/>
  <c r="AF13" i="1"/>
  <c r="U13" i="1"/>
  <c r="AG13" i="1"/>
  <c r="V13" i="1"/>
  <c r="AH13" i="1"/>
  <c r="W13" i="1"/>
  <c r="AI13" i="1"/>
  <c r="X13" i="1"/>
  <c r="AJ13" i="1"/>
  <c r="Y13" i="1"/>
  <c r="AK13" i="1"/>
  <c r="AL13" i="1"/>
  <c r="AM13" i="1"/>
  <c r="AX13" i="1"/>
  <c r="AO13" i="1"/>
  <c r="AZ13" i="1"/>
  <c r="BQ13" i="1"/>
  <c r="AN13" i="1"/>
  <c r="AY13" i="1"/>
  <c r="AP13" i="1"/>
  <c r="BA13" i="1"/>
  <c r="AQ13" i="1"/>
  <c r="BB13" i="1"/>
  <c r="AR13" i="1"/>
  <c r="BC13" i="1"/>
  <c r="AS13" i="1"/>
  <c r="BD13" i="1"/>
  <c r="AT13" i="1"/>
  <c r="BE13" i="1"/>
  <c r="AU13" i="1"/>
  <c r="BF13" i="1"/>
  <c r="AV13" i="1"/>
  <c r="BG13" i="1"/>
  <c r="BK13" i="1"/>
  <c r="BR13" i="1"/>
  <c r="BS13" i="1"/>
  <c r="BT13" i="1"/>
  <c r="BU13" i="1"/>
  <c r="BW13" i="1"/>
  <c r="BL13" i="1"/>
  <c r="BM13" i="1"/>
  <c r="BN13" i="1"/>
  <c r="BO13" i="1"/>
  <c r="BP13" i="1"/>
  <c r="BV13" i="1"/>
  <c r="BX13" i="1"/>
  <c r="CN13" i="1"/>
  <c r="BY13" i="1"/>
  <c r="CO13" i="1"/>
  <c r="CP13" i="1"/>
  <c r="CA13" i="1"/>
  <c r="CQ13" i="1"/>
  <c r="CH13" i="1"/>
  <c r="CR13" i="1"/>
  <c r="CE13" i="1"/>
  <c r="CG13" i="1"/>
  <c r="BZ13" i="1"/>
  <c r="CJ13" i="1"/>
  <c r="CD13" i="1"/>
  <c r="CF13" i="1"/>
  <c r="CC13" i="1"/>
  <c r="CK13" i="1"/>
  <c r="CL13" i="1"/>
  <c r="CS13" i="1"/>
  <c r="CT13" i="1"/>
  <c r="CU13" i="1"/>
  <c r="CV13" i="1"/>
  <c r="CW13" i="1"/>
  <c r="P14" i="1"/>
  <c r="AB14" i="1"/>
  <c r="Q14" i="1"/>
  <c r="AC14" i="1"/>
  <c r="R14" i="1"/>
  <c r="AD14" i="1"/>
  <c r="S14" i="1"/>
  <c r="AE14" i="1"/>
  <c r="T14" i="1"/>
  <c r="AF14" i="1"/>
  <c r="U14" i="1"/>
  <c r="AG14" i="1"/>
  <c r="V14" i="1"/>
  <c r="AH14" i="1"/>
  <c r="W14" i="1"/>
  <c r="AI14" i="1"/>
  <c r="X14" i="1"/>
  <c r="AJ14" i="1"/>
  <c r="Y14" i="1"/>
  <c r="AK14" i="1"/>
  <c r="AL14" i="1"/>
  <c r="AM14" i="1"/>
  <c r="AX14" i="1"/>
  <c r="AO14" i="1"/>
  <c r="AZ14" i="1"/>
  <c r="BQ14" i="1"/>
  <c r="AN14" i="1"/>
  <c r="AY14" i="1"/>
  <c r="AP14" i="1"/>
  <c r="BA14" i="1"/>
  <c r="AQ14" i="1"/>
  <c r="BB14" i="1"/>
  <c r="AR14" i="1"/>
  <c r="BC14" i="1"/>
  <c r="AS14" i="1"/>
  <c r="BD14" i="1"/>
  <c r="AT14" i="1"/>
  <c r="BE14" i="1"/>
  <c r="AU14" i="1"/>
  <c r="BF14" i="1"/>
  <c r="AV14" i="1"/>
  <c r="BG14" i="1"/>
  <c r="BK14" i="1"/>
  <c r="BR14" i="1"/>
  <c r="BS14" i="1"/>
  <c r="BT14" i="1"/>
  <c r="BU14" i="1"/>
  <c r="BW14" i="1"/>
  <c r="BL14" i="1"/>
  <c r="BM14" i="1"/>
  <c r="BN14" i="1"/>
  <c r="BO14" i="1"/>
  <c r="BP14" i="1"/>
  <c r="BV14" i="1"/>
  <c r="BX14" i="1"/>
  <c r="CN14" i="1"/>
  <c r="BY14" i="1"/>
  <c r="CO14" i="1"/>
  <c r="CP14" i="1"/>
  <c r="CA14" i="1"/>
  <c r="CQ14" i="1"/>
  <c r="CH14" i="1"/>
  <c r="CR14" i="1"/>
  <c r="CE14" i="1"/>
  <c r="CG14" i="1"/>
  <c r="BZ14" i="1"/>
  <c r="CJ14" i="1"/>
  <c r="CD14" i="1"/>
  <c r="CF14" i="1"/>
  <c r="CC14" i="1"/>
  <c r="CK14" i="1"/>
  <c r="CL14" i="1"/>
  <c r="CS14" i="1"/>
  <c r="CT14" i="1"/>
  <c r="CU14" i="1"/>
  <c r="CV14" i="1"/>
  <c r="CW14" i="1"/>
  <c r="P15" i="1"/>
  <c r="AB15" i="1"/>
  <c r="Q15" i="1"/>
  <c r="AC15" i="1"/>
  <c r="R15" i="1"/>
  <c r="AD15" i="1"/>
  <c r="S15" i="1"/>
  <c r="AE15" i="1"/>
  <c r="T15" i="1"/>
  <c r="AF15" i="1"/>
  <c r="U15" i="1"/>
  <c r="AG15" i="1"/>
  <c r="V15" i="1"/>
  <c r="AH15" i="1"/>
  <c r="W15" i="1"/>
  <c r="AI15" i="1"/>
  <c r="X15" i="1"/>
  <c r="AJ15" i="1"/>
  <c r="Y15" i="1"/>
  <c r="AK15" i="1"/>
  <c r="AL15" i="1"/>
  <c r="AM15" i="1"/>
  <c r="AX15" i="1"/>
  <c r="AO15" i="1"/>
  <c r="AZ15" i="1"/>
  <c r="BQ15" i="1"/>
  <c r="AN15" i="1"/>
  <c r="AY15" i="1"/>
  <c r="AP15" i="1"/>
  <c r="BA15" i="1"/>
  <c r="AQ15" i="1"/>
  <c r="BB15" i="1"/>
  <c r="AR15" i="1"/>
  <c r="BC15" i="1"/>
  <c r="AS15" i="1"/>
  <c r="BD15" i="1"/>
  <c r="AT15" i="1"/>
  <c r="BE15" i="1"/>
  <c r="AU15" i="1"/>
  <c r="BF15" i="1"/>
  <c r="AV15" i="1"/>
  <c r="BG15" i="1"/>
  <c r="BK15" i="1"/>
  <c r="BR15" i="1"/>
  <c r="BS15" i="1"/>
  <c r="BT15" i="1"/>
  <c r="BU15" i="1"/>
  <c r="BW15" i="1"/>
  <c r="BL15" i="1"/>
  <c r="BM15" i="1"/>
  <c r="BN15" i="1"/>
  <c r="BO15" i="1"/>
  <c r="BP15" i="1"/>
  <c r="BV15" i="1"/>
  <c r="BX15" i="1"/>
  <c r="CN15" i="1"/>
  <c r="BY15" i="1"/>
  <c r="CO15" i="1"/>
  <c r="CP15" i="1"/>
  <c r="CA15" i="1"/>
  <c r="CQ15" i="1"/>
  <c r="CH15" i="1"/>
  <c r="CR15" i="1"/>
  <c r="CE15" i="1"/>
  <c r="CG15" i="1"/>
  <c r="BZ15" i="1"/>
  <c r="CJ15" i="1"/>
  <c r="CD15" i="1"/>
  <c r="CF15" i="1"/>
  <c r="CC15" i="1"/>
  <c r="CK15" i="1"/>
  <c r="CL15" i="1"/>
  <c r="CS15" i="1"/>
  <c r="CT15" i="1"/>
  <c r="CU15" i="1"/>
  <c r="CV15" i="1"/>
  <c r="CW15" i="1"/>
  <c r="P16" i="1"/>
  <c r="AB16" i="1"/>
  <c r="Q16" i="1"/>
  <c r="AC16" i="1"/>
  <c r="R16" i="1"/>
  <c r="AD16" i="1"/>
  <c r="S16" i="1"/>
  <c r="AE16" i="1"/>
  <c r="T16" i="1"/>
  <c r="AF16" i="1"/>
  <c r="U16" i="1"/>
  <c r="AG16" i="1"/>
  <c r="V16" i="1"/>
  <c r="AH16" i="1"/>
  <c r="W16" i="1"/>
  <c r="AI16" i="1"/>
  <c r="X16" i="1"/>
  <c r="AJ16" i="1"/>
  <c r="Y16" i="1"/>
  <c r="AK16" i="1"/>
  <c r="AL16" i="1"/>
  <c r="AM16" i="1"/>
  <c r="AX16" i="1"/>
  <c r="AO16" i="1"/>
  <c r="AZ16" i="1"/>
  <c r="BQ16" i="1"/>
  <c r="AN16" i="1"/>
  <c r="AY16" i="1"/>
  <c r="AP16" i="1"/>
  <c r="BA16" i="1"/>
  <c r="AQ16" i="1"/>
  <c r="BB16" i="1"/>
  <c r="AR16" i="1"/>
  <c r="BC16" i="1"/>
  <c r="AS16" i="1"/>
  <c r="BD16" i="1"/>
  <c r="AT16" i="1"/>
  <c r="BE16" i="1"/>
  <c r="AU16" i="1"/>
  <c r="BF16" i="1"/>
  <c r="AV16" i="1"/>
  <c r="BG16" i="1"/>
  <c r="BK16" i="1"/>
  <c r="BR16" i="1"/>
  <c r="BS16" i="1"/>
  <c r="BT16" i="1"/>
  <c r="BU16" i="1"/>
  <c r="BW16" i="1"/>
  <c r="BL16" i="1"/>
  <c r="BM16" i="1"/>
  <c r="BN16" i="1"/>
  <c r="BO16" i="1"/>
  <c r="BP16" i="1"/>
  <c r="BV16" i="1"/>
  <c r="BX16" i="1"/>
  <c r="CN16" i="1"/>
  <c r="BY16" i="1"/>
  <c r="CO16" i="1"/>
  <c r="CP16" i="1"/>
  <c r="CA16" i="1"/>
  <c r="CQ16" i="1"/>
  <c r="CH16" i="1"/>
  <c r="CR16" i="1"/>
  <c r="CE16" i="1"/>
  <c r="CG16" i="1"/>
  <c r="BZ16" i="1"/>
  <c r="CJ16" i="1"/>
  <c r="CD16" i="1"/>
  <c r="CF16" i="1"/>
  <c r="CC16" i="1"/>
  <c r="CK16" i="1"/>
  <c r="CL16" i="1"/>
  <c r="CS16" i="1"/>
  <c r="CT16" i="1"/>
  <c r="CU16" i="1"/>
  <c r="CV16" i="1"/>
  <c r="CW16" i="1"/>
  <c r="P17" i="1"/>
  <c r="AB17" i="1"/>
  <c r="Q17" i="1"/>
  <c r="AC17" i="1"/>
  <c r="R17" i="1"/>
  <c r="AD17" i="1"/>
  <c r="S17" i="1"/>
  <c r="AE17" i="1"/>
  <c r="T17" i="1"/>
  <c r="AF17" i="1"/>
  <c r="U17" i="1"/>
  <c r="AG17" i="1"/>
  <c r="V17" i="1"/>
  <c r="AH17" i="1"/>
  <c r="W17" i="1"/>
  <c r="AI17" i="1"/>
  <c r="X17" i="1"/>
  <c r="AJ17" i="1"/>
  <c r="Y17" i="1"/>
  <c r="AK17" i="1"/>
  <c r="AL17" i="1"/>
  <c r="AM17" i="1"/>
  <c r="AX17" i="1"/>
  <c r="AO17" i="1"/>
  <c r="AZ17" i="1"/>
  <c r="BQ17" i="1"/>
  <c r="AN17" i="1"/>
  <c r="AY17" i="1"/>
  <c r="AP17" i="1"/>
  <c r="BA17" i="1"/>
  <c r="AQ17" i="1"/>
  <c r="BB17" i="1"/>
  <c r="AR17" i="1"/>
  <c r="BC17" i="1"/>
  <c r="AS17" i="1"/>
  <c r="BD17" i="1"/>
  <c r="AT17" i="1"/>
  <c r="BE17" i="1"/>
  <c r="AU17" i="1"/>
  <c r="BF17" i="1"/>
  <c r="AV17" i="1"/>
  <c r="BG17" i="1"/>
  <c r="BK17" i="1"/>
  <c r="BR17" i="1"/>
  <c r="BS17" i="1"/>
  <c r="BT17" i="1"/>
  <c r="BU17" i="1"/>
  <c r="BW17" i="1"/>
  <c r="BL17" i="1"/>
  <c r="BM17" i="1"/>
  <c r="BN17" i="1"/>
  <c r="BO17" i="1"/>
  <c r="BP17" i="1"/>
  <c r="BV17" i="1"/>
  <c r="BX17" i="1"/>
  <c r="CN17" i="1"/>
  <c r="BY17" i="1"/>
  <c r="CO17" i="1"/>
  <c r="CP17" i="1"/>
  <c r="CA17" i="1"/>
  <c r="CQ17" i="1"/>
  <c r="CH17" i="1"/>
  <c r="CR17" i="1"/>
  <c r="CE17" i="1"/>
  <c r="CG17" i="1"/>
  <c r="BZ17" i="1"/>
  <c r="CJ17" i="1"/>
  <c r="CD17" i="1"/>
  <c r="CF17" i="1"/>
  <c r="CC17" i="1"/>
  <c r="CK17" i="1"/>
  <c r="CL17" i="1"/>
  <c r="CS17" i="1"/>
  <c r="CT17" i="1"/>
  <c r="CU17" i="1"/>
  <c r="CV17" i="1"/>
  <c r="CW17" i="1"/>
  <c r="P18" i="1"/>
  <c r="AB18" i="1"/>
  <c r="Q18" i="1"/>
  <c r="AC18" i="1"/>
  <c r="R18" i="1"/>
  <c r="AD18" i="1"/>
  <c r="S18" i="1"/>
  <c r="AE18" i="1"/>
  <c r="T18" i="1"/>
  <c r="AF18" i="1"/>
  <c r="U18" i="1"/>
  <c r="AG18" i="1"/>
  <c r="V18" i="1"/>
  <c r="AH18" i="1"/>
  <c r="W18" i="1"/>
  <c r="AI18" i="1"/>
  <c r="X18" i="1"/>
  <c r="AJ18" i="1"/>
  <c r="Y18" i="1"/>
  <c r="AK18" i="1"/>
  <c r="AL18" i="1"/>
  <c r="AM18" i="1"/>
  <c r="AX18" i="1"/>
  <c r="AO18" i="1"/>
  <c r="AZ18" i="1"/>
  <c r="BQ18" i="1"/>
  <c r="AN18" i="1"/>
  <c r="AY18" i="1"/>
  <c r="AP18" i="1"/>
  <c r="BA18" i="1"/>
  <c r="AQ18" i="1"/>
  <c r="BB18" i="1"/>
  <c r="AR18" i="1"/>
  <c r="BC18" i="1"/>
  <c r="AS18" i="1"/>
  <c r="BD18" i="1"/>
  <c r="AT18" i="1"/>
  <c r="BE18" i="1"/>
  <c r="AU18" i="1"/>
  <c r="BF18" i="1"/>
  <c r="AV18" i="1"/>
  <c r="BG18" i="1"/>
  <c r="BK18" i="1"/>
  <c r="BR18" i="1"/>
  <c r="BS18" i="1"/>
  <c r="BT18" i="1"/>
  <c r="BU18" i="1"/>
  <c r="BW18" i="1"/>
  <c r="BL18" i="1"/>
  <c r="BM18" i="1"/>
  <c r="BN18" i="1"/>
  <c r="BO18" i="1"/>
  <c r="BP18" i="1"/>
  <c r="BV18" i="1"/>
  <c r="BX18" i="1"/>
  <c r="CN18" i="1"/>
  <c r="BY18" i="1"/>
  <c r="CO18" i="1"/>
  <c r="CP18" i="1"/>
  <c r="CA18" i="1"/>
  <c r="CQ18" i="1"/>
  <c r="CH18" i="1"/>
  <c r="CR18" i="1"/>
  <c r="CE18" i="1"/>
  <c r="CG18" i="1"/>
  <c r="BZ18" i="1"/>
  <c r="CJ18" i="1"/>
  <c r="CD18" i="1"/>
  <c r="CF18" i="1"/>
  <c r="CC18" i="1"/>
  <c r="CK18" i="1"/>
  <c r="CL18" i="1"/>
  <c r="CS18" i="1"/>
  <c r="CT18" i="1"/>
  <c r="CU18" i="1"/>
  <c r="CV18" i="1"/>
  <c r="CW18" i="1"/>
  <c r="P19" i="1"/>
  <c r="AB19" i="1"/>
  <c r="Q19" i="1"/>
  <c r="AC19" i="1"/>
  <c r="R19" i="1"/>
  <c r="AD19" i="1"/>
  <c r="S19" i="1"/>
  <c r="AE19" i="1"/>
  <c r="T19" i="1"/>
  <c r="AF19" i="1"/>
  <c r="U19" i="1"/>
  <c r="AG19" i="1"/>
  <c r="V19" i="1"/>
  <c r="AH19" i="1"/>
  <c r="W19" i="1"/>
  <c r="AI19" i="1"/>
  <c r="X19" i="1"/>
  <c r="AJ19" i="1"/>
  <c r="Y19" i="1"/>
  <c r="AK19" i="1"/>
  <c r="AL19" i="1"/>
  <c r="AM19" i="1"/>
  <c r="AX19" i="1"/>
  <c r="AO19" i="1"/>
  <c r="AZ19" i="1"/>
  <c r="BQ19" i="1"/>
  <c r="AN19" i="1"/>
  <c r="AY19" i="1"/>
  <c r="AP19" i="1"/>
  <c r="BA19" i="1"/>
  <c r="AQ19" i="1"/>
  <c r="BB19" i="1"/>
  <c r="AR19" i="1"/>
  <c r="BC19" i="1"/>
  <c r="AS19" i="1"/>
  <c r="BD19" i="1"/>
  <c r="AT19" i="1"/>
  <c r="BE19" i="1"/>
  <c r="AU19" i="1"/>
  <c r="BF19" i="1"/>
  <c r="AV19" i="1"/>
  <c r="BG19" i="1"/>
  <c r="BK19" i="1"/>
  <c r="BR19" i="1"/>
  <c r="BS19" i="1"/>
  <c r="BT19" i="1"/>
  <c r="BU19" i="1"/>
  <c r="BW19" i="1"/>
  <c r="BL19" i="1"/>
  <c r="BM19" i="1"/>
  <c r="BN19" i="1"/>
  <c r="BO19" i="1"/>
  <c r="BP19" i="1"/>
  <c r="BV19" i="1"/>
  <c r="BX19" i="1"/>
  <c r="CN19" i="1"/>
  <c r="BY19" i="1"/>
  <c r="CO19" i="1"/>
  <c r="CP19" i="1"/>
  <c r="CA19" i="1"/>
  <c r="CQ19" i="1"/>
  <c r="CH19" i="1"/>
  <c r="CR19" i="1"/>
  <c r="CE19" i="1"/>
  <c r="CG19" i="1"/>
  <c r="BZ19" i="1"/>
  <c r="CJ19" i="1"/>
  <c r="CD19" i="1"/>
  <c r="CF19" i="1"/>
  <c r="CC19" i="1"/>
  <c r="CK19" i="1"/>
  <c r="CL19" i="1"/>
  <c r="CS19" i="1"/>
  <c r="CT19" i="1"/>
  <c r="CU19" i="1"/>
  <c r="CV19" i="1"/>
  <c r="CW19" i="1"/>
  <c r="P20" i="1"/>
  <c r="AB20" i="1"/>
  <c r="Q20" i="1"/>
  <c r="AC20" i="1"/>
  <c r="R20" i="1"/>
  <c r="AD20" i="1"/>
  <c r="S20" i="1"/>
  <c r="AE20" i="1"/>
  <c r="T20" i="1"/>
  <c r="AF20" i="1"/>
  <c r="U20" i="1"/>
  <c r="AG20" i="1"/>
  <c r="V20" i="1"/>
  <c r="AH20" i="1"/>
  <c r="W20" i="1"/>
  <c r="AI20" i="1"/>
  <c r="X20" i="1"/>
  <c r="AJ20" i="1"/>
  <c r="Y20" i="1"/>
  <c r="AK20" i="1"/>
  <c r="AL20" i="1"/>
  <c r="AM20" i="1"/>
  <c r="AX20" i="1"/>
  <c r="AO20" i="1"/>
  <c r="AZ20" i="1"/>
  <c r="BQ20" i="1"/>
  <c r="AN20" i="1"/>
  <c r="AY20" i="1"/>
  <c r="AP20" i="1"/>
  <c r="BA20" i="1"/>
  <c r="AQ20" i="1"/>
  <c r="BB20" i="1"/>
  <c r="AR20" i="1"/>
  <c r="BC20" i="1"/>
  <c r="AS20" i="1"/>
  <c r="BD20" i="1"/>
  <c r="AT20" i="1"/>
  <c r="BE20" i="1"/>
  <c r="AU20" i="1"/>
  <c r="BF20" i="1"/>
  <c r="AV20" i="1"/>
  <c r="BG20" i="1"/>
  <c r="BK20" i="1"/>
  <c r="BR20" i="1"/>
  <c r="BS20" i="1"/>
  <c r="BT20" i="1"/>
  <c r="BU20" i="1"/>
  <c r="BW20" i="1"/>
  <c r="BL20" i="1"/>
  <c r="BM20" i="1"/>
  <c r="BN20" i="1"/>
  <c r="BO20" i="1"/>
  <c r="BP20" i="1"/>
  <c r="BV20" i="1"/>
  <c r="BX20" i="1"/>
  <c r="CN20" i="1"/>
  <c r="BY20" i="1"/>
  <c r="CO20" i="1"/>
  <c r="CP20" i="1"/>
  <c r="CA20" i="1"/>
  <c r="CQ20" i="1"/>
  <c r="CH20" i="1"/>
  <c r="CR20" i="1"/>
  <c r="CE20" i="1"/>
  <c r="CG20" i="1"/>
  <c r="BZ20" i="1"/>
  <c r="CJ20" i="1"/>
  <c r="CD20" i="1"/>
  <c r="CF20" i="1"/>
  <c r="CC20" i="1"/>
  <c r="CK20" i="1"/>
  <c r="CL20" i="1"/>
  <c r="CS20" i="1"/>
  <c r="CT20" i="1"/>
  <c r="CU20" i="1"/>
  <c r="CV20" i="1"/>
  <c r="CW20" i="1"/>
  <c r="P21" i="1"/>
  <c r="AB21" i="1"/>
  <c r="Q21" i="1"/>
  <c r="AC21" i="1"/>
  <c r="R21" i="1"/>
  <c r="AD21" i="1"/>
  <c r="S21" i="1"/>
  <c r="AE21" i="1"/>
  <c r="T21" i="1"/>
  <c r="AF21" i="1"/>
  <c r="U21" i="1"/>
  <c r="AG21" i="1"/>
  <c r="V21" i="1"/>
  <c r="AH21" i="1"/>
  <c r="W21" i="1"/>
  <c r="AI21" i="1"/>
  <c r="X21" i="1"/>
  <c r="AJ21" i="1"/>
  <c r="Y21" i="1"/>
  <c r="AK21" i="1"/>
  <c r="AL21" i="1"/>
  <c r="AM21" i="1"/>
  <c r="AX21" i="1"/>
  <c r="AO21" i="1"/>
  <c r="AZ21" i="1"/>
  <c r="BQ21" i="1"/>
  <c r="AN21" i="1"/>
  <c r="AY21" i="1"/>
  <c r="AP21" i="1"/>
  <c r="BA21" i="1"/>
  <c r="AQ21" i="1"/>
  <c r="BB21" i="1"/>
  <c r="AR21" i="1"/>
  <c r="BC21" i="1"/>
  <c r="AS21" i="1"/>
  <c r="BD21" i="1"/>
  <c r="AT21" i="1"/>
  <c r="BE21" i="1"/>
  <c r="AU21" i="1"/>
  <c r="BF21" i="1"/>
  <c r="AV21" i="1"/>
  <c r="BG21" i="1"/>
  <c r="BK21" i="1"/>
  <c r="BR21" i="1"/>
  <c r="BS21" i="1"/>
  <c r="BT21" i="1"/>
  <c r="BU21" i="1"/>
  <c r="BW21" i="1"/>
  <c r="BL21" i="1"/>
  <c r="BM21" i="1"/>
  <c r="BN21" i="1"/>
  <c r="BO21" i="1"/>
  <c r="BP21" i="1"/>
  <c r="BV21" i="1"/>
  <c r="BX21" i="1"/>
  <c r="CN21" i="1"/>
  <c r="BY21" i="1"/>
  <c r="CO21" i="1"/>
  <c r="CP21" i="1"/>
  <c r="CA21" i="1"/>
  <c r="CQ21" i="1"/>
  <c r="CH21" i="1"/>
  <c r="CR21" i="1"/>
  <c r="CE21" i="1"/>
  <c r="CG21" i="1"/>
  <c r="BZ21" i="1"/>
  <c r="CJ21" i="1"/>
  <c r="CD21" i="1"/>
  <c r="CF21" i="1"/>
  <c r="CC21" i="1"/>
  <c r="CK21" i="1"/>
  <c r="CL21" i="1"/>
  <c r="CS21" i="1"/>
  <c r="CT21" i="1"/>
  <c r="CU21" i="1"/>
  <c r="CV21" i="1"/>
  <c r="CW21" i="1"/>
  <c r="P22" i="1"/>
  <c r="AB22" i="1"/>
  <c r="Q22" i="1"/>
  <c r="AC22" i="1"/>
  <c r="R22" i="1"/>
  <c r="AD22" i="1"/>
  <c r="S22" i="1"/>
  <c r="AE22" i="1"/>
  <c r="T22" i="1"/>
  <c r="AF22" i="1"/>
  <c r="U22" i="1"/>
  <c r="AG22" i="1"/>
  <c r="V22" i="1"/>
  <c r="AH22" i="1"/>
  <c r="W22" i="1"/>
  <c r="AI22" i="1"/>
  <c r="X22" i="1"/>
  <c r="AJ22" i="1"/>
  <c r="Y22" i="1"/>
  <c r="AK22" i="1"/>
  <c r="AL22" i="1"/>
  <c r="AM22" i="1"/>
  <c r="AX22" i="1"/>
  <c r="AO22" i="1"/>
  <c r="AZ22" i="1"/>
  <c r="BQ22" i="1"/>
  <c r="AN22" i="1"/>
  <c r="AY22" i="1"/>
  <c r="AP22" i="1"/>
  <c r="BA22" i="1"/>
  <c r="AQ22" i="1"/>
  <c r="BB22" i="1"/>
  <c r="AR22" i="1"/>
  <c r="BC22" i="1"/>
  <c r="AS22" i="1"/>
  <c r="BD22" i="1"/>
  <c r="AT22" i="1"/>
  <c r="BE22" i="1"/>
  <c r="AU22" i="1"/>
  <c r="BF22" i="1"/>
  <c r="AV22" i="1"/>
  <c r="BG22" i="1"/>
  <c r="BK22" i="1"/>
  <c r="BR22" i="1"/>
  <c r="BS22" i="1"/>
  <c r="BT22" i="1"/>
  <c r="BU22" i="1"/>
  <c r="BW22" i="1"/>
  <c r="BL22" i="1"/>
  <c r="BM22" i="1"/>
  <c r="BN22" i="1"/>
  <c r="BO22" i="1"/>
  <c r="BP22" i="1"/>
  <c r="BV22" i="1"/>
  <c r="BX22" i="1"/>
  <c r="CN22" i="1"/>
  <c r="BY22" i="1"/>
  <c r="CO22" i="1"/>
  <c r="CP22" i="1"/>
  <c r="CA22" i="1"/>
  <c r="CQ22" i="1"/>
  <c r="CH22" i="1"/>
  <c r="CR22" i="1"/>
  <c r="CE22" i="1"/>
  <c r="CG22" i="1"/>
  <c r="BZ22" i="1"/>
  <c r="CJ22" i="1"/>
  <c r="CD22" i="1"/>
  <c r="CF22" i="1"/>
  <c r="CC22" i="1"/>
  <c r="CK22" i="1"/>
  <c r="CL22" i="1"/>
  <c r="CS22" i="1"/>
  <c r="CT22" i="1"/>
  <c r="CU22" i="1"/>
  <c r="CV22" i="1"/>
  <c r="CW22" i="1"/>
  <c r="P23" i="1"/>
  <c r="AB23" i="1"/>
  <c r="Q23" i="1"/>
  <c r="AC23" i="1"/>
  <c r="R23" i="1"/>
  <c r="AD23" i="1"/>
  <c r="S23" i="1"/>
  <c r="AE23" i="1"/>
  <c r="T23" i="1"/>
  <c r="AF23" i="1"/>
  <c r="U23" i="1"/>
  <c r="AG23" i="1"/>
  <c r="V23" i="1"/>
  <c r="AH23" i="1"/>
  <c r="W23" i="1"/>
  <c r="AI23" i="1"/>
  <c r="X23" i="1"/>
  <c r="AJ23" i="1"/>
  <c r="Y23" i="1"/>
  <c r="AK23" i="1"/>
  <c r="AL23" i="1"/>
  <c r="AM23" i="1"/>
  <c r="AX23" i="1"/>
  <c r="AO23" i="1"/>
  <c r="AZ23" i="1"/>
  <c r="BQ23" i="1"/>
  <c r="AN23" i="1"/>
  <c r="AY23" i="1"/>
  <c r="AP23" i="1"/>
  <c r="BA23" i="1"/>
  <c r="AQ23" i="1"/>
  <c r="BB23" i="1"/>
  <c r="AR23" i="1"/>
  <c r="BC23" i="1"/>
  <c r="AS23" i="1"/>
  <c r="BD23" i="1"/>
  <c r="AT23" i="1"/>
  <c r="BE23" i="1"/>
  <c r="AU23" i="1"/>
  <c r="BF23" i="1"/>
  <c r="AV23" i="1"/>
  <c r="BG23" i="1"/>
  <c r="BK23" i="1"/>
  <c r="BR23" i="1"/>
  <c r="BS23" i="1"/>
  <c r="BT23" i="1"/>
  <c r="BU23" i="1"/>
  <c r="BW23" i="1"/>
  <c r="BL23" i="1"/>
  <c r="BM23" i="1"/>
  <c r="BN23" i="1"/>
  <c r="BO23" i="1"/>
  <c r="BP23" i="1"/>
  <c r="BV23" i="1"/>
  <c r="BX23" i="1"/>
  <c r="CN23" i="1"/>
  <c r="BY23" i="1"/>
  <c r="CO23" i="1"/>
  <c r="CP23" i="1"/>
  <c r="CA23" i="1"/>
  <c r="CQ23" i="1"/>
  <c r="CH23" i="1"/>
  <c r="CR23" i="1"/>
  <c r="CE23" i="1"/>
  <c r="CG23" i="1"/>
  <c r="BZ23" i="1"/>
  <c r="CJ23" i="1"/>
  <c r="CD23" i="1"/>
  <c r="CF23" i="1"/>
  <c r="CC23" i="1"/>
  <c r="CK23" i="1"/>
  <c r="CL23" i="1"/>
  <c r="CS23" i="1"/>
  <c r="CT23" i="1"/>
  <c r="CU23" i="1"/>
  <c r="CV23" i="1"/>
  <c r="CW23" i="1"/>
  <c r="P24" i="1"/>
  <c r="AB24" i="1"/>
  <c r="Q24" i="1"/>
  <c r="AC24" i="1"/>
  <c r="R24" i="1"/>
  <c r="AD24" i="1"/>
  <c r="S24" i="1"/>
  <c r="AE24" i="1"/>
  <c r="T24" i="1"/>
  <c r="AF24" i="1"/>
  <c r="U24" i="1"/>
  <c r="AG24" i="1"/>
  <c r="V24" i="1"/>
  <c r="AH24" i="1"/>
  <c r="W24" i="1"/>
  <c r="AI24" i="1"/>
  <c r="X24" i="1"/>
  <c r="AJ24" i="1"/>
  <c r="Y24" i="1"/>
  <c r="AK24" i="1"/>
  <c r="AL24" i="1"/>
  <c r="AM24" i="1"/>
  <c r="AX24" i="1"/>
  <c r="AO24" i="1"/>
  <c r="AZ24" i="1"/>
  <c r="BQ24" i="1"/>
  <c r="AN24" i="1"/>
  <c r="AY24" i="1"/>
  <c r="AP24" i="1"/>
  <c r="BA24" i="1"/>
  <c r="AQ24" i="1"/>
  <c r="BB24" i="1"/>
  <c r="AR24" i="1"/>
  <c r="BC24" i="1"/>
  <c r="AS24" i="1"/>
  <c r="BD24" i="1"/>
  <c r="AT24" i="1"/>
  <c r="BE24" i="1"/>
  <c r="AU24" i="1"/>
  <c r="BF24" i="1"/>
  <c r="AV24" i="1"/>
  <c r="BG24" i="1"/>
  <c r="BK24" i="1"/>
  <c r="BR24" i="1"/>
  <c r="BS24" i="1"/>
  <c r="BT24" i="1"/>
  <c r="BU24" i="1"/>
  <c r="BW24" i="1"/>
  <c r="BL24" i="1"/>
  <c r="BM24" i="1"/>
  <c r="BN24" i="1"/>
  <c r="BO24" i="1"/>
  <c r="BP24" i="1"/>
  <c r="BV24" i="1"/>
  <c r="BX24" i="1"/>
  <c r="CN24" i="1"/>
  <c r="BY24" i="1"/>
  <c r="CO24" i="1"/>
  <c r="CP24" i="1"/>
  <c r="CA24" i="1"/>
  <c r="CQ24" i="1"/>
  <c r="CH24" i="1"/>
  <c r="CR24" i="1"/>
  <c r="CE24" i="1"/>
  <c r="CG24" i="1"/>
  <c r="BZ24" i="1"/>
  <c r="CJ24" i="1"/>
  <c r="CD24" i="1"/>
  <c r="CF24" i="1"/>
  <c r="CC24" i="1"/>
  <c r="CK24" i="1"/>
  <c r="CL24" i="1"/>
  <c r="CS24" i="1"/>
  <c r="CT24" i="1"/>
  <c r="CU24" i="1"/>
  <c r="CV24" i="1"/>
  <c r="CW24" i="1"/>
  <c r="P25" i="1"/>
  <c r="AB25" i="1"/>
  <c r="Q25" i="1"/>
  <c r="AC25" i="1"/>
  <c r="R25" i="1"/>
  <c r="AD25" i="1"/>
  <c r="S25" i="1"/>
  <c r="AE25" i="1"/>
  <c r="T25" i="1"/>
  <c r="AF25" i="1"/>
  <c r="U25" i="1"/>
  <c r="AG25" i="1"/>
  <c r="V25" i="1"/>
  <c r="AH25" i="1"/>
  <c r="W25" i="1"/>
  <c r="AI25" i="1"/>
  <c r="X25" i="1"/>
  <c r="AJ25" i="1"/>
  <c r="Y25" i="1"/>
  <c r="AK25" i="1"/>
  <c r="AL25" i="1"/>
  <c r="AM25" i="1"/>
  <c r="AX25" i="1"/>
  <c r="AO25" i="1"/>
  <c r="AZ25" i="1"/>
  <c r="BQ25" i="1"/>
  <c r="AN25" i="1"/>
  <c r="AY25" i="1"/>
  <c r="AP25" i="1"/>
  <c r="BA25" i="1"/>
  <c r="AQ25" i="1"/>
  <c r="BB25" i="1"/>
  <c r="AR25" i="1"/>
  <c r="BC25" i="1"/>
  <c r="AS25" i="1"/>
  <c r="BD25" i="1"/>
  <c r="AT25" i="1"/>
  <c r="BE25" i="1"/>
  <c r="AU25" i="1"/>
  <c r="BF25" i="1"/>
  <c r="AV25" i="1"/>
  <c r="BG25" i="1"/>
  <c r="BK25" i="1"/>
  <c r="BR25" i="1"/>
  <c r="BS25" i="1"/>
  <c r="BT25" i="1"/>
  <c r="BU25" i="1"/>
  <c r="BW25" i="1"/>
  <c r="BL25" i="1"/>
  <c r="BM25" i="1"/>
  <c r="BN25" i="1"/>
  <c r="BO25" i="1"/>
  <c r="BP25" i="1"/>
  <c r="BV25" i="1"/>
  <c r="BX25" i="1"/>
  <c r="CN25" i="1"/>
  <c r="BY25" i="1"/>
  <c r="CO25" i="1"/>
  <c r="CP25" i="1"/>
  <c r="CA25" i="1"/>
  <c r="CQ25" i="1"/>
  <c r="CH25" i="1"/>
  <c r="CR25" i="1"/>
  <c r="CE25" i="1"/>
  <c r="CG25" i="1"/>
  <c r="BZ25" i="1"/>
  <c r="CJ25" i="1"/>
  <c r="CD25" i="1"/>
  <c r="CF25" i="1"/>
  <c r="CC25" i="1"/>
  <c r="CK25" i="1"/>
  <c r="CL25" i="1"/>
  <c r="CS25" i="1"/>
  <c r="CT25" i="1"/>
  <c r="CU25" i="1"/>
  <c r="CV25" i="1"/>
  <c r="CW25" i="1"/>
  <c r="P26" i="1"/>
  <c r="AB26" i="1"/>
  <c r="Q26" i="1"/>
  <c r="AC26" i="1"/>
  <c r="R26" i="1"/>
  <c r="AD26" i="1"/>
  <c r="S26" i="1"/>
  <c r="AE26" i="1"/>
  <c r="T26" i="1"/>
  <c r="AF26" i="1"/>
  <c r="U26" i="1"/>
  <c r="AG26" i="1"/>
  <c r="V26" i="1"/>
  <c r="AH26" i="1"/>
  <c r="W26" i="1"/>
  <c r="AI26" i="1"/>
  <c r="X26" i="1"/>
  <c r="AJ26" i="1"/>
  <c r="Y26" i="1"/>
  <c r="AK26" i="1"/>
  <c r="AL26" i="1"/>
  <c r="AM26" i="1"/>
  <c r="AX26" i="1"/>
  <c r="AO26" i="1"/>
  <c r="AZ26" i="1"/>
  <c r="BQ26" i="1"/>
  <c r="AN26" i="1"/>
  <c r="AY26" i="1"/>
  <c r="AP26" i="1"/>
  <c r="BA26" i="1"/>
  <c r="AQ26" i="1"/>
  <c r="BB26" i="1"/>
  <c r="AR26" i="1"/>
  <c r="BC26" i="1"/>
  <c r="AS26" i="1"/>
  <c r="BD26" i="1"/>
  <c r="AT26" i="1"/>
  <c r="BE26" i="1"/>
  <c r="AU26" i="1"/>
  <c r="BF26" i="1"/>
  <c r="AV26" i="1"/>
  <c r="BG26" i="1"/>
  <c r="BK26" i="1"/>
  <c r="BR26" i="1"/>
  <c r="BS26" i="1"/>
  <c r="BT26" i="1"/>
  <c r="BU26" i="1"/>
  <c r="BW26" i="1"/>
  <c r="BL26" i="1"/>
  <c r="BM26" i="1"/>
  <c r="BN26" i="1"/>
  <c r="BO26" i="1"/>
  <c r="BP26" i="1"/>
  <c r="BV26" i="1"/>
  <c r="BX26" i="1"/>
  <c r="CN26" i="1"/>
  <c r="BY26" i="1"/>
  <c r="CO26" i="1"/>
  <c r="CP26" i="1"/>
  <c r="CA26" i="1"/>
  <c r="CQ26" i="1"/>
  <c r="CH26" i="1"/>
  <c r="CR26" i="1"/>
  <c r="CE26" i="1"/>
  <c r="CG26" i="1"/>
  <c r="BZ26" i="1"/>
  <c r="CJ26" i="1"/>
  <c r="CD26" i="1"/>
  <c r="CF26" i="1"/>
  <c r="CC26" i="1"/>
  <c r="CK26" i="1"/>
  <c r="CL26" i="1"/>
  <c r="CS26" i="1"/>
  <c r="CT26" i="1"/>
  <c r="CU26" i="1"/>
  <c r="CV26" i="1"/>
  <c r="CW26" i="1"/>
  <c r="P27" i="1"/>
  <c r="AB27" i="1"/>
  <c r="Q27" i="1"/>
  <c r="AC27" i="1"/>
  <c r="R27" i="1"/>
  <c r="AD27" i="1"/>
  <c r="S27" i="1"/>
  <c r="AE27" i="1"/>
  <c r="T27" i="1"/>
  <c r="AF27" i="1"/>
  <c r="U27" i="1"/>
  <c r="AG27" i="1"/>
  <c r="V27" i="1"/>
  <c r="AH27" i="1"/>
  <c r="W27" i="1"/>
  <c r="AI27" i="1"/>
  <c r="X27" i="1"/>
  <c r="AJ27" i="1"/>
  <c r="Y27" i="1"/>
  <c r="AK27" i="1"/>
  <c r="AL27" i="1"/>
  <c r="AM27" i="1"/>
  <c r="AX27" i="1"/>
  <c r="AO27" i="1"/>
  <c r="AZ27" i="1"/>
  <c r="BQ27" i="1"/>
  <c r="AN27" i="1"/>
  <c r="AY27" i="1"/>
  <c r="AP27" i="1"/>
  <c r="BA27" i="1"/>
  <c r="AQ27" i="1"/>
  <c r="BB27" i="1"/>
  <c r="AR27" i="1"/>
  <c r="BC27" i="1"/>
  <c r="AS27" i="1"/>
  <c r="BD27" i="1"/>
  <c r="AT27" i="1"/>
  <c r="BE27" i="1"/>
  <c r="AU27" i="1"/>
  <c r="BF27" i="1"/>
  <c r="AV27" i="1"/>
  <c r="BG27" i="1"/>
  <c r="BK27" i="1"/>
  <c r="BR27" i="1"/>
  <c r="BS27" i="1"/>
  <c r="BT27" i="1"/>
  <c r="BU27" i="1"/>
  <c r="BW27" i="1"/>
  <c r="BL27" i="1"/>
  <c r="BM27" i="1"/>
  <c r="BN27" i="1"/>
  <c r="BO27" i="1"/>
  <c r="BP27" i="1"/>
  <c r="BV27" i="1"/>
  <c r="BX27" i="1"/>
  <c r="CN27" i="1"/>
  <c r="BY27" i="1"/>
  <c r="CO27" i="1"/>
  <c r="CP27" i="1"/>
  <c r="CA27" i="1"/>
  <c r="CQ27" i="1"/>
  <c r="CH27" i="1"/>
  <c r="CR27" i="1"/>
  <c r="CE27" i="1"/>
  <c r="CG27" i="1"/>
  <c r="BZ27" i="1"/>
  <c r="CJ27" i="1"/>
  <c r="CD27" i="1"/>
  <c r="CF27" i="1"/>
  <c r="CC27" i="1"/>
  <c r="CK27" i="1"/>
  <c r="CL27" i="1"/>
  <c r="CS27" i="1"/>
  <c r="CT27" i="1"/>
  <c r="CU27" i="1"/>
  <c r="CV27" i="1"/>
  <c r="CW27" i="1"/>
  <c r="P28" i="1"/>
  <c r="AB28" i="1"/>
  <c r="Q28" i="1"/>
  <c r="AC28" i="1"/>
  <c r="R28" i="1"/>
  <c r="AD28" i="1"/>
  <c r="S28" i="1"/>
  <c r="AE28" i="1"/>
  <c r="T28" i="1"/>
  <c r="AF28" i="1"/>
  <c r="U28" i="1"/>
  <c r="AG28" i="1"/>
  <c r="V28" i="1"/>
  <c r="AH28" i="1"/>
  <c r="W28" i="1"/>
  <c r="AI28" i="1"/>
  <c r="X28" i="1"/>
  <c r="AJ28" i="1"/>
  <c r="Y28" i="1"/>
  <c r="AK28" i="1"/>
  <c r="AL28" i="1"/>
  <c r="AM28" i="1"/>
  <c r="AX28" i="1"/>
  <c r="AO28" i="1"/>
  <c r="AZ28" i="1"/>
  <c r="BQ28" i="1"/>
  <c r="AN28" i="1"/>
  <c r="AY28" i="1"/>
  <c r="AP28" i="1"/>
  <c r="BA28" i="1"/>
  <c r="AQ28" i="1"/>
  <c r="BB28" i="1"/>
  <c r="AR28" i="1"/>
  <c r="BC28" i="1"/>
  <c r="AS28" i="1"/>
  <c r="BD28" i="1"/>
  <c r="AT28" i="1"/>
  <c r="BE28" i="1"/>
  <c r="AU28" i="1"/>
  <c r="BF28" i="1"/>
  <c r="AV28" i="1"/>
  <c r="BG28" i="1"/>
  <c r="BK28" i="1"/>
  <c r="BR28" i="1"/>
  <c r="BS28" i="1"/>
  <c r="BT28" i="1"/>
  <c r="BU28" i="1"/>
  <c r="BW28" i="1"/>
  <c r="BL28" i="1"/>
  <c r="BM28" i="1"/>
  <c r="BN28" i="1"/>
  <c r="BO28" i="1"/>
  <c r="BP28" i="1"/>
  <c r="BV28" i="1"/>
  <c r="BX28" i="1"/>
  <c r="CN28" i="1"/>
  <c r="BY28" i="1"/>
  <c r="CO28" i="1"/>
  <c r="CP28" i="1"/>
  <c r="CA28" i="1"/>
  <c r="CQ28" i="1"/>
  <c r="CH28" i="1"/>
  <c r="CR28" i="1"/>
  <c r="CE28" i="1"/>
  <c r="CG28" i="1"/>
  <c r="BZ28" i="1"/>
  <c r="CJ28" i="1"/>
  <c r="CD28" i="1"/>
  <c r="CF28" i="1"/>
  <c r="CC28" i="1"/>
  <c r="CK28" i="1"/>
  <c r="CL28" i="1"/>
  <c r="CS28" i="1"/>
  <c r="CT28" i="1"/>
  <c r="CU28" i="1"/>
  <c r="CV28" i="1"/>
  <c r="CW28" i="1"/>
  <c r="P29" i="1"/>
  <c r="AB29" i="1"/>
  <c r="Q29" i="1"/>
  <c r="AC29" i="1"/>
  <c r="R29" i="1"/>
  <c r="AD29" i="1"/>
  <c r="S29" i="1"/>
  <c r="AE29" i="1"/>
  <c r="T29" i="1"/>
  <c r="AF29" i="1"/>
  <c r="U29" i="1"/>
  <c r="AG29" i="1"/>
  <c r="V29" i="1"/>
  <c r="AH29" i="1"/>
  <c r="W29" i="1"/>
  <c r="AI29" i="1"/>
  <c r="X29" i="1"/>
  <c r="AJ29" i="1"/>
  <c r="Y29" i="1"/>
  <c r="AK29" i="1"/>
  <c r="AL29" i="1"/>
  <c r="AM29" i="1"/>
  <c r="AX29" i="1"/>
  <c r="AO29" i="1"/>
  <c r="AZ29" i="1"/>
  <c r="BQ29" i="1"/>
  <c r="AN29" i="1"/>
  <c r="AY29" i="1"/>
  <c r="AP29" i="1"/>
  <c r="BA29" i="1"/>
  <c r="AQ29" i="1"/>
  <c r="BB29" i="1"/>
  <c r="AR29" i="1"/>
  <c r="BC29" i="1"/>
  <c r="AS29" i="1"/>
  <c r="BD29" i="1"/>
  <c r="AT29" i="1"/>
  <c r="BE29" i="1"/>
  <c r="AU29" i="1"/>
  <c r="BF29" i="1"/>
  <c r="AV29" i="1"/>
  <c r="BG29" i="1"/>
  <c r="BK29" i="1"/>
  <c r="BR29" i="1"/>
  <c r="BS29" i="1"/>
  <c r="BT29" i="1"/>
  <c r="BU29" i="1"/>
  <c r="BW29" i="1"/>
  <c r="BL29" i="1"/>
  <c r="BM29" i="1"/>
  <c r="BN29" i="1"/>
  <c r="BO29" i="1"/>
  <c r="BP29" i="1"/>
  <c r="BV29" i="1"/>
  <c r="BX29" i="1"/>
  <c r="CN29" i="1"/>
  <c r="BY29" i="1"/>
  <c r="CO29" i="1"/>
  <c r="CP29" i="1"/>
  <c r="CA29" i="1"/>
  <c r="CQ29" i="1"/>
  <c r="CH29" i="1"/>
  <c r="CR29" i="1"/>
  <c r="CE29" i="1"/>
  <c r="CG29" i="1"/>
  <c r="BZ29" i="1"/>
  <c r="CJ29" i="1"/>
  <c r="CD29" i="1"/>
  <c r="CF29" i="1"/>
  <c r="CC29" i="1"/>
  <c r="CK29" i="1"/>
  <c r="CL29" i="1"/>
  <c r="CS29" i="1"/>
  <c r="CT29" i="1"/>
  <c r="CU29" i="1"/>
  <c r="CV29" i="1"/>
  <c r="CW29" i="1"/>
  <c r="P30" i="1"/>
  <c r="AB30" i="1"/>
  <c r="Q30" i="1"/>
  <c r="AC30" i="1"/>
  <c r="R30" i="1"/>
  <c r="AD30" i="1"/>
  <c r="S30" i="1"/>
  <c r="AE30" i="1"/>
  <c r="T30" i="1"/>
  <c r="AF30" i="1"/>
  <c r="U30" i="1"/>
  <c r="AG30" i="1"/>
  <c r="V30" i="1"/>
  <c r="AH30" i="1"/>
  <c r="W30" i="1"/>
  <c r="AI30" i="1"/>
  <c r="X30" i="1"/>
  <c r="AJ30" i="1"/>
  <c r="Y30" i="1"/>
  <c r="AK30" i="1"/>
  <c r="AL30" i="1"/>
  <c r="AM30" i="1"/>
  <c r="AX30" i="1"/>
  <c r="AO30" i="1"/>
  <c r="AZ30" i="1"/>
  <c r="BQ30" i="1"/>
  <c r="AN30" i="1"/>
  <c r="AY30" i="1"/>
  <c r="AP30" i="1"/>
  <c r="BA30" i="1"/>
  <c r="AQ30" i="1"/>
  <c r="BB30" i="1"/>
  <c r="AR30" i="1"/>
  <c r="BC30" i="1"/>
  <c r="AS30" i="1"/>
  <c r="BD30" i="1"/>
  <c r="AT30" i="1"/>
  <c r="BE30" i="1"/>
  <c r="AU30" i="1"/>
  <c r="BF30" i="1"/>
  <c r="AV30" i="1"/>
  <c r="BG30" i="1"/>
  <c r="BK30" i="1"/>
  <c r="BR30" i="1"/>
  <c r="BS30" i="1"/>
  <c r="BT30" i="1"/>
  <c r="BU30" i="1"/>
  <c r="BW30" i="1"/>
  <c r="BL30" i="1"/>
  <c r="BM30" i="1"/>
  <c r="BN30" i="1"/>
  <c r="BO30" i="1"/>
  <c r="BP30" i="1"/>
  <c r="BV30" i="1"/>
  <c r="BX30" i="1"/>
  <c r="CN30" i="1"/>
  <c r="BY30" i="1"/>
  <c r="CO30" i="1"/>
  <c r="CP30" i="1"/>
  <c r="CA30" i="1"/>
  <c r="CQ30" i="1"/>
  <c r="CH30" i="1"/>
  <c r="CR30" i="1"/>
  <c r="CE30" i="1"/>
  <c r="CG30" i="1"/>
  <c r="BZ30" i="1"/>
  <c r="CJ30" i="1"/>
  <c r="CD30" i="1"/>
  <c r="CF30" i="1"/>
  <c r="CC30" i="1"/>
  <c r="CK30" i="1"/>
  <c r="CL30" i="1"/>
  <c r="CS30" i="1"/>
  <c r="CT30" i="1"/>
  <c r="CU30" i="1"/>
  <c r="CV30" i="1"/>
  <c r="CW30" i="1"/>
  <c r="P31" i="1"/>
  <c r="AB31" i="1"/>
  <c r="Q31" i="1"/>
  <c r="AC31" i="1"/>
  <c r="R31" i="1"/>
  <c r="AD31" i="1"/>
  <c r="S31" i="1"/>
  <c r="AE31" i="1"/>
  <c r="T31" i="1"/>
  <c r="AF31" i="1"/>
  <c r="U31" i="1"/>
  <c r="AG31" i="1"/>
  <c r="V31" i="1"/>
  <c r="AH31" i="1"/>
  <c r="W31" i="1"/>
  <c r="AI31" i="1"/>
  <c r="X31" i="1"/>
  <c r="AJ31" i="1"/>
  <c r="Y31" i="1"/>
  <c r="AK31" i="1"/>
  <c r="AL31" i="1"/>
  <c r="AM31" i="1"/>
  <c r="AX31" i="1"/>
  <c r="AO31" i="1"/>
  <c r="AZ31" i="1"/>
  <c r="BQ31" i="1"/>
  <c r="AN31" i="1"/>
  <c r="AY31" i="1"/>
  <c r="AP31" i="1"/>
  <c r="BA31" i="1"/>
  <c r="AQ31" i="1"/>
  <c r="BB31" i="1"/>
  <c r="AR31" i="1"/>
  <c r="BC31" i="1"/>
  <c r="AS31" i="1"/>
  <c r="BD31" i="1"/>
  <c r="AT31" i="1"/>
  <c r="BE31" i="1"/>
  <c r="AU31" i="1"/>
  <c r="BF31" i="1"/>
  <c r="AV31" i="1"/>
  <c r="BG31" i="1"/>
  <c r="BK31" i="1"/>
  <c r="BR31" i="1"/>
  <c r="BS31" i="1"/>
  <c r="BT31" i="1"/>
  <c r="BU31" i="1"/>
  <c r="BW31" i="1"/>
  <c r="BL31" i="1"/>
  <c r="BM31" i="1"/>
  <c r="BN31" i="1"/>
  <c r="BO31" i="1"/>
  <c r="BP31" i="1"/>
  <c r="BV31" i="1"/>
  <c r="BX31" i="1"/>
  <c r="CN31" i="1"/>
  <c r="BY31" i="1"/>
  <c r="CO31" i="1"/>
  <c r="CP31" i="1"/>
  <c r="CA31" i="1"/>
  <c r="CQ31" i="1"/>
  <c r="CH31" i="1"/>
  <c r="CR31" i="1"/>
  <c r="CE31" i="1"/>
  <c r="CG31" i="1"/>
  <c r="BZ31" i="1"/>
  <c r="CJ31" i="1"/>
  <c r="CD31" i="1"/>
  <c r="CF31" i="1"/>
  <c r="CC31" i="1"/>
  <c r="CK31" i="1"/>
  <c r="CL31" i="1"/>
  <c r="CS31" i="1"/>
  <c r="CT31" i="1"/>
  <c r="CU31" i="1"/>
  <c r="CV31" i="1"/>
  <c r="CW31" i="1"/>
  <c r="P32" i="1"/>
  <c r="AB32" i="1"/>
  <c r="Q32" i="1"/>
  <c r="AC32" i="1"/>
  <c r="R32" i="1"/>
  <c r="AD32" i="1"/>
  <c r="S32" i="1"/>
  <c r="AE32" i="1"/>
  <c r="T32" i="1"/>
  <c r="AF32" i="1"/>
  <c r="U32" i="1"/>
  <c r="AG32" i="1"/>
  <c r="V32" i="1"/>
  <c r="AH32" i="1"/>
  <c r="W32" i="1"/>
  <c r="AI32" i="1"/>
  <c r="X32" i="1"/>
  <c r="AJ32" i="1"/>
  <c r="Y32" i="1"/>
  <c r="AK32" i="1"/>
  <c r="AL32" i="1"/>
  <c r="AM32" i="1"/>
  <c r="AX32" i="1"/>
  <c r="AO32" i="1"/>
  <c r="AZ32" i="1"/>
  <c r="BQ32" i="1"/>
  <c r="AN32" i="1"/>
  <c r="AY32" i="1"/>
  <c r="AP32" i="1"/>
  <c r="BA32" i="1"/>
  <c r="AQ32" i="1"/>
  <c r="BB32" i="1"/>
  <c r="AR32" i="1"/>
  <c r="BC32" i="1"/>
  <c r="AS32" i="1"/>
  <c r="BD32" i="1"/>
  <c r="AT32" i="1"/>
  <c r="BE32" i="1"/>
  <c r="AU32" i="1"/>
  <c r="BF32" i="1"/>
  <c r="AV32" i="1"/>
  <c r="BG32" i="1"/>
  <c r="BK32" i="1"/>
  <c r="BR32" i="1"/>
  <c r="BS32" i="1"/>
  <c r="BT32" i="1"/>
  <c r="BU32" i="1"/>
  <c r="BW32" i="1"/>
  <c r="BL32" i="1"/>
  <c r="BM32" i="1"/>
  <c r="BN32" i="1"/>
  <c r="BO32" i="1"/>
  <c r="BP32" i="1"/>
  <c r="BV32" i="1"/>
  <c r="BX32" i="1"/>
  <c r="CN32" i="1"/>
  <c r="BY32" i="1"/>
  <c r="CO32" i="1"/>
  <c r="CP32" i="1"/>
  <c r="CA32" i="1"/>
  <c r="CQ32" i="1"/>
  <c r="CH32" i="1"/>
  <c r="CR32" i="1"/>
  <c r="CE32" i="1"/>
  <c r="CG32" i="1"/>
  <c r="BZ32" i="1"/>
  <c r="CJ32" i="1"/>
  <c r="CD32" i="1"/>
  <c r="CF32" i="1"/>
  <c r="CC32" i="1"/>
  <c r="CK32" i="1"/>
  <c r="CL32" i="1"/>
  <c r="CS32" i="1"/>
  <c r="CT32" i="1"/>
  <c r="CU32" i="1"/>
  <c r="CV32" i="1"/>
  <c r="CW32" i="1"/>
  <c r="P33" i="1"/>
  <c r="AB33" i="1"/>
  <c r="Q33" i="1"/>
  <c r="AC33" i="1"/>
  <c r="R33" i="1"/>
  <c r="AD33" i="1"/>
  <c r="S33" i="1"/>
  <c r="AE33" i="1"/>
  <c r="T33" i="1"/>
  <c r="AF33" i="1"/>
  <c r="U33" i="1"/>
  <c r="AG33" i="1"/>
  <c r="V33" i="1"/>
  <c r="AH33" i="1"/>
  <c r="W33" i="1"/>
  <c r="AI33" i="1"/>
  <c r="X33" i="1"/>
  <c r="AJ33" i="1"/>
  <c r="Y33" i="1"/>
  <c r="AK33" i="1"/>
  <c r="AL33" i="1"/>
  <c r="AM33" i="1"/>
  <c r="AX33" i="1"/>
  <c r="AO33" i="1"/>
  <c r="AZ33" i="1"/>
  <c r="BQ33" i="1"/>
  <c r="AN33" i="1"/>
  <c r="AY33" i="1"/>
  <c r="AP33" i="1"/>
  <c r="BA33" i="1"/>
  <c r="AQ33" i="1"/>
  <c r="BB33" i="1"/>
  <c r="AR33" i="1"/>
  <c r="BC33" i="1"/>
  <c r="AS33" i="1"/>
  <c r="BD33" i="1"/>
  <c r="AT33" i="1"/>
  <c r="BE33" i="1"/>
  <c r="AU33" i="1"/>
  <c r="BF33" i="1"/>
  <c r="AV33" i="1"/>
  <c r="BG33" i="1"/>
  <c r="BK33" i="1"/>
  <c r="BR33" i="1"/>
  <c r="BS33" i="1"/>
  <c r="BT33" i="1"/>
  <c r="BU33" i="1"/>
  <c r="BW33" i="1"/>
  <c r="BL33" i="1"/>
  <c r="BM33" i="1"/>
  <c r="BN33" i="1"/>
  <c r="BO33" i="1"/>
  <c r="BP33" i="1"/>
  <c r="BV33" i="1"/>
  <c r="BX33" i="1"/>
  <c r="CN33" i="1"/>
  <c r="BY33" i="1"/>
  <c r="CO33" i="1"/>
  <c r="CP33" i="1"/>
  <c r="CA33" i="1"/>
  <c r="CQ33" i="1"/>
  <c r="CH33" i="1"/>
  <c r="CR33" i="1"/>
  <c r="CE33" i="1"/>
  <c r="CG33" i="1"/>
  <c r="BZ33" i="1"/>
  <c r="CJ33" i="1"/>
  <c r="CD33" i="1"/>
  <c r="CF33" i="1"/>
  <c r="CC33" i="1"/>
  <c r="CK33" i="1"/>
  <c r="CL33" i="1"/>
  <c r="CS33" i="1"/>
  <c r="CT33" i="1"/>
  <c r="CU33" i="1"/>
  <c r="CV33" i="1"/>
  <c r="CW33" i="1"/>
  <c r="P34" i="1"/>
  <c r="AB34" i="1"/>
  <c r="Q34" i="1"/>
  <c r="AC34" i="1"/>
  <c r="R34" i="1"/>
  <c r="AD34" i="1"/>
  <c r="S34" i="1"/>
  <c r="AE34" i="1"/>
  <c r="T34" i="1"/>
  <c r="AF34" i="1"/>
  <c r="U34" i="1"/>
  <c r="AG34" i="1"/>
  <c r="V34" i="1"/>
  <c r="AH34" i="1"/>
  <c r="W34" i="1"/>
  <c r="AI34" i="1"/>
  <c r="X34" i="1"/>
  <c r="AJ34" i="1"/>
  <c r="Y34" i="1"/>
  <c r="AK34" i="1"/>
  <c r="AL34" i="1"/>
  <c r="AM34" i="1"/>
  <c r="AX34" i="1"/>
  <c r="AO34" i="1"/>
  <c r="AZ34" i="1"/>
  <c r="BQ34" i="1"/>
  <c r="AN34" i="1"/>
  <c r="AY34" i="1"/>
  <c r="AP34" i="1"/>
  <c r="BA34" i="1"/>
  <c r="AQ34" i="1"/>
  <c r="BB34" i="1"/>
  <c r="AR34" i="1"/>
  <c r="BC34" i="1"/>
  <c r="AS34" i="1"/>
  <c r="BD34" i="1"/>
  <c r="AT34" i="1"/>
  <c r="BE34" i="1"/>
  <c r="AU34" i="1"/>
  <c r="BF34" i="1"/>
  <c r="AV34" i="1"/>
  <c r="BG34" i="1"/>
  <c r="BK34" i="1"/>
  <c r="BR34" i="1"/>
  <c r="BS34" i="1"/>
  <c r="BT34" i="1"/>
  <c r="BU34" i="1"/>
  <c r="BW34" i="1"/>
  <c r="BL34" i="1"/>
  <c r="BM34" i="1"/>
  <c r="BN34" i="1"/>
  <c r="BO34" i="1"/>
  <c r="BP34" i="1"/>
  <c r="BV34" i="1"/>
  <c r="BX34" i="1"/>
  <c r="CN34" i="1"/>
  <c r="BY34" i="1"/>
  <c r="CO34" i="1"/>
  <c r="CP34" i="1"/>
  <c r="CA34" i="1"/>
  <c r="CQ34" i="1"/>
  <c r="CH34" i="1"/>
  <c r="CR34" i="1"/>
  <c r="CE34" i="1"/>
  <c r="CG34" i="1"/>
  <c r="BZ34" i="1"/>
  <c r="CJ34" i="1"/>
  <c r="CD34" i="1"/>
  <c r="CF34" i="1"/>
  <c r="CC34" i="1"/>
  <c r="CK34" i="1"/>
  <c r="CL34" i="1"/>
  <c r="CS34" i="1"/>
  <c r="CT34" i="1"/>
  <c r="CU34" i="1"/>
  <c r="CV34" i="1"/>
  <c r="CW34" i="1"/>
  <c r="P35" i="1"/>
  <c r="AB35" i="1"/>
  <c r="Q35" i="1"/>
  <c r="AC35" i="1"/>
  <c r="R35" i="1"/>
  <c r="AD35" i="1"/>
  <c r="S35" i="1"/>
  <c r="AE35" i="1"/>
  <c r="T35" i="1"/>
  <c r="AF35" i="1"/>
  <c r="U35" i="1"/>
  <c r="AG35" i="1"/>
  <c r="V35" i="1"/>
  <c r="AH35" i="1"/>
  <c r="W35" i="1"/>
  <c r="AI35" i="1"/>
  <c r="X35" i="1"/>
  <c r="AJ35" i="1"/>
  <c r="Y35" i="1"/>
  <c r="AK35" i="1"/>
  <c r="AL35" i="1"/>
  <c r="AM35" i="1"/>
  <c r="AX35" i="1"/>
  <c r="AO35" i="1"/>
  <c r="AZ35" i="1"/>
  <c r="BQ35" i="1"/>
  <c r="AN35" i="1"/>
  <c r="AY35" i="1"/>
  <c r="AP35" i="1"/>
  <c r="BA35" i="1"/>
  <c r="AQ35" i="1"/>
  <c r="BB35" i="1"/>
  <c r="AR35" i="1"/>
  <c r="BC35" i="1"/>
  <c r="AS35" i="1"/>
  <c r="BD35" i="1"/>
  <c r="AT35" i="1"/>
  <c r="BE35" i="1"/>
  <c r="AU35" i="1"/>
  <c r="BF35" i="1"/>
  <c r="AV35" i="1"/>
  <c r="BG35" i="1"/>
  <c r="BK35" i="1"/>
  <c r="BR35" i="1"/>
  <c r="BS35" i="1"/>
  <c r="BT35" i="1"/>
  <c r="BU35" i="1"/>
  <c r="BW35" i="1"/>
  <c r="BL35" i="1"/>
  <c r="BM35" i="1"/>
  <c r="BN35" i="1"/>
  <c r="BO35" i="1"/>
  <c r="BP35" i="1"/>
  <c r="BV35" i="1"/>
  <c r="BX35" i="1"/>
  <c r="CN35" i="1"/>
  <c r="BY35" i="1"/>
  <c r="CO35" i="1"/>
  <c r="CP35" i="1"/>
  <c r="CA35" i="1"/>
  <c r="CQ35" i="1"/>
  <c r="CH35" i="1"/>
  <c r="CR35" i="1"/>
  <c r="CE35" i="1"/>
  <c r="CG35" i="1"/>
  <c r="BZ35" i="1"/>
  <c r="CJ35" i="1"/>
  <c r="CD35" i="1"/>
  <c r="CF35" i="1"/>
  <c r="CC35" i="1"/>
  <c r="CK35" i="1"/>
  <c r="CL35" i="1"/>
  <c r="CS35" i="1"/>
  <c r="CT35" i="1"/>
  <c r="CU35" i="1"/>
  <c r="CV35" i="1"/>
  <c r="CW35" i="1"/>
  <c r="P36" i="1"/>
  <c r="AB36" i="1"/>
  <c r="Q36" i="1"/>
  <c r="AC36" i="1"/>
  <c r="R36" i="1"/>
  <c r="AD36" i="1"/>
  <c r="S36" i="1"/>
  <c r="AE36" i="1"/>
  <c r="T36" i="1"/>
  <c r="AF36" i="1"/>
  <c r="U36" i="1"/>
  <c r="AG36" i="1"/>
  <c r="V36" i="1"/>
  <c r="AH36" i="1"/>
  <c r="W36" i="1"/>
  <c r="AI36" i="1"/>
  <c r="X36" i="1"/>
  <c r="AJ36" i="1"/>
  <c r="Y36" i="1"/>
  <c r="AK36" i="1"/>
  <c r="AL36" i="1"/>
  <c r="AM36" i="1"/>
  <c r="AX36" i="1"/>
  <c r="AO36" i="1"/>
  <c r="AZ36" i="1"/>
  <c r="BQ36" i="1"/>
  <c r="AN36" i="1"/>
  <c r="AY36" i="1"/>
  <c r="AP36" i="1"/>
  <c r="BA36" i="1"/>
  <c r="AQ36" i="1"/>
  <c r="BB36" i="1"/>
  <c r="AR36" i="1"/>
  <c r="BC36" i="1"/>
  <c r="AS36" i="1"/>
  <c r="BD36" i="1"/>
  <c r="AT36" i="1"/>
  <c r="BE36" i="1"/>
  <c r="AU36" i="1"/>
  <c r="BF36" i="1"/>
  <c r="AV36" i="1"/>
  <c r="BG36" i="1"/>
  <c r="BK36" i="1"/>
  <c r="BR36" i="1"/>
  <c r="BS36" i="1"/>
  <c r="BT36" i="1"/>
  <c r="BU36" i="1"/>
  <c r="BW36" i="1"/>
  <c r="BL36" i="1"/>
  <c r="BM36" i="1"/>
  <c r="BN36" i="1"/>
  <c r="BO36" i="1"/>
  <c r="BP36" i="1"/>
  <c r="BV36" i="1"/>
  <c r="BX36" i="1"/>
  <c r="CN36" i="1"/>
  <c r="BY36" i="1"/>
  <c r="CO36" i="1"/>
  <c r="CP36" i="1"/>
  <c r="CA36" i="1"/>
  <c r="CQ36" i="1"/>
  <c r="CH36" i="1"/>
  <c r="CR36" i="1"/>
  <c r="CE36" i="1"/>
  <c r="CG36" i="1"/>
  <c r="BZ36" i="1"/>
  <c r="CJ36" i="1"/>
  <c r="CD36" i="1"/>
  <c r="CF36" i="1"/>
  <c r="CC36" i="1"/>
  <c r="CK36" i="1"/>
  <c r="CL36" i="1"/>
  <c r="CS36" i="1"/>
  <c r="CT36" i="1"/>
  <c r="CU36" i="1"/>
  <c r="CV36" i="1"/>
  <c r="CW36" i="1"/>
  <c r="P37" i="1"/>
  <c r="AB37" i="1"/>
  <c r="Q37" i="1"/>
  <c r="AC37" i="1"/>
  <c r="R37" i="1"/>
  <c r="AD37" i="1"/>
  <c r="S37" i="1"/>
  <c r="AE37" i="1"/>
  <c r="T37" i="1"/>
  <c r="AF37" i="1"/>
  <c r="U37" i="1"/>
  <c r="AG37" i="1"/>
  <c r="V37" i="1"/>
  <c r="AH37" i="1"/>
  <c r="W37" i="1"/>
  <c r="AI37" i="1"/>
  <c r="X37" i="1"/>
  <c r="AJ37" i="1"/>
  <c r="Y37" i="1"/>
  <c r="AK37" i="1"/>
  <c r="AL37" i="1"/>
  <c r="AM37" i="1"/>
  <c r="AX37" i="1"/>
  <c r="AO37" i="1"/>
  <c r="AZ37" i="1"/>
  <c r="BQ37" i="1"/>
  <c r="AN37" i="1"/>
  <c r="AY37" i="1"/>
  <c r="AP37" i="1"/>
  <c r="BA37" i="1"/>
  <c r="AQ37" i="1"/>
  <c r="BB37" i="1"/>
  <c r="AR37" i="1"/>
  <c r="BC37" i="1"/>
  <c r="AS37" i="1"/>
  <c r="BD37" i="1"/>
  <c r="AT37" i="1"/>
  <c r="BE37" i="1"/>
  <c r="AU37" i="1"/>
  <c r="BF37" i="1"/>
  <c r="AV37" i="1"/>
  <c r="BG37" i="1"/>
  <c r="BK37" i="1"/>
  <c r="BR37" i="1"/>
  <c r="BS37" i="1"/>
  <c r="BT37" i="1"/>
  <c r="BU37" i="1"/>
  <c r="BW37" i="1"/>
  <c r="BL37" i="1"/>
  <c r="BM37" i="1"/>
  <c r="BN37" i="1"/>
  <c r="BO37" i="1"/>
  <c r="BP37" i="1"/>
  <c r="BV37" i="1"/>
  <c r="BX37" i="1"/>
  <c r="CN37" i="1"/>
  <c r="BY37" i="1"/>
  <c r="CO37" i="1"/>
  <c r="CP37" i="1"/>
  <c r="CA37" i="1"/>
  <c r="CQ37" i="1"/>
  <c r="CH37" i="1"/>
  <c r="CR37" i="1"/>
  <c r="CE37" i="1"/>
  <c r="CG37" i="1"/>
  <c r="BZ37" i="1"/>
  <c r="CJ37" i="1"/>
  <c r="CD37" i="1"/>
  <c r="CF37" i="1"/>
  <c r="CC37" i="1"/>
  <c r="CK37" i="1"/>
  <c r="CL37" i="1"/>
  <c r="CS37" i="1"/>
  <c r="CT37" i="1"/>
  <c r="CU37" i="1"/>
  <c r="CV37" i="1"/>
  <c r="CW37" i="1"/>
  <c r="P38" i="1"/>
  <c r="AB38" i="1"/>
  <c r="Q38" i="1"/>
  <c r="AC38" i="1"/>
  <c r="R38" i="1"/>
  <c r="AD38" i="1"/>
  <c r="S38" i="1"/>
  <c r="AE38" i="1"/>
  <c r="T38" i="1"/>
  <c r="AF38" i="1"/>
  <c r="U38" i="1"/>
  <c r="AG38" i="1"/>
  <c r="V38" i="1"/>
  <c r="AH38" i="1"/>
  <c r="W38" i="1"/>
  <c r="AI38" i="1"/>
  <c r="X38" i="1"/>
  <c r="AJ38" i="1"/>
  <c r="Y38" i="1"/>
  <c r="AK38" i="1"/>
  <c r="AL38" i="1"/>
  <c r="AM38" i="1"/>
  <c r="AX38" i="1"/>
  <c r="AO38" i="1"/>
  <c r="AZ38" i="1"/>
  <c r="BQ38" i="1"/>
  <c r="AN38" i="1"/>
  <c r="AY38" i="1"/>
  <c r="AP38" i="1"/>
  <c r="BA38" i="1"/>
  <c r="AQ38" i="1"/>
  <c r="BB38" i="1"/>
  <c r="AR38" i="1"/>
  <c r="BC38" i="1"/>
  <c r="AS38" i="1"/>
  <c r="BD38" i="1"/>
  <c r="AT38" i="1"/>
  <c r="BE38" i="1"/>
  <c r="AU38" i="1"/>
  <c r="BF38" i="1"/>
  <c r="AV38" i="1"/>
  <c r="BG38" i="1"/>
  <c r="BK38" i="1"/>
  <c r="BR38" i="1"/>
  <c r="BS38" i="1"/>
  <c r="BT38" i="1"/>
  <c r="BU38" i="1"/>
  <c r="BW38" i="1"/>
  <c r="BL38" i="1"/>
  <c r="BM38" i="1"/>
  <c r="BN38" i="1"/>
  <c r="BO38" i="1"/>
  <c r="BP38" i="1"/>
  <c r="BV38" i="1"/>
  <c r="BX38" i="1"/>
  <c r="CN38" i="1"/>
  <c r="BY38" i="1"/>
  <c r="CO38" i="1"/>
  <c r="CP38" i="1"/>
  <c r="CA38" i="1"/>
  <c r="CQ38" i="1"/>
  <c r="CH38" i="1"/>
  <c r="CR38" i="1"/>
  <c r="CE38" i="1"/>
  <c r="CG38" i="1"/>
  <c r="BZ38" i="1"/>
  <c r="CJ38" i="1"/>
  <c r="CD38" i="1"/>
  <c r="CF38" i="1"/>
  <c r="CC38" i="1"/>
  <c r="CK38" i="1"/>
  <c r="CL38" i="1"/>
  <c r="CS38" i="1"/>
  <c r="CT38" i="1"/>
  <c r="CU38" i="1"/>
  <c r="CV38" i="1"/>
  <c r="CW38" i="1"/>
  <c r="P39" i="1"/>
  <c r="AB39" i="1"/>
  <c r="Q39" i="1"/>
  <c r="AC39" i="1"/>
  <c r="R39" i="1"/>
  <c r="AD39" i="1"/>
  <c r="S39" i="1"/>
  <c r="AE39" i="1"/>
  <c r="T39" i="1"/>
  <c r="AF39" i="1"/>
  <c r="U39" i="1"/>
  <c r="AG39" i="1"/>
  <c r="V39" i="1"/>
  <c r="AH39" i="1"/>
  <c r="W39" i="1"/>
  <c r="AI39" i="1"/>
  <c r="X39" i="1"/>
  <c r="AJ39" i="1"/>
  <c r="Y39" i="1"/>
  <c r="AK39" i="1"/>
  <c r="AL39" i="1"/>
  <c r="AM39" i="1"/>
  <c r="AX39" i="1"/>
  <c r="AO39" i="1"/>
  <c r="AZ39" i="1"/>
  <c r="BQ39" i="1"/>
  <c r="AN39" i="1"/>
  <c r="AY39" i="1"/>
  <c r="AP39" i="1"/>
  <c r="BA39" i="1"/>
  <c r="AQ39" i="1"/>
  <c r="BB39" i="1"/>
  <c r="AR39" i="1"/>
  <c r="BC39" i="1"/>
  <c r="AS39" i="1"/>
  <c r="BD39" i="1"/>
  <c r="AT39" i="1"/>
  <c r="BE39" i="1"/>
  <c r="AU39" i="1"/>
  <c r="BF39" i="1"/>
  <c r="AV39" i="1"/>
  <c r="BG39" i="1"/>
  <c r="BK39" i="1"/>
  <c r="BR39" i="1"/>
  <c r="BS39" i="1"/>
  <c r="BT39" i="1"/>
  <c r="BU39" i="1"/>
  <c r="BW39" i="1"/>
  <c r="BL39" i="1"/>
  <c r="BM39" i="1"/>
  <c r="BN39" i="1"/>
  <c r="BO39" i="1"/>
  <c r="BP39" i="1"/>
  <c r="BV39" i="1"/>
  <c r="BX39" i="1"/>
  <c r="CN39" i="1"/>
  <c r="BY39" i="1"/>
  <c r="CO39" i="1"/>
  <c r="CP39" i="1"/>
  <c r="CA39" i="1"/>
  <c r="CQ39" i="1"/>
  <c r="CH39" i="1"/>
  <c r="CR39" i="1"/>
  <c r="CE39" i="1"/>
  <c r="CG39" i="1"/>
  <c r="BZ39" i="1"/>
  <c r="CJ39" i="1"/>
  <c r="CD39" i="1"/>
  <c r="CF39" i="1"/>
  <c r="CC39" i="1"/>
  <c r="CK39" i="1"/>
  <c r="CL39" i="1"/>
  <c r="CS39" i="1"/>
  <c r="CT39" i="1"/>
  <c r="CU39" i="1"/>
  <c r="CV39" i="1"/>
  <c r="CW39" i="1"/>
  <c r="P40" i="1"/>
  <c r="AB40" i="1"/>
  <c r="Q40" i="1"/>
  <c r="AC40" i="1"/>
  <c r="R40" i="1"/>
  <c r="AD40" i="1"/>
  <c r="S40" i="1"/>
  <c r="AE40" i="1"/>
  <c r="T40" i="1"/>
  <c r="AF40" i="1"/>
  <c r="U40" i="1"/>
  <c r="AG40" i="1"/>
  <c r="V40" i="1"/>
  <c r="AH40" i="1"/>
  <c r="W40" i="1"/>
  <c r="AI40" i="1"/>
  <c r="X40" i="1"/>
  <c r="AJ40" i="1"/>
  <c r="Y40" i="1"/>
  <c r="AK40" i="1"/>
  <c r="AL40" i="1"/>
  <c r="AM40" i="1"/>
  <c r="AX40" i="1"/>
  <c r="AO40" i="1"/>
  <c r="AZ40" i="1"/>
  <c r="BQ40" i="1"/>
  <c r="AN40" i="1"/>
  <c r="AY40" i="1"/>
  <c r="AP40" i="1"/>
  <c r="BA40" i="1"/>
  <c r="AQ40" i="1"/>
  <c r="BB40" i="1"/>
  <c r="AR40" i="1"/>
  <c r="BC40" i="1"/>
  <c r="AS40" i="1"/>
  <c r="BD40" i="1"/>
  <c r="AT40" i="1"/>
  <c r="BE40" i="1"/>
  <c r="AU40" i="1"/>
  <c r="BF40" i="1"/>
  <c r="AV40" i="1"/>
  <c r="BG40" i="1"/>
  <c r="BK40" i="1"/>
  <c r="BR40" i="1"/>
  <c r="BS40" i="1"/>
  <c r="BT40" i="1"/>
  <c r="BU40" i="1"/>
  <c r="BW40" i="1"/>
  <c r="BL40" i="1"/>
  <c r="BM40" i="1"/>
  <c r="BN40" i="1"/>
  <c r="BO40" i="1"/>
  <c r="BP40" i="1"/>
  <c r="BV40" i="1"/>
  <c r="BX40" i="1"/>
  <c r="CN40" i="1"/>
  <c r="BY40" i="1"/>
  <c r="CO40" i="1"/>
  <c r="CP40" i="1"/>
  <c r="CA40" i="1"/>
  <c r="CQ40" i="1"/>
  <c r="CH40" i="1"/>
  <c r="CR40" i="1"/>
  <c r="CE40" i="1"/>
  <c r="CG40" i="1"/>
  <c r="BZ40" i="1"/>
  <c r="CJ40" i="1"/>
  <c r="CD40" i="1"/>
  <c r="CF40" i="1"/>
  <c r="CC40" i="1"/>
  <c r="CK40" i="1"/>
  <c r="CL40" i="1"/>
  <c r="CS40" i="1"/>
  <c r="CT40" i="1"/>
  <c r="CU40" i="1"/>
  <c r="CV40" i="1"/>
  <c r="CW40" i="1"/>
  <c r="P41" i="1"/>
  <c r="AB41" i="1"/>
  <c r="Q41" i="1"/>
  <c r="AC41" i="1"/>
  <c r="R41" i="1"/>
  <c r="AD41" i="1"/>
  <c r="S41" i="1"/>
  <c r="AE41" i="1"/>
  <c r="T41" i="1"/>
  <c r="AF41" i="1"/>
  <c r="U41" i="1"/>
  <c r="AG41" i="1"/>
  <c r="V41" i="1"/>
  <c r="AH41" i="1"/>
  <c r="W41" i="1"/>
  <c r="AI41" i="1"/>
  <c r="X41" i="1"/>
  <c r="AJ41" i="1"/>
  <c r="Y41" i="1"/>
  <c r="AK41" i="1"/>
  <c r="AL41" i="1"/>
  <c r="AM41" i="1"/>
  <c r="AX41" i="1"/>
  <c r="AO41" i="1"/>
  <c r="AZ41" i="1"/>
  <c r="BQ41" i="1"/>
  <c r="AN41" i="1"/>
  <c r="AY41" i="1"/>
  <c r="AP41" i="1"/>
  <c r="BA41" i="1"/>
  <c r="AQ41" i="1"/>
  <c r="BB41" i="1"/>
  <c r="AR41" i="1"/>
  <c r="BC41" i="1"/>
  <c r="AS41" i="1"/>
  <c r="BD41" i="1"/>
  <c r="AT41" i="1"/>
  <c r="BE41" i="1"/>
  <c r="AU41" i="1"/>
  <c r="BF41" i="1"/>
  <c r="AV41" i="1"/>
  <c r="BG41" i="1"/>
  <c r="BK41" i="1"/>
  <c r="BR41" i="1"/>
  <c r="BS41" i="1"/>
  <c r="BT41" i="1"/>
  <c r="BU41" i="1"/>
  <c r="BW41" i="1"/>
  <c r="BL41" i="1"/>
  <c r="BM41" i="1"/>
  <c r="BN41" i="1"/>
  <c r="BO41" i="1"/>
  <c r="BP41" i="1"/>
  <c r="BV41" i="1"/>
  <c r="BX41" i="1"/>
  <c r="CN41" i="1"/>
  <c r="BY41" i="1"/>
  <c r="CO41" i="1"/>
  <c r="CP41" i="1"/>
  <c r="CA41" i="1"/>
  <c r="CQ41" i="1"/>
  <c r="CH41" i="1"/>
  <c r="CR41" i="1"/>
  <c r="CE41" i="1"/>
  <c r="CG41" i="1"/>
  <c r="BZ41" i="1"/>
  <c r="CJ41" i="1"/>
  <c r="CD41" i="1"/>
  <c r="CF41" i="1"/>
  <c r="CC41" i="1"/>
  <c r="CK41" i="1"/>
  <c r="CL41" i="1"/>
  <c r="CS41" i="1"/>
  <c r="CT41" i="1"/>
  <c r="CU41" i="1"/>
  <c r="CV41" i="1"/>
  <c r="CW41" i="1"/>
  <c r="P42" i="1"/>
  <c r="AB42" i="1"/>
  <c r="Q42" i="1"/>
  <c r="AC42" i="1"/>
  <c r="R42" i="1"/>
  <c r="AD42" i="1"/>
  <c r="S42" i="1"/>
  <c r="AE42" i="1"/>
  <c r="T42" i="1"/>
  <c r="AF42" i="1"/>
  <c r="U42" i="1"/>
  <c r="AG42" i="1"/>
  <c r="V42" i="1"/>
  <c r="AH42" i="1"/>
  <c r="W42" i="1"/>
  <c r="AI42" i="1"/>
  <c r="X42" i="1"/>
  <c r="AJ42" i="1"/>
  <c r="Y42" i="1"/>
  <c r="AK42" i="1"/>
  <c r="AL42" i="1"/>
  <c r="AM42" i="1"/>
  <c r="AX42" i="1"/>
  <c r="AO42" i="1"/>
  <c r="AZ42" i="1"/>
  <c r="BQ42" i="1"/>
  <c r="AN42" i="1"/>
  <c r="AY42" i="1"/>
  <c r="AP42" i="1"/>
  <c r="BA42" i="1"/>
  <c r="AQ42" i="1"/>
  <c r="BB42" i="1"/>
  <c r="AR42" i="1"/>
  <c r="BC42" i="1"/>
  <c r="AS42" i="1"/>
  <c r="BD42" i="1"/>
  <c r="AT42" i="1"/>
  <c r="BE42" i="1"/>
  <c r="AU42" i="1"/>
  <c r="BF42" i="1"/>
  <c r="AV42" i="1"/>
  <c r="BG42" i="1"/>
  <c r="BK42" i="1"/>
  <c r="BR42" i="1"/>
  <c r="BS42" i="1"/>
  <c r="BT42" i="1"/>
  <c r="BU42" i="1"/>
  <c r="BW42" i="1"/>
  <c r="BL42" i="1"/>
  <c r="BM42" i="1"/>
  <c r="BN42" i="1"/>
  <c r="BO42" i="1"/>
  <c r="BP42" i="1"/>
  <c r="BV42" i="1"/>
  <c r="BX42" i="1"/>
  <c r="CN42" i="1"/>
  <c r="BY42" i="1"/>
  <c r="CO42" i="1"/>
  <c r="CP42" i="1"/>
  <c r="CA42" i="1"/>
  <c r="CQ42" i="1"/>
  <c r="CH42" i="1"/>
  <c r="CR42" i="1"/>
  <c r="CE42" i="1"/>
  <c r="CG42" i="1"/>
  <c r="BZ42" i="1"/>
  <c r="CJ42" i="1"/>
  <c r="CD42" i="1"/>
  <c r="CF42" i="1"/>
  <c r="CC42" i="1"/>
  <c r="CK42" i="1"/>
  <c r="CL42" i="1"/>
  <c r="CS42" i="1"/>
  <c r="CT42" i="1"/>
  <c r="CU42" i="1"/>
  <c r="CV42" i="1"/>
  <c r="CW42" i="1"/>
  <c r="P43" i="1"/>
  <c r="AB43" i="1"/>
  <c r="Q43" i="1"/>
  <c r="AC43" i="1"/>
  <c r="R43" i="1"/>
  <c r="AD43" i="1"/>
  <c r="S43" i="1"/>
  <c r="AE43" i="1"/>
  <c r="T43" i="1"/>
  <c r="AF43" i="1"/>
  <c r="U43" i="1"/>
  <c r="AG43" i="1"/>
  <c r="V43" i="1"/>
  <c r="AH43" i="1"/>
  <c r="W43" i="1"/>
  <c r="AI43" i="1"/>
  <c r="X43" i="1"/>
  <c r="AJ43" i="1"/>
  <c r="Y43" i="1"/>
  <c r="AK43" i="1"/>
  <c r="AL43" i="1"/>
  <c r="AM43" i="1"/>
  <c r="AX43" i="1"/>
  <c r="AO43" i="1"/>
  <c r="AZ43" i="1"/>
  <c r="BQ43" i="1"/>
  <c r="AN43" i="1"/>
  <c r="AY43" i="1"/>
  <c r="AP43" i="1"/>
  <c r="BA43" i="1"/>
  <c r="AQ43" i="1"/>
  <c r="BB43" i="1"/>
  <c r="AR43" i="1"/>
  <c r="BC43" i="1"/>
  <c r="AS43" i="1"/>
  <c r="BD43" i="1"/>
  <c r="AT43" i="1"/>
  <c r="BE43" i="1"/>
  <c r="AU43" i="1"/>
  <c r="BF43" i="1"/>
  <c r="AV43" i="1"/>
  <c r="BG43" i="1"/>
  <c r="BK43" i="1"/>
  <c r="BR43" i="1"/>
  <c r="BS43" i="1"/>
  <c r="BT43" i="1"/>
  <c r="BU43" i="1"/>
  <c r="BW43" i="1"/>
  <c r="BL43" i="1"/>
  <c r="BM43" i="1"/>
  <c r="BN43" i="1"/>
  <c r="BO43" i="1"/>
  <c r="BP43" i="1"/>
  <c r="BV43" i="1"/>
  <c r="BX43" i="1"/>
  <c r="CN43" i="1"/>
  <c r="BY43" i="1"/>
  <c r="CO43" i="1"/>
  <c r="CP43" i="1"/>
  <c r="CA43" i="1"/>
  <c r="CQ43" i="1"/>
  <c r="CH43" i="1"/>
  <c r="CR43" i="1"/>
  <c r="CE43" i="1"/>
  <c r="CG43" i="1"/>
  <c r="BZ43" i="1"/>
  <c r="CJ43" i="1"/>
  <c r="CD43" i="1"/>
  <c r="CF43" i="1"/>
  <c r="CC43" i="1"/>
  <c r="CK43" i="1"/>
  <c r="CL43" i="1"/>
  <c r="CS43" i="1"/>
  <c r="CT43" i="1"/>
  <c r="CU43" i="1"/>
  <c r="CV43" i="1"/>
  <c r="CW43" i="1"/>
  <c r="P44" i="1"/>
  <c r="AB44" i="1"/>
  <c r="Q44" i="1"/>
  <c r="AC44" i="1"/>
  <c r="R44" i="1"/>
  <c r="AD44" i="1"/>
  <c r="S44" i="1"/>
  <c r="AE44" i="1"/>
  <c r="T44" i="1"/>
  <c r="AF44" i="1"/>
  <c r="U44" i="1"/>
  <c r="AG44" i="1"/>
  <c r="V44" i="1"/>
  <c r="AH44" i="1"/>
  <c r="W44" i="1"/>
  <c r="AI44" i="1"/>
  <c r="X44" i="1"/>
  <c r="AJ44" i="1"/>
  <c r="Y44" i="1"/>
  <c r="AK44" i="1"/>
  <c r="AL44" i="1"/>
  <c r="AM44" i="1"/>
  <c r="AX44" i="1"/>
  <c r="AO44" i="1"/>
  <c r="AZ44" i="1"/>
  <c r="BQ44" i="1"/>
  <c r="AN44" i="1"/>
  <c r="AY44" i="1"/>
  <c r="AP44" i="1"/>
  <c r="BA44" i="1"/>
  <c r="AQ44" i="1"/>
  <c r="BB44" i="1"/>
  <c r="AR44" i="1"/>
  <c r="BC44" i="1"/>
  <c r="AS44" i="1"/>
  <c r="BD44" i="1"/>
  <c r="AT44" i="1"/>
  <c r="BE44" i="1"/>
  <c r="AU44" i="1"/>
  <c r="BF44" i="1"/>
  <c r="AV44" i="1"/>
  <c r="BG44" i="1"/>
  <c r="BK44" i="1"/>
  <c r="BR44" i="1"/>
  <c r="BS44" i="1"/>
  <c r="BT44" i="1"/>
  <c r="BU44" i="1"/>
  <c r="BW44" i="1"/>
  <c r="BL44" i="1"/>
  <c r="BM44" i="1"/>
  <c r="BN44" i="1"/>
  <c r="BO44" i="1"/>
  <c r="BP44" i="1"/>
  <c r="BV44" i="1"/>
  <c r="BX44" i="1"/>
  <c r="CN44" i="1"/>
  <c r="BY44" i="1"/>
  <c r="CO44" i="1"/>
  <c r="CP44" i="1"/>
  <c r="CA44" i="1"/>
  <c r="CQ44" i="1"/>
  <c r="CH44" i="1"/>
  <c r="CR44" i="1"/>
  <c r="CE44" i="1"/>
  <c r="CG44" i="1"/>
  <c r="BZ44" i="1"/>
  <c r="CJ44" i="1"/>
  <c r="CD44" i="1"/>
  <c r="CF44" i="1"/>
  <c r="CC44" i="1"/>
  <c r="CK44" i="1"/>
  <c r="CL44" i="1"/>
  <c r="CS44" i="1"/>
  <c r="CT44" i="1"/>
  <c r="CU44" i="1"/>
  <c r="CV44" i="1"/>
  <c r="CW44" i="1"/>
  <c r="P45" i="1"/>
  <c r="AB45" i="1"/>
  <c r="Q45" i="1"/>
  <c r="AC45" i="1"/>
  <c r="R45" i="1"/>
  <c r="AD45" i="1"/>
  <c r="S45" i="1"/>
  <c r="AE45" i="1"/>
  <c r="T45" i="1"/>
  <c r="AF45" i="1"/>
  <c r="U45" i="1"/>
  <c r="AG45" i="1"/>
  <c r="V45" i="1"/>
  <c r="AH45" i="1"/>
  <c r="W45" i="1"/>
  <c r="AI45" i="1"/>
  <c r="X45" i="1"/>
  <c r="AJ45" i="1"/>
  <c r="Y45" i="1"/>
  <c r="AK45" i="1"/>
  <c r="AL45" i="1"/>
  <c r="AM45" i="1"/>
  <c r="AX45" i="1"/>
  <c r="AO45" i="1"/>
  <c r="AZ45" i="1"/>
  <c r="BQ45" i="1"/>
  <c r="AN45" i="1"/>
  <c r="AY45" i="1"/>
  <c r="AP45" i="1"/>
  <c r="BA45" i="1"/>
  <c r="AQ45" i="1"/>
  <c r="BB45" i="1"/>
  <c r="AR45" i="1"/>
  <c r="BC45" i="1"/>
  <c r="AS45" i="1"/>
  <c r="BD45" i="1"/>
  <c r="AT45" i="1"/>
  <c r="BE45" i="1"/>
  <c r="AU45" i="1"/>
  <c r="BF45" i="1"/>
  <c r="AV45" i="1"/>
  <c r="BG45" i="1"/>
  <c r="BK45" i="1"/>
  <c r="BR45" i="1"/>
  <c r="BS45" i="1"/>
  <c r="BT45" i="1"/>
  <c r="BU45" i="1"/>
  <c r="BW45" i="1"/>
  <c r="BL45" i="1"/>
  <c r="BM45" i="1"/>
  <c r="BN45" i="1"/>
  <c r="BO45" i="1"/>
  <c r="BP45" i="1"/>
  <c r="BV45" i="1"/>
  <c r="BX45" i="1"/>
  <c r="CN45" i="1"/>
  <c r="BY45" i="1"/>
  <c r="CO45" i="1"/>
  <c r="CP45" i="1"/>
  <c r="CA45" i="1"/>
  <c r="CQ45" i="1"/>
  <c r="CH45" i="1"/>
  <c r="CR45" i="1"/>
  <c r="CE45" i="1"/>
  <c r="CG45" i="1"/>
  <c r="BZ45" i="1"/>
  <c r="CJ45" i="1"/>
  <c r="CD45" i="1"/>
  <c r="CF45" i="1"/>
  <c r="CC45" i="1"/>
  <c r="CK45" i="1"/>
  <c r="CL45" i="1"/>
  <c r="CS45" i="1"/>
  <c r="CT45" i="1"/>
  <c r="CU45" i="1"/>
  <c r="CV45" i="1"/>
  <c r="CW45" i="1"/>
  <c r="P46" i="1"/>
  <c r="AB46" i="1"/>
  <c r="Q46" i="1"/>
  <c r="AC46" i="1"/>
  <c r="R46" i="1"/>
  <c r="AD46" i="1"/>
  <c r="S46" i="1"/>
  <c r="AE46" i="1"/>
  <c r="T46" i="1"/>
  <c r="AF46" i="1"/>
  <c r="U46" i="1"/>
  <c r="AG46" i="1"/>
  <c r="V46" i="1"/>
  <c r="AH46" i="1"/>
  <c r="W46" i="1"/>
  <c r="AI46" i="1"/>
  <c r="X46" i="1"/>
  <c r="AJ46" i="1"/>
  <c r="Y46" i="1"/>
  <c r="AK46" i="1"/>
  <c r="AL46" i="1"/>
  <c r="AM46" i="1"/>
  <c r="AX46" i="1"/>
  <c r="AO46" i="1"/>
  <c r="AZ46" i="1"/>
  <c r="BQ46" i="1"/>
  <c r="AN46" i="1"/>
  <c r="AY46" i="1"/>
  <c r="AP46" i="1"/>
  <c r="BA46" i="1"/>
  <c r="AQ46" i="1"/>
  <c r="BB46" i="1"/>
  <c r="AR46" i="1"/>
  <c r="BC46" i="1"/>
  <c r="AS46" i="1"/>
  <c r="BD46" i="1"/>
  <c r="AT46" i="1"/>
  <c r="BE46" i="1"/>
  <c r="AU46" i="1"/>
  <c r="BF46" i="1"/>
  <c r="AV46" i="1"/>
  <c r="BG46" i="1"/>
  <c r="BK46" i="1"/>
  <c r="BR46" i="1"/>
  <c r="BS46" i="1"/>
  <c r="BT46" i="1"/>
  <c r="BU46" i="1"/>
  <c r="BW46" i="1"/>
  <c r="BL46" i="1"/>
  <c r="BM46" i="1"/>
  <c r="BN46" i="1"/>
  <c r="BO46" i="1"/>
  <c r="BP46" i="1"/>
  <c r="BV46" i="1"/>
  <c r="BX46" i="1"/>
  <c r="CN46" i="1"/>
  <c r="BY46" i="1"/>
  <c r="CO46" i="1"/>
  <c r="CP46" i="1"/>
  <c r="CA46" i="1"/>
  <c r="CQ46" i="1"/>
  <c r="CH46" i="1"/>
  <c r="CR46" i="1"/>
  <c r="CE46" i="1"/>
  <c r="CG46" i="1"/>
  <c r="BZ46" i="1"/>
  <c r="CJ46" i="1"/>
  <c r="CD46" i="1"/>
  <c r="CF46" i="1"/>
  <c r="CC46" i="1"/>
  <c r="CK46" i="1"/>
  <c r="CL46" i="1"/>
  <c r="CS46" i="1"/>
  <c r="CT46" i="1"/>
  <c r="CU46" i="1"/>
  <c r="CV46" i="1"/>
  <c r="CW46" i="1"/>
  <c r="P47" i="1"/>
  <c r="AB47" i="1"/>
  <c r="Q47" i="1"/>
  <c r="AC47" i="1"/>
  <c r="R47" i="1"/>
  <c r="AD47" i="1"/>
  <c r="S47" i="1"/>
  <c r="AE47" i="1"/>
  <c r="T47" i="1"/>
  <c r="AF47" i="1"/>
  <c r="U47" i="1"/>
  <c r="AG47" i="1"/>
  <c r="V47" i="1"/>
  <c r="AH47" i="1"/>
  <c r="W47" i="1"/>
  <c r="AI47" i="1"/>
  <c r="X47" i="1"/>
  <c r="AJ47" i="1"/>
  <c r="Y47" i="1"/>
  <c r="AK47" i="1"/>
  <c r="AL47" i="1"/>
  <c r="AM47" i="1"/>
  <c r="AX47" i="1"/>
  <c r="AO47" i="1"/>
  <c r="AZ47" i="1"/>
  <c r="BQ47" i="1"/>
  <c r="AN47" i="1"/>
  <c r="AY47" i="1"/>
  <c r="AP47" i="1"/>
  <c r="BA47" i="1"/>
  <c r="AQ47" i="1"/>
  <c r="BB47" i="1"/>
  <c r="AR47" i="1"/>
  <c r="BC47" i="1"/>
  <c r="AS47" i="1"/>
  <c r="BD47" i="1"/>
  <c r="AT47" i="1"/>
  <c r="BE47" i="1"/>
  <c r="AU47" i="1"/>
  <c r="BF47" i="1"/>
  <c r="AV47" i="1"/>
  <c r="BG47" i="1"/>
  <c r="BK47" i="1"/>
  <c r="BR47" i="1"/>
  <c r="BS47" i="1"/>
  <c r="BT47" i="1"/>
  <c r="BU47" i="1"/>
  <c r="BW47" i="1"/>
  <c r="BL47" i="1"/>
  <c r="BM47" i="1"/>
  <c r="BN47" i="1"/>
  <c r="BO47" i="1"/>
  <c r="BP47" i="1"/>
  <c r="BV47" i="1"/>
  <c r="BX47" i="1"/>
  <c r="CN47" i="1"/>
  <c r="BY47" i="1"/>
  <c r="CO47" i="1"/>
  <c r="CP47" i="1"/>
  <c r="CA47" i="1"/>
  <c r="CQ47" i="1"/>
  <c r="CH47" i="1"/>
  <c r="CR47" i="1"/>
  <c r="CE47" i="1"/>
  <c r="CG47" i="1"/>
  <c r="BZ47" i="1"/>
  <c r="CJ47" i="1"/>
  <c r="CD47" i="1"/>
  <c r="CF47" i="1"/>
  <c r="CC47" i="1"/>
  <c r="CK47" i="1"/>
  <c r="CL47" i="1"/>
  <c r="CS47" i="1"/>
  <c r="CT47" i="1"/>
  <c r="CU47" i="1"/>
  <c r="CV47" i="1"/>
  <c r="CW47" i="1"/>
  <c r="P48" i="1"/>
  <c r="AB48" i="1"/>
  <c r="Q48" i="1"/>
  <c r="AC48" i="1"/>
  <c r="R48" i="1"/>
  <c r="AD48" i="1"/>
  <c r="S48" i="1"/>
  <c r="AE48" i="1"/>
  <c r="T48" i="1"/>
  <c r="AF48" i="1"/>
  <c r="U48" i="1"/>
  <c r="AG48" i="1"/>
  <c r="V48" i="1"/>
  <c r="AH48" i="1"/>
  <c r="W48" i="1"/>
  <c r="AI48" i="1"/>
  <c r="X48" i="1"/>
  <c r="AJ48" i="1"/>
  <c r="Y48" i="1"/>
  <c r="AK48" i="1"/>
  <c r="AL48" i="1"/>
  <c r="AM48" i="1"/>
  <c r="AX48" i="1"/>
  <c r="AO48" i="1"/>
  <c r="AZ48" i="1"/>
  <c r="BQ48" i="1"/>
  <c r="AN48" i="1"/>
  <c r="AY48" i="1"/>
  <c r="AP48" i="1"/>
  <c r="BA48" i="1"/>
  <c r="AQ48" i="1"/>
  <c r="BB48" i="1"/>
  <c r="AR48" i="1"/>
  <c r="BC48" i="1"/>
  <c r="AS48" i="1"/>
  <c r="BD48" i="1"/>
  <c r="AT48" i="1"/>
  <c r="BE48" i="1"/>
  <c r="AU48" i="1"/>
  <c r="BF48" i="1"/>
  <c r="AV48" i="1"/>
  <c r="BG48" i="1"/>
  <c r="BK48" i="1"/>
  <c r="BR48" i="1"/>
  <c r="BS48" i="1"/>
  <c r="BT48" i="1"/>
  <c r="BU48" i="1"/>
  <c r="BW48" i="1"/>
  <c r="BL48" i="1"/>
  <c r="BM48" i="1"/>
  <c r="BN48" i="1"/>
  <c r="BO48" i="1"/>
  <c r="BP48" i="1"/>
  <c r="BV48" i="1"/>
  <c r="BX48" i="1"/>
  <c r="CN48" i="1"/>
  <c r="BY48" i="1"/>
  <c r="CO48" i="1"/>
  <c r="CP48" i="1"/>
  <c r="CA48" i="1"/>
  <c r="CQ48" i="1"/>
  <c r="CH48" i="1"/>
  <c r="CR48" i="1"/>
  <c r="CE48" i="1"/>
  <c r="CG48" i="1"/>
  <c r="BZ48" i="1"/>
  <c r="CJ48" i="1"/>
  <c r="CD48" i="1"/>
  <c r="CF48" i="1"/>
  <c r="CC48" i="1"/>
  <c r="CK48" i="1"/>
  <c r="CL48" i="1"/>
  <c r="CS48" i="1"/>
  <c r="CT48" i="1"/>
  <c r="CU48" i="1"/>
  <c r="CV48" i="1"/>
  <c r="CW48" i="1"/>
  <c r="P49" i="1"/>
  <c r="AB49" i="1"/>
  <c r="Q49" i="1"/>
  <c r="AC49" i="1"/>
  <c r="R49" i="1"/>
  <c r="AD49" i="1"/>
  <c r="S49" i="1"/>
  <c r="AE49" i="1"/>
  <c r="T49" i="1"/>
  <c r="AF49" i="1"/>
  <c r="U49" i="1"/>
  <c r="AG49" i="1"/>
  <c r="V49" i="1"/>
  <c r="AH49" i="1"/>
  <c r="W49" i="1"/>
  <c r="AI49" i="1"/>
  <c r="X49" i="1"/>
  <c r="AJ49" i="1"/>
  <c r="Y49" i="1"/>
  <c r="AK49" i="1"/>
  <c r="AL49" i="1"/>
  <c r="AM49" i="1"/>
  <c r="AX49" i="1"/>
  <c r="AO49" i="1"/>
  <c r="AZ49" i="1"/>
  <c r="BQ49" i="1"/>
  <c r="AN49" i="1"/>
  <c r="AY49" i="1"/>
  <c r="AP49" i="1"/>
  <c r="BA49" i="1"/>
  <c r="AQ49" i="1"/>
  <c r="BB49" i="1"/>
  <c r="AR49" i="1"/>
  <c r="BC49" i="1"/>
  <c r="AS49" i="1"/>
  <c r="BD49" i="1"/>
  <c r="AT49" i="1"/>
  <c r="BE49" i="1"/>
  <c r="AU49" i="1"/>
  <c r="BF49" i="1"/>
  <c r="AV49" i="1"/>
  <c r="BG49" i="1"/>
  <c r="BK49" i="1"/>
  <c r="BR49" i="1"/>
  <c r="BS49" i="1"/>
  <c r="BT49" i="1"/>
  <c r="BU49" i="1"/>
  <c r="BW49" i="1"/>
  <c r="BL49" i="1"/>
  <c r="BM49" i="1"/>
  <c r="BN49" i="1"/>
  <c r="BO49" i="1"/>
  <c r="BP49" i="1"/>
  <c r="BV49" i="1"/>
  <c r="BX49" i="1"/>
  <c r="CN49" i="1"/>
  <c r="BY49" i="1"/>
  <c r="CO49" i="1"/>
  <c r="CP49" i="1"/>
  <c r="CA49" i="1"/>
  <c r="CQ49" i="1"/>
  <c r="CH49" i="1"/>
  <c r="CR49" i="1"/>
  <c r="CE49" i="1"/>
  <c r="CG49" i="1"/>
  <c r="BZ49" i="1"/>
  <c r="CJ49" i="1"/>
  <c r="CD49" i="1"/>
  <c r="CF49" i="1"/>
  <c r="CC49" i="1"/>
  <c r="CK49" i="1"/>
  <c r="CL49" i="1"/>
  <c r="CS49" i="1"/>
  <c r="CT49" i="1"/>
  <c r="CU49" i="1"/>
  <c r="CV49" i="1"/>
  <c r="CW49" i="1"/>
  <c r="P50" i="1"/>
  <c r="AB50" i="1"/>
  <c r="Q50" i="1"/>
  <c r="AC50" i="1"/>
  <c r="R50" i="1"/>
  <c r="AD50" i="1"/>
  <c r="S50" i="1"/>
  <c r="AE50" i="1"/>
  <c r="T50" i="1"/>
  <c r="AF50" i="1"/>
  <c r="U50" i="1"/>
  <c r="AG50" i="1"/>
  <c r="V50" i="1"/>
  <c r="AH50" i="1"/>
  <c r="W50" i="1"/>
  <c r="AI50" i="1"/>
  <c r="X50" i="1"/>
  <c r="AJ50" i="1"/>
  <c r="Y50" i="1"/>
  <c r="AK50" i="1"/>
  <c r="AL50" i="1"/>
  <c r="AM50" i="1"/>
  <c r="AX50" i="1"/>
  <c r="AO50" i="1"/>
  <c r="AZ50" i="1"/>
  <c r="BQ50" i="1"/>
  <c r="AN50" i="1"/>
  <c r="AY50" i="1"/>
  <c r="AP50" i="1"/>
  <c r="BA50" i="1"/>
  <c r="AQ50" i="1"/>
  <c r="BB50" i="1"/>
  <c r="AR50" i="1"/>
  <c r="BC50" i="1"/>
  <c r="AS50" i="1"/>
  <c r="BD50" i="1"/>
  <c r="AT50" i="1"/>
  <c r="BE50" i="1"/>
  <c r="AU50" i="1"/>
  <c r="BF50" i="1"/>
  <c r="AV50" i="1"/>
  <c r="BG50" i="1"/>
  <c r="BK50" i="1"/>
  <c r="BR50" i="1"/>
  <c r="BS50" i="1"/>
  <c r="BT50" i="1"/>
  <c r="BU50" i="1"/>
  <c r="BW50" i="1"/>
  <c r="BL50" i="1"/>
  <c r="BM50" i="1"/>
  <c r="BN50" i="1"/>
  <c r="BO50" i="1"/>
  <c r="BP50" i="1"/>
  <c r="BV50" i="1"/>
  <c r="BX50" i="1"/>
  <c r="CN50" i="1"/>
  <c r="BY50" i="1"/>
  <c r="CO50" i="1"/>
  <c r="CP50" i="1"/>
  <c r="CA50" i="1"/>
  <c r="CQ50" i="1"/>
  <c r="CH50" i="1"/>
  <c r="CR50" i="1"/>
  <c r="CE50" i="1"/>
  <c r="CG50" i="1"/>
  <c r="BZ50" i="1"/>
  <c r="CJ50" i="1"/>
  <c r="CD50" i="1"/>
  <c r="CF50" i="1"/>
  <c r="CC50" i="1"/>
  <c r="CK50" i="1"/>
  <c r="CL50" i="1"/>
  <c r="CS50" i="1"/>
  <c r="CT50" i="1"/>
  <c r="CU50" i="1"/>
  <c r="CV50" i="1"/>
  <c r="CW50" i="1"/>
  <c r="P51" i="1"/>
  <c r="AB51" i="1"/>
  <c r="Q51" i="1"/>
  <c r="AC51" i="1"/>
  <c r="R51" i="1"/>
  <c r="AD51" i="1"/>
  <c r="S51" i="1"/>
  <c r="AE51" i="1"/>
  <c r="T51" i="1"/>
  <c r="AF51" i="1"/>
  <c r="U51" i="1"/>
  <c r="AG51" i="1"/>
  <c r="V51" i="1"/>
  <c r="AH51" i="1"/>
  <c r="W51" i="1"/>
  <c r="AI51" i="1"/>
  <c r="X51" i="1"/>
  <c r="AJ51" i="1"/>
  <c r="Y51" i="1"/>
  <c r="AK51" i="1"/>
  <c r="AL51" i="1"/>
  <c r="AM51" i="1"/>
  <c r="AX51" i="1"/>
  <c r="AO51" i="1"/>
  <c r="AZ51" i="1"/>
  <c r="BQ51" i="1"/>
  <c r="AN51" i="1"/>
  <c r="AY51" i="1"/>
  <c r="AP51" i="1"/>
  <c r="BA51" i="1"/>
  <c r="AQ51" i="1"/>
  <c r="BB51" i="1"/>
  <c r="AR51" i="1"/>
  <c r="BC51" i="1"/>
  <c r="AS51" i="1"/>
  <c r="BD51" i="1"/>
  <c r="AT51" i="1"/>
  <c r="BE51" i="1"/>
  <c r="AU51" i="1"/>
  <c r="BF51" i="1"/>
  <c r="AV51" i="1"/>
  <c r="BG51" i="1"/>
  <c r="BK51" i="1"/>
  <c r="BR51" i="1"/>
  <c r="BS51" i="1"/>
  <c r="BT51" i="1"/>
  <c r="BU51" i="1"/>
  <c r="BW51" i="1"/>
  <c r="BL51" i="1"/>
  <c r="BM51" i="1"/>
  <c r="BN51" i="1"/>
  <c r="BO51" i="1"/>
  <c r="BP51" i="1"/>
  <c r="BV51" i="1"/>
  <c r="BX51" i="1"/>
  <c r="CN51" i="1"/>
  <c r="BY51" i="1"/>
  <c r="CO51" i="1"/>
  <c r="CP51" i="1"/>
  <c r="CA51" i="1"/>
  <c r="CQ51" i="1"/>
  <c r="CH51" i="1"/>
  <c r="CR51" i="1"/>
  <c r="CE51" i="1"/>
  <c r="CG51" i="1"/>
  <c r="BZ51" i="1"/>
  <c r="CJ51" i="1"/>
  <c r="CD51" i="1"/>
  <c r="CF51" i="1"/>
  <c r="CC51" i="1"/>
  <c r="CK51" i="1"/>
  <c r="CL51" i="1"/>
  <c r="CS51" i="1"/>
  <c r="CT51" i="1"/>
  <c r="CU51" i="1"/>
  <c r="CV51" i="1"/>
  <c r="CW51" i="1"/>
  <c r="P52" i="1"/>
  <c r="AB52" i="1"/>
  <c r="Q52" i="1"/>
  <c r="AC52" i="1"/>
  <c r="R52" i="1"/>
  <c r="AD52" i="1"/>
  <c r="S52" i="1"/>
  <c r="AE52" i="1"/>
  <c r="T52" i="1"/>
  <c r="AF52" i="1"/>
  <c r="U52" i="1"/>
  <c r="AG52" i="1"/>
  <c r="V52" i="1"/>
  <c r="AH52" i="1"/>
  <c r="W52" i="1"/>
  <c r="AI52" i="1"/>
  <c r="X52" i="1"/>
  <c r="AJ52" i="1"/>
  <c r="Y52" i="1"/>
  <c r="AK52" i="1"/>
  <c r="AL52" i="1"/>
  <c r="AM52" i="1"/>
  <c r="AX52" i="1"/>
  <c r="AO52" i="1"/>
  <c r="AZ52" i="1"/>
  <c r="BQ52" i="1"/>
  <c r="AN52" i="1"/>
  <c r="AY52" i="1"/>
  <c r="AP52" i="1"/>
  <c r="BA52" i="1"/>
  <c r="AQ52" i="1"/>
  <c r="BB52" i="1"/>
  <c r="AR52" i="1"/>
  <c r="BC52" i="1"/>
  <c r="AS52" i="1"/>
  <c r="BD52" i="1"/>
  <c r="AT52" i="1"/>
  <c r="BE52" i="1"/>
  <c r="AU52" i="1"/>
  <c r="BF52" i="1"/>
  <c r="AV52" i="1"/>
  <c r="BG52" i="1"/>
  <c r="BK52" i="1"/>
  <c r="BR52" i="1"/>
  <c r="BS52" i="1"/>
  <c r="BT52" i="1"/>
  <c r="BU52" i="1"/>
  <c r="BW52" i="1"/>
  <c r="BL52" i="1"/>
  <c r="BM52" i="1"/>
  <c r="BN52" i="1"/>
  <c r="BO52" i="1"/>
  <c r="BP52" i="1"/>
  <c r="BV52" i="1"/>
  <c r="BX52" i="1"/>
  <c r="CN52" i="1"/>
  <c r="BY52" i="1"/>
  <c r="CO52" i="1"/>
  <c r="CP52" i="1"/>
  <c r="CA52" i="1"/>
  <c r="CQ52" i="1"/>
  <c r="CH52" i="1"/>
  <c r="CR52" i="1"/>
  <c r="CE52" i="1"/>
  <c r="CG52" i="1"/>
  <c r="BZ52" i="1"/>
  <c r="CJ52" i="1"/>
  <c r="CD52" i="1"/>
  <c r="CF52" i="1"/>
  <c r="CC52" i="1"/>
  <c r="CK52" i="1"/>
  <c r="CL52" i="1"/>
  <c r="CS52" i="1"/>
  <c r="CT52" i="1"/>
  <c r="CU52" i="1"/>
  <c r="CV52" i="1"/>
  <c r="CW52" i="1"/>
  <c r="P53" i="1"/>
  <c r="AB53" i="1"/>
  <c r="Q53" i="1"/>
  <c r="AC53" i="1"/>
  <c r="R53" i="1"/>
  <c r="AD53" i="1"/>
  <c r="S53" i="1"/>
  <c r="AE53" i="1"/>
  <c r="T53" i="1"/>
  <c r="AF53" i="1"/>
  <c r="U53" i="1"/>
  <c r="AG53" i="1"/>
  <c r="V53" i="1"/>
  <c r="AH53" i="1"/>
  <c r="W53" i="1"/>
  <c r="AI53" i="1"/>
  <c r="X53" i="1"/>
  <c r="AJ53" i="1"/>
  <c r="Y53" i="1"/>
  <c r="AK53" i="1"/>
  <c r="AL53" i="1"/>
  <c r="AM53" i="1"/>
  <c r="AX53" i="1"/>
  <c r="AO53" i="1"/>
  <c r="AZ53" i="1"/>
  <c r="BQ53" i="1"/>
  <c r="AN53" i="1"/>
  <c r="AY53" i="1"/>
  <c r="AP53" i="1"/>
  <c r="BA53" i="1"/>
  <c r="AQ53" i="1"/>
  <c r="BB53" i="1"/>
  <c r="AR53" i="1"/>
  <c r="BC53" i="1"/>
  <c r="AS53" i="1"/>
  <c r="BD53" i="1"/>
  <c r="AT53" i="1"/>
  <c r="BE53" i="1"/>
  <c r="AU53" i="1"/>
  <c r="BF53" i="1"/>
  <c r="AV53" i="1"/>
  <c r="BG53" i="1"/>
  <c r="BK53" i="1"/>
  <c r="BR53" i="1"/>
  <c r="BS53" i="1"/>
  <c r="BT53" i="1"/>
  <c r="BU53" i="1"/>
  <c r="BW53" i="1"/>
  <c r="BL53" i="1"/>
  <c r="BM53" i="1"/>
  <c r="BN53" i="1"/>
  <c r="BO53" i="1"/>
  <c r="BP53" i="1"/>
  <c r="BV53" i="1"/>
  <c r="BX53" i="1"/>
  <c r="CN53" i="1"/>
  <c r="BY53" i="1"/>
  <c r="CO53" i="1"/>
  <c r="CP53" i="1"/>
  <c r="CA53" i="1"/>
  <c r="CQ53" i="1"/>
  <c r="CH53" i="1"/>
  <c r="CR53" i="1"/>
  <c r="CE53" i="1"/>
  <c r="CG53" i="1"/>
  <c r="BZ53" i="1"/>
  <c r="CJ53" i="1"/>
  <c r="CD53" i="1"/>
  <c r="CF53" i="1"/>
  <c r="CC53" i="1"/>
  <c r="CK53" i="1"/>
  <c r="CL53" i="1"/>
  <c r="CS53" i="1"/>
  <c r="CT53" i="1"/>
  <c r="CU53" i="1"/>
  <c r="CV53" i="1"/>
  <c r="CW53" i="1"/>
  <c r="P54" i="1"/>
  <c r="AB54" i="1"/>
  <c r="Q54" i="1"/>
  <c r="AC54" i="1"/>
  <c r="R54" i="1"/>
  <c r="AD54" i="1"/>
  <c r="S54" i="1"/>
  <c r="AE54" i="1"/>
  <c r="T54" i="1"/>
  <c r="AF54" i="1"/>
  <c r="U54" i="1"/>
  <c r="AG54" i="1"/>
  <c r="V54" i="1"/>
  <c r="AH54" i="1"/>
  <c r="W54" i="1"/>
  <c r="AI54" i="1"/>
  <c r="X54" i="1"/>
  <c r="AJ54" i="1"/>
  <c r="Y54" i="1"/>
  <c r="AK54" i="1"/>
  <c r="AL54" i="1"/>
  <c r="AM54" i="1"/>
  <c r="AX54" i="1"/>
  <c r="AO54" i="1"/>
  <c r="AZ54" i="1"/>
  <c r="BQ54" i="1"/>
  <c r="AN54" i="1"/>
  <c r="AY54" i="1"/>
  <c r="AP54" i="1"/>
  <c r="BA54" i="1"/>
  <c r="AQ54" i="1"/>
  <c r="BB54" i="1"/>
  <c r="AR54" i="1"/>
  <c r="BC54" i="1"/>
  <c r="AS54" i="1"/>
  <c r="BD54" i="1"/>
  <c r="AT54" i="1"/>
  <c r="BE54" i="1"/>
  <c r="AU54" i="1"/>
  <c r="BF54" i="1"/>
  <c r="AV54" i="1"/>
  <c r="BG54" i="1"/>
  <c r="BK54" i="1"/>
  <c r="BR54" i="1"/>
  <c r="BS54" i="1"/>
  <c r="BT54" i="1"/>
  <c r="BU54" i="1"/>
  <c r="BW54" i="1"/>
  <c r="BL54" i="1"/>
  <c r="BM54" i="1"/>
  <c r="BN54" i="1"/>
  <c r="BO54" i="1"/>
  <c r="BP54" i="1"/>
  <c r="BV54" i="1"/>
  <c r="BX54" i="1"/>
  <c r="CN54" i="1"/>
  <c r="BY54" i="1"/>
  <c r="CO54" i="1"/>
  <c r="CP54" i="1"/>
  <c r="CA54" i="1"/>
  <c r="CQ54" i="1"/>
  <c r="CH54" i="1"/>
  <c r="CR54" i="1"/>
  <c r="CE54" i="1"/>
  <c r="CG54" i="1"/>
  <c r="BZ54" i="1"/>
  <c r="CJ54" i="1"/>
  <c r="CD54" i="1"/>
  <c r="CF54" i="1"/>
  <c r="CC54" i="1"/>
  <c r="CK54" i="1"/>
  <c r="CL54" i="1"/>
  <c r="CS54" i="1"/>
  <c r="CT54" i="1"/>
  <c r="CU54" i="1"/>
  <c r="CV54" i="1"/>
  <c r="CW54" i="1"/>
  <c r="P55" i="1"/>
  <c r="AB55" i="1"/>
  <c r="Q55" i="1"/>
  <c r="AC55" i="1"/>
  <c r="R55" i="1"/>
  <c r="AD55" i="1"/>
  <c r="S55" i="1"/>
  <c r="AE55" i="1"/>
  <c r="T55" i="1"/>
  <c r="AF55" i="1"/>
  <c r="U55" i="1"/>
  <c r="AG55" i="1"/>
  <c r="V55" i="1"/>
  <c r="AH55" i="1"/>
  <c r="W55" i="1"/>
  <c r="AI55" i="1"/>
  <c r="X55" i="1"/>
  <c r="AJ55" i="1"/>
  <c r="Y55" i="1"/>
  <c r="AK55" i="1"/>
  <c r="AL55" i="1"/>
  <c r="AM55" i="1"/>
  <c r="AX55" i="1"/>
  <c r="AO55" i="1"/>
  <c r="AZ55" i="1"/>
  <c r="BQ55" i="1"/>
  <c r="AN55" i="1"/>
  <c r="AY55" i="1"/>
  <c r="AP55" i="1"/>
  <c r="BA55" i="1"/>
  <c r="AQ55" i="1"/>
  <c r="BB55" i="1"/>
  <c r="AR55" i="1"/>
  <c r="BC55" i="1"/>
  <c r="AS55" i="1"/>
  <c r="BD55" i="1"/>
  <c r="AT55" i="1"/>
  <c r="BE55" i="1"/>
  <c r="AU55" i="1"/>
  <c r="BF55" i="1"/>
  <c r="AV55" i="1"/>
  <c r="BG55" i="1"/>
  <c r="BK55" i="1"/>
  <c r="BR55" i="1"/>
  <c r="BS55" i="1"/>
  <c r="BT55" i="1"/>
  <c r="BU55" i="1"/>
  <c r="BW55" i="1"/>
  <c r="BL55" i="1"/>
  <c r="BM55" i="1"/>
  <c r="BN55" i="1"/>
  <c r="BO55" i="1"/>
  <c r="BP55" i="1"/>
  <c r="BV55" i="1"/>
  <c r="BX55" i="1"/>
  <c r="CN55" i="1"/>
  <c r="BY55" i="1"/>
  <c r="CO55" i="1"/>
  <c r="CP55" i="1"/>
  <c r="CA55" i="1"/>
  <c r="CQ55" i="1"/>
  <c r="CH55" i="1"/>
  <c r="CR55" i="1"/>
  <c r="CE55" i="1"/>
  <c r="CG55" i="1"/>
  <c r="BZ55" i="1"/>
  <c r="CJ55" i="1"/>
  <c r="CD55" i="1"/>
  <c r="CF55" i="1"/>
  <c r="CC55" i="1"/>
  <c r="CK55" i="1"/>
  <c r="CL55" i="1"/>
  <c r="CS55" i="1"/>
  <c r="CT55" i="1"/>
  <c r="CU55" i="1"/>
  <c r="CV55" i="1"/>
  <c r="CW55" i="1"/>
  <c r="P56" i="1"/>
  <c r="AB56" i="1"/>
  <c r="Q56" i="1"/>
  <c r="AC56" i="1"/>
  <c r="R56" i="1"/>
  <c r="AD56" i="1"/>
  <c r="S56" i="1"/>
  <c r="AE56" i="1"/>
  <c r="T56" i="1"/>
  <c r="AF56" i="1"/>
  <c r="U56" i="1"/>
  <c r="AG56" i="1"/>
  <c r="V56" i="1"/>
  <c r="AH56" i="1"/>
  <c r="W56" i="1"/>
  <c r="AI56" i="1"/>
  <c r="X56" i="1"/>
  <c r="AJ56" i="1"/>
  <c r="Y56" i="1"/>
  <c r="AK56" i="1"/>
  <c r="AL56" i="1"/>
  <c r="AM56" i="1"/>
  <c r="AX56" i="1"/>
  <c r="AO56" i="1"/>
  <c r="AZ56" i="1"/>
  <c r="BQ56" i="1"/>
  <c r="AN56" i="1"/>
  <c r="AY56" i="1"/>
  <c r="AP56" i="1"/>
  <c r="BA56" i="1"/>
  <c r="AQ56" i="1"/>
  <c r="BB56" i="1"/>
  <c r="AR56" i="1"/>
  <c r="BC56" i="1"/>
  <c r="AS56" i="1"/>
  <c r="BD56" i="1"/>
  <c r="AT56" i="1"/>
  <c r="BE56" i="1"/>
  <c r="AU56" i="1"/>
  <c r="BF56" i="1"/>
  <c r="AV56" i="1"/>
  <c r="BG56" i="1"/>
  <c r="BK56" i="1"/>
  <c r="BR56" i="1"/>
  <c r="BS56" i="1"/>
  <c r="BT56" i="1"/>
  <c r="BU56" i="1"/>
  <c r="BW56" i="1"/>
  <c r="BL56" i="1"/>
  <c r="BM56" i="1"/>
  <c r="BN56" i="1"/>
  <c r="BO56" i="1"/>
  <c r="BP56" i="1"/>
  <c r="BV56" i="1"/>
  <c r="BX56" i="1"/>
  <c r="CN56" i="1"/>
  <c r="BY56" i="1"/>
  <c r="CO56" i="1"/>
  <c r="CP56" i="1"/>
  <c r="CA56" i="1"/>
  <c r="CQ56" i="1"/>
  <c r="CH56" i="1"/>
  <c r="CR56" i="1"/>
  <c r="CE56" i="1"/>
  <c r="CG56" i="1"/>
  <c r="BZ56" i="1"/>
  <c r="CJ56" i="1"/>
  <c r="CD56" i="1"/>
  <c r="CF56" i="1"/>
  <c r="CC56" i="1"/>
  <c r="CK56" i="1"/>
  <c r="CL56" i="1"/>
  <c r="CS56" i="1"/>
  <c r="CT56" i="1"/>
  <c r="CU56" i="1"/>
  <c r="CV56" i="1"/>
  <c r="CW56" i="1"/>
  <c r="P57" i="1"/>
  <c r="AB57" i="1"/>
  <c r="Q57" i="1"/>
  <c r="AC57" i="1"/>
  <c r="R57" i="1"/>
  <c r="AD57" i="1"/>
  <c r="S57" i="1"/>
  <c r="AE57" i="1"/>
  <c r="T57" i="1"/>
  <c r="AF57" i="1"/>
  <c r="U57" i="1"/>
  <c r="AG57" i="1"/>
  <c r="V57" i="1"/>
  <c r="AH57" i="1"/>
  <c r="W57" i="1"/>
  <c r="AI57" i="1"/>
  <c r="X57" i="1"/>
  <c r="AJ57" i="1"/>
  <c r="Y57" i="1"/>
  <c r="AK57" i="1"/>
  <c r="AL57" i="1"/>
  <c r="AM57" i="1"/>
  <c r="AX57" i="1"/>
  <c r="AO57" i="1"/>
  <c r="AZ57" i="1"/>
  <c r="BQ57" i="1"/>
  <c r="AN57" i="1"/>
  <c r="AY57" i="1"/>
  <c r="AP57" i="1"/>
  <c r="BA57" i="1"/>
  <c r="AQ57" i="1"/>
  <c r="BB57" i="1"/>
  <c r="AR57" i="1"/>
  <c r="BC57" i="1"/>
  <c r="AS57" i="1"/>
  <c r="BD57" i="1"/>
  <c r="AT57" i="1"/>
  <c r="BE57" i="1"/>
  <c r="AU57" i="1"/>
  <c r="BF57" i="1"/>
  <c r="AV57" i="1"/>
  <c r="BG57" i="1"/>
  <c r="BK57" i="1"/>
  <c r="BR57" i="1"/>
  <c r="BS57" i="1"/>
  <c r="BT57" i="1"/>
  <c r="BU57" i="1"/>
  <c r="BW57" i="1"/>
  <c r="BL57" i="1"/>
  <c r="BM57" i="1"/>
  <c r="BN57" i="1"/>
  <c r="BO57" i="1"/>
  <c r="BP57" i="1"/>
  <c r="BV57" i="1"/>
  <c r="BX57" i="1"/>
  <c r="CN57" i="1"/>
  <c r="BY57" i="1"/>
  <c r="CO57" i="1"/>
  <c r="CP57" i="1"/>
  <c r="CA57" i="1"/>
  <c r="CQ57" i="1"/>
  <c r="CH57" i="1"/>
  <c r="CR57" i="1"/>
  <c r="CE57" i="1"/>
  <c r="CG57" i="1"/>
  <c r="BZ57" i="1"/>
  <c r="CJ57" i="1"/>
  <c r="CD57" i="1"/>
  <c r="CF57" i="1"/>
  <c r="CC57" i="1"/>
  <c r="CK57" i="1"/>
  <c r="CL57" i="1"/>
  <c r="CS57" i="1"/>
  <c r="CT57" i="1"/>
  <c r="CU57" i="1"/>
  <c r="CV57" i="1"/>
  <c r="CW57" i="1"/>
  <c r="P58" i="1"/>
  <c r="AB58" i="1"/>
  <c r="Q58" i="1"/>
  <c r="AC58" i="1"/>
  <c r="R58" i="1"/>
  <c r="AD58" i="1"/>
  <c r="S58" i="1"/>
  <c r="AE58" i="1"/>
  <c r="T58" i="1"/>
  <c r="AF58" i="1"/>
  <c r="U58" i="1"/>
  <c r="AG58" i="1"/>
  <c r="V58" i="1"/>
  <c r="AH58" i="1"/>
  <c r="W58" i="1"/>
  <c r="AI58" i="1"/>
  <c r="X58" i="1"/>
  <c r="AJ58" i="1"/>
  <c r="Y58" i="1"/>
  <c r="AK58" i="1"/>
  <c r="AL58" i="1"/>
  <c r="AM58" i="1"/>
  <c r="AX58" i="1"/>
  <c r="AO58" i="1"/>
  <c r="AZ58" i="1"/>
  <c r="BQ58" i="1"/>
  <c r="AN58" i="1"/>
  <c r="AY58" i="1"/>
  <c r="AP58" i="1"/>
  <c r="BA58" i="1"/>
  <c r="AQ58" i="1"/>
  <c r="BB58" i="1"/>
  <c r="AR58" i="1"/>
  <c r="BC58" i="1"/>
  <c r="AS58" i="1"/>
  <c r="BD58" i="1"/>
  <c r="AT58" i="1"/>
  <c r="BE58" i="1"/>
  <c r="AU58" i="1"/>
  <c r="BF58" i="1"/>
  <c r="AV58" i="1"/>
  <c r="BG58" i="1"/>
  <c r="BK58" i="1"/>
  <c r="BR58" i="1"/>
  <c r="BS58" i="1"/>
  <c r="BT58" i="1"/>
  <c r="BU58" i="1"/>
  <c r="BW58" i="1"/>
  <c r="BL58" i="1"/>
  <c r="BM58" i="1"/>
  <c r="BN58" i="1"/>
  <c r="BO58" i="1"/>
  <c r="BP58" i="1"/>
  <c r="BV58" i="1"/>
  <c r="BX58" i="1"/>
  <c r="CN58" i="1"/>
  <c r="BY58" i="1"/>
  <c r="CO58" i="1"/>
  <c r="CP58" i="1"/>
  <c r="CA58" i="1"/>
  <c r="CQ58" i="1"/>
  <c r="CH58" i="1"/>
  <c r="CR58" i="1"/>
  <c r="CE58" i="1"/>
  <c r="CG58" i="1"/>
  <c r="BZ58" i="1"/>
  <c r="CJ58" i="1"/>
  <c r="CD58" i="1"/>
  <c r="CF58" i="1"/>
  <c r="CC58" i="1"/>
  <c r="CK58" i="1"/>
  <c r="CL58" i="1"/>
  <c r="CS58" i="1"/>
  <c r="CT58" i="1"/>
  <c r="CU58" i="1"/>
  <c r="CV58" i="1"/>
  <c r="CW58" i="1"/>
  <c r="P59" i="1"/>
  <c r="AB59" i="1"/>
  <c r="Q59" i="1"/>
  <c r="AC59" i="1"/>
  <c r="R59" i="1"/>
  <c r="AD59" i="1"/>
  <c r="S59" i="1"/>
  <c r="AE59" i="1"/>
  <c r="T59" i="1"/>
  <c r="AF59" i="1"/>
  <c r="U59" i="1"/>
  <c r="AG59" i="1"/>
  <c r="V59" i="1"/>
  <c r="AH59" i="1"/>
  <c r="W59" i="1"/>
  <c r="AI59" i="1"/>
  <c r="X59" i="1"/>
  <c r="AJ59" i="1"/>
  <c r="Y59" i="1"/>
  <c r="AK59" i="1"/>
  <c r="AL59" i="1"/>
  <c r="AM59" i="1"/>
  <c r="AX59" i="1"/>
  <c r="AO59" i="1"/>
  <c r="AZ59" i="1"/>
  <c r="BQ59" i="1"/>
  <c r="AN59" i="1"/>
  <c r="AY59" i="1"/>
  <c r="AP59" i="1"/>
  <c r="BA59" i="1"/>
  <c r="AQ59" i="1"/>
  <c r="BB59" i="1"/>
  <c r="AR59" i="1"/>
  <c r="BC59" i="1"/>
  <c r="AS59" i="1"/>
  <c r="BD59" i="1"/>
  <c r="AT59" i="1"/>
  <c r="BE59" i="1"/>
  <c r="AU59" i="1"/>
  <c r="BF59" i="1"/>
  <c r="AV59" i="1"/>
  <c r="BG59" i="1"/>
  <c r="BK59" i="1"/>
  <c r="BR59" i="1"/>
  <c r="BS59" i="1"/>
  <c r="BT59" i="1"/>
  <c r="BU59" i="1"/>
  <c r="BW59" i="1"/>
  <c r="BL59" i="1"/>
  <c r="BM59" i="1"/>
  <c r="BN59" i="1"/>
  <c r="BO59" i="1"/>
  <c r="BP59" i="1"/>
  <c r="BV59" i="1"/>
  <c r="BX59" i="1"/>
  <c r="CN59" i="1"/>
  <c r="BY59" i="1"/>
  <c r="CO59" i="1"/>
  <c r="CP59" i="1"/>
  <c r="CA59" i="1"/>
  <c r="CQ59" i="1"/>
  <c r="CH59" i="1"/>
  <c r="CR59" i="1"/>
  <c r="CE59" i="1"/>
  <c r="CG59" i="1"/>
  <c r="BZ59" i="1"/>
  <c r="CJ59" i="1"/>
  <c r="CD59" i="1"/>
  <c r="CF59" i="1"/>
  <c r="CC59" i="1"/>
  <c r="CK59" i="1"/>
  <c r="CL59" i="1"/>
  <c r="CS59" i="1"/>
  <c r="CT59" i="1"/>
  <c r="CU59" i="1"/>
  <c r="CV59" i="1"/>
  <c r="CW59" i="1"/>
  <c r="P60" i="1"/>
  <c r="AB60" i="1"/>
  <c r="Q60" i="1"/>
  <c r="AC60" i="1"/>
  <c r="R60" i="1"/>
  <c r="AD60" i="1"/>
  <c r="S60" i="1"/>
  <c r="AE60" i="1"/>
  <c r="T60" i="1"/>
  <c r="AF60" i="1"/>
  <c r="U60" i="1"/>
  <c r="AG60" i="1"/>
  <c r="V60" i="1"/>
  <c r="AH60" i="1"/>
  <c r="W60" i="1"/>
  <c r="AI60" i="1"/>
  <c r="X60" i="1"/>
  <c r="AJ60" i="1"/>
  <c r="Y60" i="1"/>
  <c r="AK60" i="1"/>
  <c r="AL60" i="1"/>
  <c r="AM60" i="1"/>
  <c r="AX60" i="1"/>
  <c r="AO60" i="1"/>
  <c r="AZ60" i="1"/>
  <c r="BQ60" i="1"/>
  <c r="AN60" i="1"/>
  <c r="AY60" i="1"/>
  <c r="AP60" i="1"/>
  <c r="BA60" i="1"/>
  <c r="AQ60" i="1"/>
  <c r="BB60" i="1"/>
  <c r="AR60" i="1"/>
  <c r="BC60" i="1"/>
  <c r="AS60" i="1"/>
  <c r="BD60" i="1"/>
  <c r="AT60" i="1"/>
  <c r="BE60" i="1"/>
  <c r="AU60" i="1"/>
  <c r="BF60" i="1"/>
  <c r="AV60" i="1"/>
  <c r="BG60" i="1"/>
  <c r="BK60" i="1"/>
  <c r="BR60" i="1"/>
  <c r="BS60" i="1"/>
  <c r="BT60" i="1"/>
  <c r="BU60" i="1"/>
  <c r="BW60" i="1"/>
  <c r="BL60" i="1"/>
  <c r="BM60" i="1"/>
  <c r="BN60" i="1"/>
  <c r="BO60" i="1"/>
  <c r="BP60" i="1"/>
  <c r="BV60" i="1"/>
  <c r="BX60" i="1"/>
  <c r="CN60" i="1"/>
  <c r="BY60" i="1"/>
  <c r="CO60" i="1"/>
  <c r="CP60" i="1"/>
  <c r="CA60" i="1"/>
  <c r="CQ60" i="1"/>
  <c r="CH60" i="1"/>
  <c r="CR60" i="1"/>
  <c r="CE60" i="1"/>
  <c r="CG60" i="1"/>
  <c r="BZ60" i="1"/>
  <c r="CJ60" i="1"/>
  <c r="CD60" i="1"/>
  <c r="CF60" i="1"/>
  <c r="CC60" i="1"/>
  <c r="CK60" i="1"/>
  <c r="CL60" i="1"/>
  <c r="CS60" i="1"/>
  <c r="CT60" i="1"/>
  <c r="CU60" i="1"/>
  <c r="CV60" i="1"/>
  <c r="CW60" i="1"/>
  <c r="P61" i="1"/>
  <c r="AB61" i="1"/>
  <c r="Q61" i="1"/>
  <c r="AC61" i="1"/>
  <c r="R61" i="1"/>
  <c r="AD61" i="1"/>
  <c r="S61" i="1"/>
  <c r="AE61" i="1"/>
  <c r="T61" i="1"/>
  <c r="AF61" i="1"/>
  <c r="U61" i="1"/>
  <c r="AG61" i="1"/>
  <c r="V61" i="1"/>
  <c r="AH61" i="1"/>
  <c r="W61" i="1"/>
  <c r="AI61" i="1"/>
  <c r="X61" i="1"/>
  <c r="AJ61" i="1"/>
  <c r="Y61" i="1"/>
  <c r="AK61" i="1"/>
  <c r="AL61" i="1"/>
  <c r="AM61" i="1"/>
  <c r="AX61" i="1"/>
  <c r="AO61" i="1"/>
  <c r="AZ61" i="1"/>
  <c r="BQ61" i="1"/>
  <c r="AN61" i="1"/>
  <c r="AY61" i="1"/>
  <c r="AP61" i="1"/>
  <c r="BA61" i="1"/>
  <c r="AQ61" i="1"/>
  <c r="BB61" i="1"/>
  <c r="AR61" i="1"/>
  <c r="BC61" i="1"/>
  <c r="AS61" i="1"/>
  <c r="BD61" i="1"/>
  <c r="AT61" i="1"/>
  <c r="BE61" i="1"/>
  <c r="AU61" i="1"/>
  <c r="BF61" i="1"/>
  <c r="AV61" i="1"/>
  <c r="BG61" i="1"/>
  <c r="BK61" i="1"/>
  <c r="BR61" i="1"/>
  <c r="BS61" i="1"/>
  <c r="BT61" i="1"/>
  <c r="BU61" i="1"/>
  <c r="BW61" i="1"/>
  <c r="BL61" i="1"/>
  <c r="BM61" i="1"/>
  <c r="BN61" i="1"/>
  <c r="BO61" i="1"/>
  <c r="BP61" i="1"/>
  <c r="BV61" i="1"/>
  <c r="BX61" i="1"/>
  <c r="CN61" i="1"/>
  <c r="BY61" i="1"/>
  <c r="CO61" i="1"/>
  <c r="CP61" i="1"/>
  <c r="CA61" i="1"/>
  <c r="CQ61" i="1"/>
  <c r="CH61" i="1"/>
  <c r="CR61" i="1"/>
  <c r="CE61" i="1"/>
  <c r="CG61" i="1"/>
  <c r="BZ61" i="1"/>
  <c r="CJ61" i="1"/>
  <c r="CD61" i="1"/>
  <c r="CF61" i="1"/>
  <c r="CC61" i="1"/>
  <c r="CK61" i="1"/>
  <c r="CL61" i="1"/>
  <c r="CS61" i="1"/>
  <c r="CT61" i="1"/>
  <c r="CU61" i="1"/>
  <c r="CV61" i="1"/>
  <c r="CW61" i="1"/>
  <c r="P62" i="1"/>
  <c r="AB62" i="1"/>
  <c r="Q62" i="1"/>
  <c r="AC62" i="1"/>
  <c r="R62" i="1"/>
  <c r="AD62" i="1"/>
  <c r="S62" i="1"/>
  <c r="AE62" i="1"/>
  <c r="T62" i="1"/>
  <c r="AF62" i="1"/>
  <c r="U62" i="1"/>
  <c r="AG62" i="1"/>
  <c r="V62" i="1"/>
  <c r="AH62" i="1"/>
  <c r="W62" i="1"/>
  <c r="AI62" i="1"/>
  <c r="X62" i="1"/>
  <c r="AJ62" i="1"/>
  <c r="Y62" i="1"/>
  <c r="AK62" i="1"/>
  <c r="AL62" i="1"/>
  <c r="AM62" i="1"/>
  <c r="AX62" i="1"/>
  <c r="AO62" i="1"/>
  <c r="AZ62" i="1"/>
  <c r="BQ62" i="1"/>
  <c r="AN62" i="1"/>
  <c r="AY62" i="1"/>
  <c r="AP62" i="1"/>
  <c r="BA62" i="1"/>
  <c r="AQ62" i="1"/>
  <c r="BB62" i="1"/>
  <c r="AR62" i="1"/>
  <c r="BC62" i="1"/>
  <c r="AS62" i="1"/>
  <c r="BD62" i="1"/>
  <c r="AT62" i="1"/>
  <c r="BE62" i="1"/>
  <c r="AU62" i="1"/>
  <c r="BF62" i="1"/>
  <c r="AV62" i="1"/>
  <c r="BG62" i="1"/>
  <c r="BK62" i="1"/>
  <c r="BR62" i="1"/>
  <c r="BS62" i="1"/>
  <c r="BT62" i="1"/>
  <c r="BU62" i="1"/>
  <c r="BW62" i="1"/>
  <c r="BL62" i="1"/>
  <c r="BM62" i="1"/>
  <c r="BN62" i="1"/>
  <c r="BO62" i="1"/>
  <c r="BP62" i="1"/>
  <c r="BV62" i="1"/>
  <c r="BX62" i="1"/>
  <c r="CN62" i="1"/>
  <c r="BY62" i="1"/>
  <c r="CO62" i="1"/>
  <c r="CP62" i="1"/>
  <c r="CA62" i="1"/>
  <c r="CQ62" i="1"/>
  <c r="CH62" i="1"/>
  <c r="CR62" i="1"/>
  <c r="CE62" i="1"/>
  <c r="CG62" i="1"/>
  <c r="BZ62" i="1"/>
  <c r="CJ62" i="1"/>
  <c r="CD62" i="1"/>
  <c r="CF62" i="1"/>
  <c r="CC62" i="1"/>
  <c r="CK62" i="1"/>
  <c r="CL62" i="1"/>
  <c r="CS62" i="1"/>
  <c r="CT62" i="1"/>
  <c r="CU62" i="1"/>
  <c r="CV62" i="1"/>
  <c r="CW62" i="1"/>
  <c r="P63" i="1"/>
  <c r="AB63" i="1"/>
  <c r="Q63" i="1"/>
  <c r="AC63" i="1"/>
  <c r="R63" i="1"/>
  <c r="AD63" i="1"/>
  <c r="S63" i="1"/>
  <c r="AE63" i="1"/>
  <c r="T63" i="1"/>
  <c r="AF63" i="1"/>
  <c r="U63" i="1"/>
  <c r="AG63" i="1"/>
  <c r="V63" i="1"/>
  <c r="AH63" i="1"/>
  <c r="W63" i="1"/>
  <c r="AI63" i="1"/>
  <c r="X63" i="1"/>
  <c r="AJ63" i="1"/>
  <c r="Y63" i="1"/>
  <c r="AK63" i="1"/>
  <c r="AL63" i="1"/>
  <c r="AM63" i="1"/>
  <c r="AX63" i="1"/>
  <c r="AO63" i="1"/>
  <c r="AZ63" i="1"/>
  <c r="BQ63" i="1"/>
  <c r="AN63" i="1"/>
  <c r="AY63" i="1"/>
  <c r="AP63" i="1"/>
  <c r="BA63" i="1"/>
  <c r="AQ63" i="1"/>
  <c r="BB63" i="1"/>
  <c r="AR63" i="1"/>
  <c r="BC63" i="1"/>
  <c r="AS63" i="1"/>
  <c r="BD63" i="1"/>
  <c r="AT63" i="1"/>
  <c r="BE63" i="1"/>
  <c r="AU63" i="1"/>
  <c r="BF63" i="1"/>
  <c r="AV63" i="1"/>
  <c r="BG63" i="1"/>
  <c r="BK63" i="1"/>
  <c r="BR63" i="1"/>
  <c r="BS63" i="1"/>
  <c r="BT63" i="1"/>
  <c r="BU63" i="1"/>
  <c r="BW63" i="1"/>
  <c r="BL63" i="1"/>
  <c r="BM63" i="1"/>
  <c r="BN63" i="1"/>
  <c r="BO63" i="1"/>
  <c r="BP63" i="1"/>
  <c r="BV63" i="1"/>
  <c r="BX63" i="1"/>
  <c r="CN63" i="1"/>
  <c r="BY63" i="1"/>
  <c r="CO63" i="1"/>
  <c r="CP63" i="1"/>
  <c r="CA63" i="1"/>
  <c r="CQ63" i="1"/>
  <c r="CH63" i="1"/>
  <c r="CR63" i="1"/>
  <c r="CE63" i="1"/>
  <c r="CG63" i="1"/>
  <c r="BZ63" i="1"/>
  <c r="CJ63" i="1"/>
  <c r="CD63" i="1"/>
  <c r="CF63" i="1"/>
  <c r="CC63" i="1"/>
  <c r="CK63" i="1"/>
  <c r="CL63" i="1"/>
  <c r="CS63" i="1"/>
  <c r="CT63" i="1"/>
  <c r="CU63" i="1"/>
  <c r="CV63" i="1"/>
  <c r="CW63" i="1"/>
  <c r="AJ7" i="8"/>
  <c r="GU7" i="1"/>
  <c r="GU8" i="1"/>
  <c r="GU9" i="1"/>
  <c r="GU10" i="1"/>
  <c r="CY7" i="1"/>
  <c r="DF7" i="1"/>
  <c r="CZ7" i="1"/>
  <c r="DA7" i="1"/>
  <c r="DB7" i="1"/>
  <c r="DC7" i="1"/>
  <c r="DD7" i="1"/>
  <c r="DE7" i="1"/>
  <c r="DG7" i="1"/>
  <c r="DH7" i="1"/>
  <c r="DI7" i="1"/>
  <c r="EC7" i="1"/>
  <c r="EH7" i="1"/>
  <c r="EI7" i="1"/>
  <c r="O3" i="1"/>
  <c r="EO7" i="1"/>
  <c r="EP7" i="1"/>
  <c r="M3" i="1"/>
  <c r="Z7" i="1"/>
  <c r="BH7" i="1"/>
  <c r="AA7" i="1"/>
  <c r="BI7" i="1"/>
  <c r="BJ7" i="1"/>
  <c r="DN7" i="1"/>
  <c r="EA7" i="1"/>
  <c r="P3" i="1"/>
  <c r="EQ7" i="1"/>
  <c r="ER7" i="1"/>
  <c r="EZ7" i="1"/>
  <c r="EF7" i="1"/>
  <c r="ED7" i="1"/>
  <c r="ES7" i="1"/>
  <c r="ET7" i="1"/>
  <c r="EW7" i="1"/>
  <c r="EE7" i="1"/>
  <c r="EU7" i="1"/>
  <c r="EX7" i="1"/>
  <c r="EG7" i="1"/>
  <c r="EY7" i="1"/>
  <c r="EJ7" i="1"/>
  <c r="FA7" i="1"/>
  <c r="FB7" i="1"/>
  <c r="EM7" i="1"/>
  <c r="FE7" i="1"/>
  <c r="EK7" i="1"/>
  <c r="FF7" i="1"/>
  <c r="FG7" i="1"/>
  <c r="FI7" i="1"/>
  <c r="EN7" i="1"/>
  <c r="FJ7" i="1"/>
  <c r="FK7" i="1"/>
  <c r="FL7" i="1"/>
  <c r="FM7" i="1"/>
  <c r="FN7" i="1"/>
  <c r="FS7" i="1"/>
  <c r="FP7" i="1"/>
  <c r="FU7" i="1"/>
  <c r="GV7" i="1"/>
  <c r="FO7" i="1"/>
  <c r="FT7" i="1"/>
  <c r="GW7" i="1"/>
  <c r="FY7" i="1"/>
  <c r="FZ7" i="1"/>
  <c r="GA7" i="1"/>
  <c r="GF7" i="1"/>
  <c r="GG7" i="1"/>
  <c r="GH7" i="1"/>
  <c r="GX7" i="1"/>
  <c r="GI7" i="1"/>
  <c r="GY7" i="1"/>
  <c r="CY8" i="1"/>
  <c r="DF8" i="1"/>
  <c r="CZ8" i="1"/>
  <c r="DA8" i="1"/>
  <c r="DB8" i="1"/>
  <c r="DC8" i="1"/>
  <c r="DD8" i="1"/>
  <c r="DE8" i="1"/>
  <c r="DG8" i="1"/>
  <c r="DH8" i="1"/>
  <c r="DI8" i="1"/>
  <c r="EC8" i="1"/>
  <c r="EH8" i="1"/>
  <c r="EI8" i="1"/>
  <c r="EO8" i="1"/>
  <c r="EP8" i="1"/>
  <c r="Z8" i="1"/>
  <c r="BH8" i="1"/>
  <c r="AA8" i="1"/>
  <c r="BI8" i="1"/>
  <c r="BJ8" i="1"/>
  <c r="DN8" i="1"/>
  <c r="EA8" i="1"/>
  <c r="EQ8" i="1"/>
  <c r="ER8" i="1"/>
  <c r="EZ8" i="1"/>
  <c r="EF8" i="1"/>
  <c r="ED8" i="1"/>
  <c r="ES8" i="1"/>
  <c r="ET8" i="1"/>
  <c r="EW8" i="1"/>
  <c r="EE8" i="1"/>
  <c r="EU8" i="1"/>
  <c r="EX8" i="1"/>
  <c r="EG8" i="1"/>
  <c r="EY8" i="1"/>
  <c r="EJ8" i="1"/>
  <c r="FA8" i="1"/>
  <c r="FB8" i="1"/>
  <c r="EM8" i="1"/>
  <c r="FE8" i="1"/>
  <c r="EK8" i="1"/>
  <c r="FF8" i="1"/>
  <c r="FG8" i="1"/>
  <c r="FI8" i="1"/>
  <c r="EN8" i="1"/>
  <c r="FJ8" i="1"/>
  <c r="FK8" i="1"/>
  <c r="FL8" i="1"/>
  <c r="FM8" i="1"/>
  <c r="FN8" i="1"/>
  <c r="FS8" i="1"/>
  <c r="FP8" i="1"/>
  <c r="FU8" i="1"/>
  <c r="GV8" i="1"/>
  <c r="FO8" i="1"/>
  <c r="FT8" i="1"/>
  <c r="GW8" i="1"/>
  <c r="FY8" i="1"/>
  <c r="FZ8" i="1"/>
  <c r="GF8" i="1"/>
  <c r="GG8" i="1"/>
  <c r="GH8" i="1"/>
  <c r="GX8" i="1"/>
  <c r="GI8" i="1"/>
  <c r="GY8" i="1"/>
  <c r="CY9" i="1"/>
  <c r="DF9" i="1"/>
  <c r="CZ9" i="1"/>
  <c r="DA9" i="1"/>
  <c r="DB9" i="1"/>
  <c r="DC9" i="1"/>
  <c r="DD9" i="1"/>
  <c r="DE9" i="1"/>
  <c r="DG9" i="1"/>
  <c r="DH9" i="1"/>
  <c r="DI9" i="1"/>
  <c r="EC9" i="1"/>
  <c r="EH9" i="1"/>
  <c r="EI9" i="1"/>
  <c r="EO9" i="1"/>
  <c r="EP9" i="1"/>
  <c r="Z9" i="1"/>
  <c r="BH9" i="1"/>
  <c r="AA9" i="1"/>
  <c r="BI9" i="1"/>
  <c r="BJ9" i="1"/>
  <c r="DN9" i="1"/>
  <c r="EA9" i="1"/>
  <c r="EQ9" i="1"/>
  <c r="ER9" i="1"/>
  <c r="EZ9" i="1"/>
  <c r="EF9" i="1"/>
  <c r="ED9" i="1"/>
  <c r="ES9" i="1"/>
  <c r="ET9" i="1"/>
  <c r="EW9" i="1"/>
  <c r="EE9" i="1"/>
  <c r="EU9" i="1"/>
  <c r="EX9" i="1"/>
  <c r="EG9" i="1"/>
  <c r="EY9" i="1"/>
  <c r="EJ9" i="1"/>
  <c r="FA9" i="1"/>
  <c r="FB9" i="1"/>
  <c r="EM9" i="1"/>
  <c r="FE9" i="1"/>
  <c r="EK9" i="1"/>
  <c r="FF9" i="1"/>
  <c r="FG9" i="1"/>
  <c r="FI9" i="1"/>
  <c r="EN9" i="1"/>
  <c r="FJ9" i="1"/>
  <c r="FK9" i="1"/>
  <c r="FL9" i="1"/>
  <c r="FM9" i="1"/>
  <c r="FN9" i="1"/>
  <c r="FS9" i="1"/>
  <c r="FP9" i="1"/>
  <c r="FU9" i="1"/>
  <c r="GV9" i="1"/>
  <c r="FO9" i="1"/>
  <c r="FT9" i="1"/>
  <c r="GW9" i="1"/>
  <c r="FY9" i="1"/>
  <c r="FZ9" i="1"/>
  <c r="GF9" i="1"/>
  <c r="GG9" i="1"/>
  <c r="GH9" i="1"/>
  <c r="GX9" i="1"/>
  <c r="GI9" i="1"/>
  <c r="GY9" i="1"/>
  <c r="CY10" i="1"/>
  <c r="DF10" i="1"/>
  <c r="CZ10" i="1"/>
  <c r="DA10" i="1"/>
  <c r="DB10" i="1"/>
  <c r="DC10" i="1"/>
  <c r="DD10" i="1"/>
  <c r="DE10" i="1"/>
  <c r="DG10" i="1"/>
  <c r="DH10" i="1"/>
  <c r="DI10" i="1"/>
  <c r="EC10" i="1"/>
  <c r="EH10" i="1"/>
  <c r="EI10" i="1"/>
  <c r="EO10" i="1"/>
  <c r="EP10" i="1"/>
  <c r="Z10" i="1"/>
  <c r="BH10" i="1"/>
  <c r="AA10" i="1"/>
  <c r="BI10" i="1"/>
  <c r="BJ10" i="1"/>
  <c r="DN10" i="1"/>
  <c r="EA10" i="1"/>
  <c r="EQ10" i="1"/>
  <c r="ER10" i="1"/>
  <c r="EZ10" i="1"/>
  <c r="EF10" i="1"/>
  <c r="ED10" i="1"/>
  <c r="ES10" i="1"/>
  <c r="ET10" i="1"/>
  <c r="EW10" i="1"/>
  <c r="EE10" i="1"/>
  <c r="EU10" i="1"/>
  <c r="EX10" i="1"/>
  <c r="EG10" i="1"/>
  <c r="EY10" i="1"/>
  <c r="EJ10" i="1"/>
  <c r="FA10" i="1"/>
  <c r="FB10" i="1"/>
  <c r="EM10" i="1"/>
  <c r="FE10" i="1"/>
  <c r="EK10" i="1"/>
  <c r="FF10" i="1"/>
  <c r="FG10" i="1"/>
  <c r="FI10" i="1"/>
  <c r="EN10" i="1"/>
  <c r="FJ10" i="1"/>
  <c r="FK10" i="1"/>
  <c r="FL10" i="1"/>
  <c r="FM10" i="1"/>
  <c r="FN10" i="1"/>
  <c r="FS10" i="1"/>
  <c r="FP10" i="1"/>
  <c r="FU10" i="1"/>
  <c r="GV10" i="1"/>
  <c r="FO10" i="1"/>
  <c r="FT10" i="1"/>
  <c r="GW10" i="1"/>
  <c r="FY10" i="1"/>
  <c r="FZ10" i="1"/>
  <c r="GA10" i="1"/>
  <c r="GF10" i="1"/>
  <c r="GG10" i="1"/>
  <c r="GH10" i="1"/>
  <c r="GX10" i="1"/>
  <c r="GI10" i="1"/>
  <c r="GY10" i="1"/>
  <c r="GU11" i="1"/>
  <c r="CY11" i="1"/>
  <c r="DF11" i="1"/>
  <c r="CZ11" i="1"/>
  <c r="DA11" i="1"/>
  <c r="DB11" i="1"/>
  <c r="DC11" i="1"/>
  <c r="DD11" i="1"/>
  <c r="DE11" i="1"/>
  <c r="DG11" i="1"/>
  <c r="DH11" i="1"/>
  <c r="DI11" i="1"/>
  <c r="EC11" i="1"/>
  <c r="EH11" i="1"/>
  <c r="EI11" i="1"/>
  <c r="EO11" i="1"/>
  <c r="EP11" i="1"/>
  <c r="Z11" i="1"/>
  <c r="BH11" i="1"/>
  <c r="AA11" i="1"/>
  <c r="BI11" i="1"/>
  <c r="BJ11" i="1"/>
  <c r="DN11" i="1"/>
  <c r="EA11" i="1"/>
  <c r="EQ11" i="1"/>
  <c r="ER11" i="1"/>
  <c r="EZ11" i="1"/>
  <c r="EF11" i="1"/>
  <c r="ED11" i="1"/>
  <c r="ES11" i="1"/>
  <c r="ET11" i="1"/>
  <c r="EW11" i="1"/>
  <c r="EE11" i="1"/>
  <c r="EU11" i="1"/>
  <c r="EX11" i="1"/>
  <c r="EG11" i="1"/>
  <c r="EY11" i="1"/>
  <c r="EJ11" i="1"/>
  <c r="FA11" i="1"/>
  <c r="FB11" i="1"/>
  <c r="EM11" i="1"/>
  <c r="FE11" i="1"/>
  <c r="EK11" i="1"/>
  <c r="FF11" i="1"/>
  <c r="FG11" i="1"/>
  <c r="FI11" i="1"/>
  <c r="EN11" i="1"/>
  <c r="FJ11" i="1"/>
  <c r="FK11" i="1"/>
  <c r="FL11" i="1"/>
  <c r="FM11" i="1"/>
  <c r="FN11" i="1"/>
  <c r="FS11" i="1"/>
  <c r="FP11" i="1"/>
  <c r="FU11" i="1"/>
  <c r="GV11" i="1"/>
  <c r="FO11" i="1"/>
  <c r="FT11" i="1"/>
  <c r="GW11" i="1"/>
  <c r="FY11" i="1"/>
  <c r="FZ11" i="1"/>
  <c r="GA11" i="1"/>
  <c r="GF11" i="1"/>
  <c r="GG11" i="1"/>
  <c r="GH11" i="1"/>
  <c r="GX11" i="1"/>
  <c r="GI11" i="1"/>
  <c r="GY11" i="1"/>
  <c r="GU12" i="1"/>
  <c r="CY12" i="1"/>
  <c r="DF12" i="1"/>
  <c r="CZ12" i="1"/>
  <c r="DA12" i="1"/>
  <c r="DB12" i="1"/>
  <c r="DC12" i="1"/>
  <c r="DD12" i="1"/>
  <c r="DE12" i="1"/>
  <c r="DG12" i="1"/>
  <c r="DH12" i="1"/>
  <c r="DI12" i="1"/>
  <c r="EC12" i="1"/>
  <c r="EH12" i="1"/>
  <c r="EI12" i="1"/>
  <c r="EO12" i="1"/>
  <c r="EP12" i="1"/>
  <c r="Z12" i="1"/>
  <c r="BH12" i="1"/>
  <c r="AA12" i="1"/>
  <c r="BI12" i="1"/>
  <c r="BJ12" i="1"/>
  <c r="DN12" i="1"/>
  <c r="EA12" i="1"/>
  <c r="EQ12" i="1"/>
  <c r="ER12" i="1"/>
  <c r="EZ12" i="1"/>
  <c r="EF12" i="1"/>
  <c r="ED12" i="1"/>
  <c r="ES12" i="1"/>
  <c r="ET12" i="1"/>
  <c r="EW12" i="1"/>
  <c r="EE12" i="1"/>
  <c r="EU12" i="1"/>
  <c r="EX12" i="1"/>
  <c r="EG12" i="1"/>
  <c r="EY12" i="1"/>
  <c r="EJ12" i="1"/>
  <c r="FA12" i="1"/>
  <c r="FB12" i="1"/>
  <c r="EM12" i="1"/>
  <c r="FE12" i="1"/>
  <c r="EK12" i="1"/>
  <c r="FF12" i="1"/>
  <c r="FG12" i="1"/>
  <c r="FI12" i="1"/>
  <c r="EN12" i="1"/>
  <c r="FJ12" i="1"/>
  <c r="FK12" i="1"/>
  <c r="FL12" i="1"/>
  <c r="FM12" i="1"/>
  <c r="FN12" i="1"/>
  <c r="FS12" i="1"/>
  <c r="FP12" i="1"/>
  <c r="FU12" i="1"/>
  <c r="GV12" i="1"/>
  <c r="FO12" i="1"/>
  <c r="FT12" i="1"/>
  <c r="GW12" i="1"/>
  <c r="FY12" i="1"/>
  <c r="FZ12" i="1"/>
  <c r="GA12" i="1"/>
  <c r="GF12" i="1"/>
  <c r="GG12" i="1"/>
  <c r="GH12" i="1"/>
  <c r="GX12" i="1"/>
  <c r="GI12" i="1"/>
  <c r="GY12" i="1"/>
  <c r="GU13" i="1"/>
  <c r="CY13" i="1"/>
  <c r="DF13" i="1"/>
  <c r="CZ13" i="1"/>
  <c r="DA13" i="1"/>
  <c r="DB13" i="1"/>
  <c r="DC13" i="1"/>
  <c r="DD13" i="1"/>
  <c r="DE13" i="1"/>
  <c r="DG13" i="1"/>
  <c r="DH13" i="1"/>
  <c r="DI13" i="1"/>
  <c r="EC13" i="1"/>
  <c r="EH13" i="1"/>
  <c r="EI13" i="1"/>
  <c r="EO13" i="1"/>
  <c r="EP13" i="1"/>
  <c r="Z13" i="1"/>
  <c r="BH13" i="1"/>
  <c r="AA13" i="1"/>
  <c r="BI13" i="1"/>
  <c r="BJ13" i="1"/>
  <c r="DN13" i="1"/>
  <c r="EA13" i="1"/>
  <c r="EQ13" i="1"/>
  <c r="ER13" i="1"/>
  <c r="EZ13" i="1"/>
  <c r="EF13" i="1"/>
  <c r="ED13" i="1"/>
  <c r="ES13" i="1"/>
  <c r="ET13" i="1"/>
  <c r="EW13" i="1"/>
  <c r="EE13" i="1"/>
  <c r="EU13" i="1"/>
  <c r="EX13" i="1"/>
  <c r="EG13" i="1"/>
  <c r="EY13" i="1"/>
  <c r="EJ13" i="1"/>
  <c r="FA13" i="1"/>
  <c r="FB13" i="1"/>
  <c r="EM13" i="1"/>
  <c r="FE13" i="1"/>
  <c r="EK13" i="1"/>
  <c r="FF13" i="1"/>
  <c r="FG13" i="1"/>
  <c r="FI13" i="1"/>
  <c r="EN13" i="1"/>
  <c r="FJ13" i="1"/>
  <c r="FK13" i="1"/>
  <c r="FL13" i="1"/>
  <c r="FM13" i="1"/>
  <c r="FN13" i="1"/>
  <c r="FS13" i="1"/>
  <c r="FP13" i="1"/>
  <c r="FU13" i="1"/>
  <c r="GV13" i="1"/>
  <c r="FO13" i="1"/>
  <c r="FT13" i="1"/>
  <c r="GW13" i="1"/>
  <c r="FY13" i="1"/>
  <c r="FZ13" i="1"/>
  <c r="GF13" i="1"/>
  <c r="GG13" i="1"/>
  <c r="GH13" i="1"/>
  <c r="GX13" i="1"/>
  <c r="GI13" i="1"/>
  <c r="GY13" i="1"/>
  <c r="GU14" i="1"/>
  <c r="CY14" i="1"/>
  <c r="DF14" i="1"/>
  <c r="CZ14" i="1"/>
  <c r="DA14" i="1"/>
  <c r="DB14" i="1"/>
  <c r="DC14" i="1"/>
  <c r="DD14" i="1"/>
  <c r="DE14" i="1"/>
  <c r="DG14" i="1"/>
  <c r="DH14" i="1"/>
  <c r="DI14" i="1"/>
  <c r="EC14" i="1"/>
  <c r="EH14" i="1"/>
  <c r="EI14" i="1"/>
  <c r="EO14" i="1"/>
  <c r="EP14" i="1"/>
  <c r="Z14" i="1"/>
  <c r="BH14" i="1"/>
  <c r="AA14" i="1"/>
  <c r="BI14" i="1"/>
  <c r="BJ14" i="1"/>
  <c r="DN14" i="1"/>
  <c r="EA14" i="1"/>
  <c r="EQ14" i="1"/>
  <c r="ER14" i="1"/>
  <c r="EZ14" i="1"/>
  <c r="EF14" i="1"/>
  <c r="ED14" i="1"/>
  <c r="ES14" i="1"/>
  <c r="ET14" i="1"/>
  <c r="EW14" i="1"/>
  <c r="EE14" i="1"/>
  <c r="EU14" i="1"/>
  <c r="EX14" i="1"/>
  <c r="EG14" i="1"/>
  <c r="EY14" i="1"/>
  <c r="EJ14" i="1"/>
  <c r="FA14" i="1"/>
  <c r="FB14" i="1"/>
  <c r="EM14" i="1"/>
  <c r="FE14" i="1"/>
  <c r="EK14" i="1"/>
  <c r="FF14" i="1"/>
  <c r="FG14" i="1"/>
  <c r="FI14" i="1"/>
  <c r="EN14" i="1"/>
  <c r="FJ14" i="1"/>
  <c r="FK14" i="1"/>
  <c r="FL14" i="1"/>
  <c r="FM14" i="1"/>
  <c r="FN14" i="1"/>
  <c r="FS14" i="1"/>
  <c r="FP14" i="1"/>
  <c r="FU14" i="1"/>
  <c r="GV14" i="1"/>
  <c r="FO14" i="1"/>
  <c r="FT14" i="1"/>
  <c r="GW14" i="1"/>
  <c r="FY14" i="1"/>
  <c r="FZ14" i="1"/>
  <c r="GF14" i="1"/>
  <c r="GG14" i="1"/>
  <c r="GH14" i="1"/>
  <c r="GX14" i="1"/>
  <c r="GI14" i="1"/>
  <c r="GY14" i="1"/>
  <c r="GU15" i="1"/>
  <c r="CY15" i="1"/>
  <c r="DF15" i="1"/>
  <c r="CZ15" i="1"/>
  <c r="DA15" i="1"/>
  <c r="DB15" i="1"/>
  <c r="DC15" i="1"/>
  <c r="DD15" i="1"/>
  <c r="DE15" i="1"/>
  <c r="DG15" i="1"/>
  <c r="DH15" i="1"/>
  <c r="DI15" i="1"/>
  <c r="EC15" i="1"/>
  <c r="EH15" i="1"/>
  <c r="EI15" i="1"/>
  <c r="EO15" i="1"/>
  <c r="EP15" i="1"/>
  <c r="Z15" i="1"/>
  <c r="BH15" i="1"/>
  <c r="AA15" i="1"/>
  <c r="BI15" i="1"/>
  <c r="BJ15" i="1"/>
  <c r="DN15" i="1"/>
  <c r="EA15" i="1"/>
  <c r="EQ15" i="1"/>
  <c r="ER15" i="1"/>
  <c r="EZ15" i="1"/>
  <c r="EF15" i="1"/>
  <c r="ED15" i="1"/>
  <c r="ES15" i="1"/>
  <c r="ET15" i="1"/>
  <c r="EW15" i="1"/>
  <c r="EE15" i="1"/>
  <c r="EU15" i="1"/>
  <c r="EX15" i="1"/>
  <c r="EG15" i="1"/>
  <c r="EY15" i="1"/>
  <c r="EJ15" i="1"/>
  <c r="FA15" i="1"/>
  <c r="FB15" i="1"/>
  <c r="EM15" i="1"/>
  <c r="FE15" i="1"/>
  <c r="EK15" i="1"/>
  <c r="FF15" i="1"/>
  <c r="FG15" i="1"/>
  <c r="FI15" i="1"/>
  <c r="EN15" i="1"/>
  <c r="FJ15" i="1"/>
  <c r="FK15" i="1"/>
  <c r="FL15" i="1"/>
  <c r="FM15" i="1"/>
  <c r="FN15" i="1"/>
  <c r="FS15" i="1"/>
  <c r="FP15" i="1"/>
  <c r="FU15" i="1"/>
  <c r="GV15" i="1"/>
  <c r="FO15" i="1"/>
  <c r="FT15" i="1"/>
  <c r="GW15" i="1"/>
  <c r="FY15" i="1"/>
  <c r="FZ15" i="1"/>
  <c r="GF15" i="1"/>
  <c r="GG15" i="1"/>
  <c r="GH15" i="1"/>
  <c r="GX15" i="1"/>
  <c r="GI15" i="1"/>
  <c r="GY15" i="1"/>
  <c r="GU16" i="1"/>
  <c r="CY16" i="1"/>
  <c r="DF16" i="1"/>
  <c r="CZ16" i="1"/>
  <c r="DA16" i="1"/>
  <c r="DB16" i="1"/>
  <c r="DC16" i="1"/>
  <c r="DD16" i="1"/>
  <c r="DE16" i="1"/>
  <c r="DG16" i="1"/>
  <c r="DH16" i="1"/>
  <c r="DI16" i="1"/>
  <c r="EC16" i="1"/>
  <c r="EH16" i="1"/>
  <c r="EI16" i="1"/>
  <c r="EO16" i="1"/>
  <c r="EP16" i="1"/>
  <c r="Z16" i="1"/>
  <c r="BH16" i="1"/>
  <c r="AA16" i="1"/>
  <c r="BI16" i="1"/>
  <c r="BJ16" i="1"/>
  <c r="DN16" i="1"/>
  <c r="EA16" i="1"/>
  <c r="EQ16" i="1"/>
  <c r="ER16" i="1"/>
  <c r="EZ16" i="1"/>
  <c r="EF16" i="1"/>
  <c r="ED16" i="1"/>
  <c r="ES16" i="1"/>
  <c r="ET16" i="1"/>
  <c r="EW16" i="1"/>
  <c r="EE16" i="1"/>
  <c r="EU16" i="1"/>
  <c r="EX16" i="1"/>
  <c r="EG16" i="1"/>
  <c r="EY16" i="1"/>
  <c r="EJ16" i="1"/>
  <c r="FA16" i="1"/>
  <c r="FB16" i="1"/>
  <c r="EM16" i="1"/>
  <c r="FE16" i="1"/>
  <c r="EK16" i="1"/>
  <c r="FF16" i="1"/>
  <c r="FG16" i="1"/>
  <c r="FI16" i="1"/>
  <c r="EN16" i="1"/>
  <c r="FJ16" i="1"/>
  <c r="FK16" i="1"/>
  <c r="FL16" i="1"/>
  <c r="FM16" i="1"/>
  <c r="FN16" i="1"/>
  <c r="FS16" i="1"/>
  <c r="FP16" i="1"/>
  <c r="FU16" i="1"/>
  <c r="GV16" i="1"/>
  <c r="FO16" i="1"/>
  <c r="FT16" i="1"/>
  <c r="GW16" i="1"/>
  <c r="FY16" i="1"/>
  <c r="FZ16" i="1"/>
  <c r="GF16" i="1"/>
  <c r="GG16" i="1"/>
  <c r="GH16" i="1"/>
  <c r="GX16" i="1"/>
  <c r="GI16" i="1"/>
  <c r="GY16" i="1"/>
  <c r="GU17" i="1"/>
  <c r="CY17" i="1"/>
  <c r="DF17" i="1"/>
  <c r="CZ17" i="1"/>
  <c r="DA17" i="1"/>
  <c r="DB17" i="1"/>
  <c r="DC17" i="1"/>
  <c r="DD17" i="1"/>
  <c r="DE17" i="1"/>
  <c r="DG17" i="1"/>
  <c r="DH17" i="1"/>
  <c r="DI17" i="1"/>
  <c r="EC17" i="1"/>
  <c r="EH17" i="1"/>
  <c r="EI17" i="1"/>
  <c r="EO17" i="1"/>
  <c r="EP17" i="1"/>
  <c r="Z17" i="1"/>
  <c r="BH17" i="1"/>
  <c r="AA17" i="1"/>
  <c r="BI17" i="1"/>
  <c r="BJ17" i="1"/>
  <c r="DN17" i="1"/>
  <c r="EA17" i="1"/>
  <c r="EQ17" i="1"/>
  <c r="ER17" i="1"/>
  <c r="EZ17" i="1"/>
  <c r="EF17" i="1"/>
  <c r="ED17" i="1"/>
  <c r="ES17" i="1"/>
  <c r="ET17" i="1"/>
  <c r="EW17" i="1"/>
  <c r="EE17" i="1"/>
  <c r="EU17" i="1"/>
  <c r="EX17" i="1"/>
  <c r="EG17" i="1"/>
  <c r="EY17" i="1"/>
  <c r="EJ17" i="1"/>
  <c r="FA17" i="1"/>
  <c r="FB17" i="1"/>
  <c r="EM17" i="1"/>
  <c r="FE17" i="1"/>
  <c r="EK17" i="1"/>
  <c r="FF17" i="1"/>
  <c r="FG17" i="1"/>
  <c r="FI17" i="1"/>
  <c r="EN17" i="1"/>
  <c r="FJ17" i="1"/>
  <c r="FK17" i="1"/>
  <c r="FL17" i="1"/>
  <c r="FM17" i="1"/>
  <c r="FN17" i="1"/>
  <c r="FS17" i="1"/>
  <c r="FP17" i="1"/>
  <c r="FU17" i="1"/>
  <c r="GV17" i="1"/>
  <c r="FO17" i="1"/>
  <c r="FT17" i="1"/>
  <c r="GW17" i="1"/>
  <c r="FY17" i="1"/>
  <c r="FZ17" i="1"/>
  <c r="GF17" i="1"/>
  <c r="GG17" i="1"/>
  <c r="GH17" i="1"/>
  <c r="GX17" i="1"/>
  <c r="GI17" i="1"/>
  <c r="GY17" i="1"/>
  <c r="GU18" i="1"/>
  <c r="CY18" i="1"/>
  <c r="DF18" i="1"/>
  <c r="CZ18" i="1"/>
  <c r="DA18" i="1"/>
  <c r="DB18" i="1"/>
  <c r="DC18" i="1"/>
  <c r="DD18" i="1"/>
  <c r="DE18" i="1"/>
  <c r="DG18" i="1"/>
  <c r="DH18" i="1"/>
  <c r="DI18" i="1"/>
  <c r="EC18" i="1"/>
  <c r="EH18" i="1"/>
  <c r="EI18" i="1"/>
  <c r="EO18" i="1"/>
  <c r="EP18" i="1"/>
  <c r="Z18" i="1"/>
  <c r="BH18" i="1"/>
  <c r="AA18" i="1"/>
  <c r="BI18" i="1"/>
  <c r="BJ18" i="1"/>
  <c r="DN18" i="1"/>
  <c r="EA18" i="1"/>
  <c r="EQ18" i="1"/>
  <c r="ER18" i="1"/>
  <c r="EZ18" i="1"/>
  <c r="EF18" i="1"/>
  <c r="ED18" i="1"/>
  <c r="ES18" i="1"/>
  <c r="ET18" i="1"/>
  <c r="EW18" i="1"/>
  <c r="EE18" i="1"/>
  <c r="EU18" i="1"/>
  <c r="EX18" i="1"/>
  <c r="EG18" i="1"/>
  <c r="EY18" i="1"/>
  <c r="EJ18" i="1"/>
  <c r="FA18" i="1"/>
  <c r="FB18" i="1"/>
  <c r="EM18" i="1"/>
  <c r="FE18" i="1"/>
  <c r="EK18" i="1"/>
  <c r="FF18" i="1"/>
  <c r="FG18" i="1"/>
  <c r="FI18" i="1"/>
  <c r="EN18" i="1"/>
  <c r="FJ18" i="1"/>
  <c r="FK18" i="1"/>
  <c r="FL18" i="1"/>
  <c r="FM18" i="1"/>
  <c r="FN18" i="1"/>
  <c r="FS18" i="1"/>
  <c r="FP18" i="1"/>
  <c r="FU18" i="1"/>
  <c r="GV18" i="1"/>
  <c r="FO18" i="1"/>
  <c r="FT18" i="1"/>
  <c r="GW18" i="1"/>
  <c r="FY18" i="1"/>
  <c r="FZ18" i="1"/>
  <c r="GF18" i="1"/>
  <c r="GG18" i="1"/>
  <c r="GH18" i="1"/>
  <c r="GX18" i="1"/>
  <c r="GI18" i="1"/>
  <c r="GY18" i="1"/>
  <c r="GU19" i="1"/>
  <c r="CY19" i="1"/>
  <c r="DF19" i="1"/>
  <c r="CZ19" i="1"/>
  <c r="DA19" i="1"/>
  <c r="DB19" i="1"/>
  <c r="DC19" i="1"/>
  <c r="DD19" i="1"/>
  <c r="DE19" i="1"/>
  <c r="DG19" i="1"/>
  <c r="DH19" i="1"/>
  <c r="DI19" i="1"/>
  <c r="EC19" i="1"/>
  <c r="EH19" i="1"/>
  <c r="EI19" i="1"/>
  <c r="EO19" i="1"/>
  <c r="EP19" i="1"/>
  <c r="Z19" i="1"/>
  <c r="BH19" i="1"/>
  <c r="AA19" i="1"/>
  <c r="BI19" i="1"/>
  <c r="BJ19" i="1"/>
  <c r="DN19" i="1"/>
  <c r="EA19" i="1"/>
  <c r="EQ19" i="1"/>
  <c r="ER19" i="1"/>
  <c r="EZ19" i="1"/>
  <c r="EF19" i="1"/>
  <c r="ED19" i="1"/>
  <c r="ES19" i="1"/>
  <c r="ET19" i="1"/>
  <c r="EW19" i="1"/>
  <c r="EE19" i="1"/>
  <c r="EU19" i="1"/>
  <c r="EX19" i="1"/>
  <c r="EG19" i="1"/>
  <c r="EY19" i="1"/>
  <c r="EJ19" i="1"/>
  <c r="FA19" i="1"/>
  <c r="FB19" i="1"/>
  <c r="EM19" i="1"/>
  <c r="FE19" i="1"/>
  <c r="EK19" i="1"/>
  <c r="FF19" i="1"/>
  <c r="FG19" i="1"/>
  <c r="FI19" i="1"/>
  <c r="EN19" i="1"/>
  <c r="FJ19" i="1"/>
  <c r="FK19" i="1"/>
  <c r="FL19" i="1"/>
  <c r="FM19" i="1"/>
  <c r="FN19" i="1"/>
  <c r="FS19" i="1"/>
  <c r="FP19" i="1"/>
  <c r="FU19" i="1"/>
  <c r="GV19" i="1"/>
  <c r="FO19" i="1"/>
  <c r="FT19" i="1"/>
  <c r="GW19" i="1"/>
  <c r="FY19" i="1"/>
  <c r="FZ19" i="1"/>
  <c r="GF19" i="1"/>
  <c r="GG19" i="1"/>
  <c r="GH19" i="1"/>
  <c r="GX19" i="1"/>
  <c r="GI19" i="1"/>
  <c r="GY19" i="1"/>
  <c r="GU20" i="1"/>
  <c r="CY20" i="1"/>
  <c r="DF20" i="1"/>
  <c r="CZ20" i="1"/>
  <c r="DA20" i="1"/>
  <c r="DB20" i="1"/>
  <c r="DC20" i="1"/>
  <c r="DD20" i="1"/>
  <c r="DE20" i="1"/>
  <c r="DG20" i="1"/>
  <c r="DH20" i="1"/>
  <c r="DI20" i="1"/>
  <c r="EC20" i="1"/>
  <c r="EH20" i="1"/>
  <c r="EI20" i="1"/>
  <c r="EO20" i="1"/>
  <c r="EP20" i="1"/>
  <c r="Z20" i="1"/>
  <c r="BH20" i="1"/>
  <c r="AA20" i="1"/>
  <c r="BI20" i="1"/>
  <c r="BJ20" i="1"/>
  <c r="DN20" i="1"/>
  <c r="EA20" i="1"/>
  <c r="EQ20" i="1"/>
  <c r="ER20" i="1"/>
  <c r="EZ20" i="1"/>
  <c r="EF20" i="1"/>
  <c r="ED20" i="1"/>
  <c r="ES20" i="1"/>
  <c r="ET20" i="1"/>
  <c r="EW20" i="1"/>
  <c r="EE20" i="1"/>
  <c r="EU20" i="1"/>
  <c r="EX20" i="1"/>
  <c r="EG20" i="1"/>
  <c r="EY20" i="1"/>
  <c r="EJ20" i="1"/>
  <c r="FA20" i="1"/>
  <c r="FB20" i="1"/>
  <c r="EM20" i="1"/>
  <c r="FE20" i="1"/>
  <c r="EK20" i="1"/>
  <c r="FF20" i="1"/>
  <c r="FG20" i="1"/>
  <c r="FI20" i="1"/>
  <c r="EN20" i="1"/>
  <c r="FJ20" i="1"/>
  <c r="FK20" i="1"/>
  <c r="FL20" i="1"/>
  <c r="FM20" i="1"/>
  <c r="FN20" i="1"/>
  <c r="FS20" i="1"/>
  <c r="FP20" i="1"/>
  <c r="FU20" i="1"/>
  <c r="GV20" i="1"/>
  <c r="FO20" i="1"/>
  <c r="FT20" i="1"/>
  <c r="GW20" i="1"/>
  <c r="FY20" i="1"/>
  <c r="FZ20" i="1"/>
  <c r="GF20" i="1"/>
  <c r="GG20" i="1"/>
  <c r="GH20" i="1"/>
  <c r="GX20" i="1"/>
  <c r="GI20" i="1"/>
  <c r="GY20" i="1"/>
  <c r="GU21" i="1"/>
  <c r="CY21" i="1"/>
  <c r="DF21" i="1"/>
  <c r="CZ21" i="1"/>
  <c r="DA21" i="1"/>
  <c r="DB21" i="1"/>
  <c r="DC21" i="1"/>
  <c r="DD21" i="1"/>
  <c r="DE21" i="1"/>
  <c r="DG21" i="1"/>
  <c r="DH21" i="1"/>
  <c r="DI21" i="1"/>
  <c r="EC21" i="1"/>
  <c r="EH21" i="1"/>
  <c r="EI21" i="1"/>
  <c r="EO21" i="1"/>
  <c r="EP21" i="1"/>
  <c r="Z21" i="1"/>
  <c r="BH21" i="1"/>
  <c r="AA21" i="1"/>
  <c r="BI21" i="1"/>
  <c r="BJ21" i="1"/>
  <c r="DN21" i="1"/>
  <c r="EA21" i="1"/>
  <c r="EQ21" i="1"/>
  <c r="ER21" i="1"/>
  <c r="EZ21" i="1"/>
  <c r="EF21" i="1"/>
  <c r="ED21" i="1"/>
  <c r="ES21" i="1"/>
  <c r="ET21" i="1"/>
  <c r="EW21" i="1"/>
  <c r="EE21" i="1"/>
  <c r="EU21" i="1"/>
  <c r="EX21" i="1"/>
  <c r="EG21" i="1"/>
  <c r="EY21" i="1"/>
  <c r="EJ21" i="1"/>
  <c r="FA21" i="1"/>
  <c r="FB21" i="1"/>
  <c r="EM21" i="1"/>
  <c r="FE21" i="1"/>
  <c r="EK21" i="1"/>
  <c r="FF21" i="1"/>
  <c r="FG21" i="1"/>
  <c r="FI21" i="1"/>
  <c r="EN21" i="1"/>
  <c r="FJ21" i="1"/>
  <c r="FK21" i="1"/>
  <c r="FL21" i="1"/>
  <c r="FM21" i="1"/>
  <c r="FN21" i="1"/>
  <c r="FS21" i="1"/>
  <c r="FP21" i="1"/>
  <c r="FU21" i="1"/>
  <c r="GV21" i="1"/>
  <c r="FO21" i="1"/>
  <c r="FT21" i="1"/>
  <c r="GW21" i="1"/>
  <c r="FY21" i="1"/>
  <c r="FZ21" i="1"/>
  <c r="GF21" i="1"/>
  <c r="GG21" i="1"/>
  <c r="GH21" i="1"/>
  <c r="GX21" i="1"/>
  <c r="GI21" i="1"/>
  <c r="GY21" i="1"/>
  <c r="GU22" i="1"/>
  <c r="CY22" i="1"/>
  <c r="DF22" i="1"/>
  <c r="CZ22" i="1"/>
  <c r="DA22" i="1"/>
  <c r="DB22" i="1"/>
  <c r="DC22" i="1"/>
  <c r="DD22" i="1"/>
  <c r="DE22" i="1"/>
  <c r="DG22" i="1"/>
  <c r="DH22" i="1"/>
  <c r="DI22" i="1"/>
  <c r="EC22" i="1"/>
  <c r="EH22" i="1"/>
  <c r="EI22" i="1"/>
  <c r="EO22" i="1"/>
  <c r="EP22" i="1"/>
  <c r="Z22" i="1"/>
  <c r="BH22" i="1"/>
  <c r="AA22" i="1"/>
  <c r="BI22" i="1"/>
  <c r="BJ22" i="1"/>
  <c r="DN22" i="1"/>
  <c r="EA22" i="1"/>
  <c r="EQ22" i="1"/>
  <c r="ER22" i="1"/>
  <c r="EZ22" i="1"/>
  <c r="EF22" i="1"/>
  <c r="ED22" i="1"/>
  <c r="ES22" i="1"/>
  <c r="ET22" i="1"/>
  <c r="EW22" i="1"/>
  <c r="EE22" i="1"/>
  <c r="EU22" i="1"/>
  <c r="EX22" i="1"/>
  <c r="EG22" i="1"/>
  <c r="EY22" i="1"/>
  <c r="EJ22" i="1"/>
  <c r="FA22" i="1"/>
  <c r="FB22" i="1"/>
  <c r="EM22" i="1"/>
  <c r="FE22" i="1"/>
  <c r="EK22" i="1"/>
  <c r="FF22" i="1"/>
  <c r="FG22" i="1"/>
  <c r="FI22" i="1"/>
  <c r="EN22" i="1"/>
  <c r="FJ22" i="1"/>
  <c r="FK22" i="1"/>
  <c r="FL22" i="1"/>
  <c r="FM22" i="1"/>
  <c r="FN22" i="1"/>
  <c r="FS22" i="1"/>
  <c r="FP22" i="1"/>
  <c r="FU22" i="1"/>
  <c r="GV22" i="1"/>
  <c r="FO22" i="1"/>
  <c r="FT22" i="1"/>
  <c r="GW22" i="1"/>
  <c r="FY22" i="1"/>
  <c r="FZ22" i="1"/>
  <c r="GF22" i="1"/>
  <c r="GG22" i="1"/>
  <c r="GH22" i="1"/>
  <c r="GX22" i="1"/>
  <c r="GI22" i="1"/>
  <c r="GY22" i="1"/>
  <c r="GU23" i="1"/>
  <c r="CY23" i="1"/>
  <c r="DF23" i="1"/>
  <c r="CZ23" i="1"/>
  <c r="DA23" i="1"/>
  <c r="DB23" i="1"/>
  <c r="DC23" i="1"/>
  <c r="DD23" i="1"/>
  <c r="DE23" i="1"/>
  <c r="DG23" i="1"/>
  <c r="DH23" i="1"/>
  <c r="DI23" i="1"/>
  <c r="EC23" i="1"/>
  <c r="EH23" i="1"/>
  <c r="EI23" i="1"/>
  <c r="EO23" i="1"/>
  <c r="EP23" i="1"/>
  <c r="Z23" i="1"/>
  <c r="BH23" i="1"/>
  <c r="AA23" i="1"/>
  <c r="BI23" i="1"/>
  <c r="BJ23" i="1"/>
  <c r="DN23" i="1"/>
  <c r="EA23" i="1"/>
  <c r="EQ23" i="1"/>
  <c r="ER23" i="1"/>
  <c r="EZ23" i="1"/>
  <c r="EF23" i="1"/>
  <c r="ED23" i="1"/>
  <c r="ES23" i="1"/>
  <c r="ET23" i="1"/>
  <c r="EW23" i="1"/>
  <c r="EE23" i="1"/>
  <c r="EU23" i="1"/>
  <c r="EX23" i="1"/>
  <c r="EG23" i="1"/>
  <c r="EY23" i="1"/>
  <c r="EJ23" i="1"/>
  <c r="FA23" i="1"/>
  <c r="FB23" i="1"/>
  <c r="EM23" i="1"/>
  <c r="FE23" i="1"/>
  <c r="EK23" i="1"/>
  <c r="FF23" i="1"/>
  <c r="FG23" i="1"/>
  <c r="FI23" i="1"/>
  <c r="EN23" i="1"/>
  <c r="FJ23" i="1"/>
  <c r="FK23" i="1"/>
  <c r="FL23" i="1"/>
  <c r="FM23" i="1"/>
  <c r="FN23" i="1"/>
  <c r="FS23" i="1"/>
  <c r="FP23" i="1"/>
  <c r="FU23" i="1"/>
  <c r="GV23" i="1"/>
  <c r="FO23" i="1"/>
  <c r="FT23" i="1"/>
  <c r="GW23" i="1"/>
  <c r="FY23" i="1"/>
  <c r="FZ23" i="1"/>
  <c r="GF23" i="1"/>
  <c r="GG23" i="1"/>
  <c r="GH23" i="1"/>
  <c r="GX23" i="1"/>
  <c r="GI23" i="1"/>
  <c r="GY23" i="1"/>
  <c r="GU24" i="1"/>
  <c r="CY24" i="1"/>
  <c r="DF24" i="1"/>
  <c r="CZ24" i="1"/>
  <c r="DA24" i="1"/>
  <c r="DB24" i="1"/>
  <c r="DC24" i="1"/>
  <c r="DD24" i="1"/>
  <c r="DE24" i="1"/>
  <c r="DG24" i="1"/>
  <c r="DH24" i="1"/>
  <c r="DI24" i="1"/>
  <c r="EC24" i="1"/>
  <c r="EH24" i="1"/>
  <c r="EI24" i="1"/>
  <c r="EO24" i="1"/>
  <c r="EP24" i="1"/>
  <c r="Z24" i="1"/>
  <c r="BH24" i="1"/>
  <c r="AA24" i="1"/>
  <c r="BI24" i="1"/>
  <c r="BJ24" i="1"/>
  <c r="DN24" i="1"/>
  <c r="EA24" i="1"/>
  <c r="EQ24" i="1"/>
  <c r="ER24" i="1"/>
  <c r="EZ24" i="1"/>
  <c r="EF24" i="1"/>
  <c r="ED24" i="1"/>
  <c r="ES24" i="1"/>
  <c r="ET24" i="1"/>
  <c r="EW24" i="1"/>
  <c r="EE24" i="1"/>
  <c r="EU24" i="1"/>
  <c r="EX24" i="1"/>
  <c r="EG24" i="1"/>
  <c r="EY24" i="1"/>
  <c r="EJ24" i="1"/>
  <c r="FA24" i="1"/>
  <c r="FB24" i="1"/>
  <c r="EM24" i="1"/>
  <c r="FE24" i="1"/>
  <c r="EK24" i="1"/>
  <c r="FF24" i="1"/>
  <c r="FG24" i="1"/>
  <c r="FI24" i="1"/>
  <c r="EN24" i="1"/>
  <c r="FJ24" i="1"/>
  <c r="FK24" i="1"/>
  <c r="FL24" i="1"/>
  <c r="FM24" i="1"/>
  <c r="FN24" i="1"/>
  <c r="FS24" i="1"/>
  <c r="FP24" i="1"/>
  <c r="FU24" i="1"/>
  <c r="GV24" i="1"/>
  <c r="FO24" i="1"/>
  <c r="FT24" i="1"/>
  <c r="GW24" i="1"/>
  <c r="FY24" i="1"/>
  <c r="FZ24" i="1"/>
  <c r="GF24" i="1"/>
  <c r="GG24" i="1"/>
  <c r="GH24" i="1"/>
  <c r="GX24" i="1"/>
  <c r="GI24" i="1"/>
  <c r="GY24" i="1"/>
  <c r="GU25" i="1"/>
  <c r="CY25" i="1"/>
  <c r="DF25" i="1"/>
  <c r="CZ25" i="1"/>
  <c r="DA25" i="1"/>
  <c r="DB25" i="1"/>
  <c r="DC25" i="1"/>
  <c r="DD25" i="1"/>
  <c r="DE25" i="1"/>
  <c r="DG25" i="1"/>
  <c r="DH25" i="1"/>
  <c r="DI25" i="1"/>
  <c r="EC25" i="1"/>
  <c r="EH25" i="1"/>
  <c r="EI25" i="1"/>
  <c r="EO25" i="1"/>
  <c r="EP25" i="1"/>
  <c r="Z25" i="1"/>
  <c r="BH25" i="1"/>
  <c r="AA25" i="1"/>
  <c r="BI25" i="1"/>
  <c r="BJ25" i="1"/>
  <c r="DN25" i="1"/>
  <c r="EA25" i="1"/>
  <c r="EQ25" i="1"/>
  <c r="ER25" i="1"/>
  <c r="EZ25" i="1"/>
  <c r="EF25" i="1"/>
  <c r="ED25" i="1"/>
  <c r="ES25" i="1"/>
  <c r="ET25" i="1"/>
  <c r="EW25" i="1"/>
  <c r="EE25" i="1"/>
  <c r="EU25" i="1"/>
  <c r="EX25" i="1"/>
  <c r="EG25" i="1"/>
  <c r="EY25" i="1"/>
  <c r="EJ25" i="1"/>
  <c r="FA25" i="1"/>
  <c r="FB25" i="1"/>
  <c r="EM25" i="1"/>
  <c r="FE25" i="1"/>
  <c r="EK25" i="1"/>
  <c r="FF25" i="1"/>
  <c r="FG25" i="1"/>
  <c r="FI25" i="1"/>
  <c r="EN25" i="1"/>
  <c r="FJ25" i="1"/>
  <c r="FK25" i="1"/>
  <c r="FL25" i="1"/>
  <c r="FM25" i="1"/>
  <c r="FN25" i="1"/>
  <c r="FS25" i="1"/>
  <c r="FP25" i="1"/>
  <c r="FU25" i="1"/>
  <c r="GV25" i="1"/>
  <c r="FO25" i="1"/>
  <c r="FT25" i="1"/>
  <c r="GW25" i="1"/>
  <c r="FY25" i="1"/>
  <c r="FZ25" i="1"/>
  <c r="GF25" i="1"/>
  <c r="GG25" i="1"/>
  <c r="GH25" i="1"/>
  <c r="GX25" i="1"/>
  <c r="GI25" i="1"/>
  <c r="GY25" i="1"/>
  <c r="GU26" i="1"/>
  <c r="CY26" i="1"/>
  <c r="DF26" i="1"/>
  <c r="CZ26" i="1"/>
  <c r="DA26" i="1"/>
  <c r="DB26" i="1"/>
  <c r="DC26" i="1"/>
  <c r="DD26" i="1"/>
  <c r="DE26" i="1"/>
  <c r="DG26" i="1"/>
  <c r="DH26" i="1"/>
  <c r="DI26" i="1"/>
  <c r="EC26" i="1"/>
  <c r="EH26" i="1"/>
  <c r="EI26" i="1"/>
  <c r="EO26" i="1"/>
  <c r="EP26" i="1"/>
  <c r="Z26" i="1"/>
  <c r="BH26" i="1"/>
  <c r="AA26" i="1"/>
  <c r="BI26" i="1"/>
  <c r="BJ26" i="1"/>
  <c r="DN26" i="1"/>
  <c r="EA26" i="1"/>
  <c r="EQ26" i="1"/>
  <c r="ER26" i="1"/>
  <c r="EZ26" i="1"/>
  <c r="EF26" i="1"/>
  <c r="ED26" i="1"/>
  <c r="ES26" i="1"/>
  <c r="ET26" i="1"/>
  <c r="EW26" i="1"/>
  <c r="EE26" i="1"/>
  <c r="EU26" i="1"/>
  <c r="EX26" i="1"/>
  <c r="EG26" i="1"/>
  <c r="EY26" i="1"/>
  <c r="EJ26" i="1"/>
  <c r="FA26" i="1"/>
  <c r="FB26" i="1"/>
  <c r="EM26" i="1"/>
  <c r="FE26" i="1"/>
  <c r="EK26" i="1"/>
  <c r="FF26" i="1"/>
  <c r="FG26" i="1"/>
  <c r="FI26" i="1"/>
  <c r="EN26" i="1"/>
  <c r="FJ26" i="1"/>
  <c r="FK26" i="1"/>
  <c r="FL26" i="1"/>
  <c r="FM26" i="1"/>
  <c r="FN26" i="1"/>
  <c r="FS26" i="1"/>
  <c r="FP26" i="1"/>
  <c r="FU26" i="1"/>
  <c r="GV26" i="1"/>
  <c r="FO26" i="1"/>
  <c r="FT26" i="1"/>
  <c r="GW26" i="1"/>
  <c r="FY26" i="1"/>
  <c r="FZ26" i="1"/>
  <c r="GF26" i="1"/>
  <c r="GG26" i="1"/>
  <c r="GH26" i="1"/>
  <c r="GX26" i="1"/>
  <c r="GI26" i="1"/>
  <c r="GY26" i="1"/>
  <c r="GU27" i="1"/>
  <c r="CY27" i="1"/>
  <c r="DF27" i="1"/>
  <c r="CZ27" i="1"/>
  <c r="DA27" i="1"/>
  <c r="DB27" i="1"/>
  <c r="DC27" i="1"/>
  <c r="DD27" i="1"/>
  <c r="DE27" i="1"/>
  <c r="DG27" i="1"/>
  <c r="DH27" i="1"/>
  <c r="DI27" i="1"/>
  <c r="EC27" i="1"/>
  <c r="EH27" i="1"/>
  <c r="EI27" i="1"/>
  <c r="EO27" i="1"/>
  <c r="EP27" i="1"/>
  <c r="Z27" i="1"/>
  <c r="BH27" i="1"/>
  <c r="AA27" i="1"/>
  <c r="BI27" i="1"/>
  <c r="BJ27" i="1"/>
  <c r="DN27" i="1"/>
  <c r="EA27" i="1"/>
  <c r="EQ27" i="1"/>
  <c r="ER27" i="1"/>
  <c r="EZ27" i="1"/>
  <c r="EF27" i="1"/>
  <c r="ED27" i="1"/>
  <c r="ES27" i="1"/>
  <c r="ET27" i="1"/>
  <c r="EW27" i="1"/>
  <c r="EE27" i="1"/>
  <c r="EU27" i="1"/>
  <c r="EX27" i="1"/>
  <c r="EG27" i="1"/>
  <c r="EY27" i="1"/>
  <c r="EJ27" i="1"/>
  <c r="FA27" i="1"/>
  <c r="FB27" i="1"/>
  <c r="EM27" i="1"/>
  <c r="FE27" i="1"/>
  <c r="EK27" i="1"/>
  <c r="FF27" i="1"/>
  <c r="FG27" i="1"/>
  <c r="FI27" i="1"/>
  <c r="EN27" i="1"/>
  <c r="FJ27" i="1"/>
  <c r="FK27" i="1"/>
  <c r="FL27" i="1"/>
  <c r="FM27" i="1"/>
  <c r="FN27" i="1"/>
  <c r="FS27" i="1"/>
  <c r="FP27" i="1"/>
  <c r="FU27" i="1"/>
  <c r="GV27" i="1"/>
  <c r="FO27" i="1"/>
  <c r="FT27" i="1"/>
  <c r="GW27" i="1"/>
  <c r="FY27" i="1"/>
  <c r="FZ27" i="1"/>
  <c r="GF27" i="1"/>
  <c r="GG27" i="1"/>
  <c r="GH27" i="1"/>
  <c r="GX27" i="1"/>
  <c r="GI27" i="1"/>
  <c r="GY27" i="1"/>
  <c r="GU28" i="1"/>
  <c r="CY28" i="1"/>
  <c r="DF28" i="1"/>
  <c r="CZ28" i="1"/>
  <c r="DA28" i="1"/>
  <c r="DB28" i="1"/>
  <c r="DC28" i="1"/>
  <c r="DD28" i="1"/>
  <c r="DE28" i="1"/>
  <c r="DG28" i="1"/>
  <c r="DH28" i="1"/>
  <c r="DI28" i="1"/>
  <c r="EC28" i="1"/>
  <c r="EH28" i="1"/>
  <c r="EI28" i="1"/>
  <c r="EO28" i="1"/>
  <c r="EP28" i="1"/>
  <c r="Z28" i="1"/>
  <c r="BH28" i="1"/>
  <c r="AA28" i="1"/>
  <c r="BI28" i="1"/>
  <c r="BJ28" i="1"/>
  <c r="DN28" i="1"/>
  <c r="EA28" i="1"/>
  <c r="EQ28" i="1"/>
  <c r="ER28" i="1"/>
  <c r="EZ28" i="1"/>
  <c r="EF28" i="1"/>
  <c r="ED28" i="1"/>
  <c r="ES28" i="1"/>
  <c r="ET28" i="1"/>
  <c r="EW28" i="1"/>
  <c r="EE28" i="1"/>
  <c r="EU28" i="1"/>
  <c r="EX28" i="1"/>
  <c r="EG28" i="1"/>
  <c r="EY28" i="1"/>
  <c r="EJ28" i="1"/>
  <c r="FA28" i="1"/>
  <c r="FB28" i="1"/>
  <c r="EM28" i="1"/>
  <c r="FE28" i="1"/>
  <c r="EK28" i="1"/>
  <c r="FF28" i="1"/>
  <c r="FG28" i="1"/>
  <c r="FI28" i="1"/>
  <c r="EN28" i="1"/>
  <c r="FJ28" i="1"/>
  <c r="FK28" i="1"/>
  <c r="FL28" i="1"/>
  <c r="FM28" i="1"/>
  <c r="FN28" i="1"/>
  <c r="FS28" i="1"/>
  <c r="FP28" i="1"/>
  <c r="FU28" i="1"/>
  <c r="GV28" i="1"/>
  <c r="FO28" i="1"/>
  <c r="FT28" i="1"/>
  <c r="GW28" i="1"/>
  <c r="FY28" i="1"/>
  <c r="FZ28" i="1"/>
  <c r="GF28" i="1"/>
  <c r="GG28" i="1"/>
  <c r="GH28" i="1"/>
  <c r="GX28" i="1"/>
  <c r="GI28" i="1"/>
  <c r="GY28" i="1"/>
  <c r="GU29" i="1"/>
  <c r="CY29" i="1"/>
  <c r="DF29" i="1"/>
  <c r="CZ29" i="1"/>
  <c r="DA29" i="1"/>
  <c r="DB29" i="1"/>
  <c r="DC29" i="1"/>
  <c r="DD29" i="1"/>
  <c r="DE29" i="1"/>
  <c r="DG29" i="1"/>
  <c r="DH29" i="1"/>
  <c r="DI29" i="1"/>
  <c r="EC29" i="1"/>
  <c r="EH29" i="1"/>
  <c r="EI29" i="1"/>
  <c r="EO29" i="1"/>
  <c r="EP29" i="1"/>
  <c r="Z29" i="1"/>
  <c r="BH29" i="1"/>
  <c r="AA29" i="1"/>
  <c r="BI29" i="1"/>
  <c r="BJ29" i="1"/>
  <c r="DN29" i="1"/>
  <c r="EA29" i="1"/>
  <c r="EQ29" i="1"/>
  <c r="ER29" i="1"/>
  <c r="EZ29" i="1"/>
  <c r="EF29" i="1"/>
  <c r="ED29" i="1"/>
  <c r="ES29" i="1"/>
  <c r="ET29" i="1"/>
  <c r="EW29" i="1"/>
  <c r="EE29" i="1"/>
  <c r="EU29" i="1"/>
  <c r="EX29" i="1"/>
  <c r="EG29" i="1"/>
  <c r="EY29" i="1"/>
  <c r="EJ29" i="1"/>
  <c r="FA29" i="1"/>
  <c r="FB29" i="1"/>
  <c r="EM29" i="1"/>
  <c r="FE29" i="1"/>
  <c r="EK29" i="1"/>
  <c r="FF29" i="1"/>
  <c r="FG29" i="1"/>
  <c r="FI29" i="1"/>
  <c r="EN29" i="1"/>
  <c r="FJ29" i="1"/>
  <c r="FK29" i="1"/>
  <c r="FL29" i="1"/>
  <c r="FM29" i="1"/>
  <c r="FN29" i="1"/>
  <c r="FS29" i="1"/>
  <c r="FP29" i="1"/>
  <c r="FU29" i="1"/>
  <c r="GV29" i="1"/>
  <c r="FO29" i="1"/>
  <c r="FT29" i="1"/>
  <c r="GW29" i="1"/>
  <c r="FY29" i="1"/>
  <c r="FZ29" i="1"/>
  <c r="GF29" i="1"/>
  <c r="GG29" i="1"/>
  <c r="GH29" i="1"/>
  <c r="GX29" i="1"/>
  <c r="GI29" i="1"/>
  <c r="GY29" i="1"/>
  <c r="GU30" i="1"/>
  <c r="CY30" i="1"/>
  <c r="DF30" i="1"/>
  <c r="CZ30" i="1"/>
  <c r="DA30" i="1"/>
  <c r="DB30" i="1"/>
  <c r="DC30" i="1"/>
  <c r="DD30" i="1"/>
  <c r="DE30" i="1"/>
  <c r="DG30" i="1"/>
  <c r="DH30" i="1"/>
  <c r="DI30" i="1"/>
  <c r="EC30" i="1"/>
  <c r="EH30" i="1"/>
  <c r="EI30" i="1"/>
  <c r="EO30" i="1"/>
  <c r="EP30" i="1"/>
  <c r="Z30" i="1"/>
  <c r="BH30" i="1"/>
  <c r="AA30" i="1"/>
  <c r="BI30" i="1"/>
  <c r="BJ30" i="1"/>
  <c r="DN30" i="1"/>
  <c r="EA30" i="1"/>
  <c r="EQ30" i="1"/>
  <c r="ER30" i="1"/>
  <c r="EZ30" i="1"/>
  <c r="EF30" i="1"/>
  <c r="ED30" i="1"/>
  <c r="ES30" i="1"/>
  <c r="ET30" i="1"/>
  <c r="EW30" i="1"/>
  <c r="EE30" i="1"/>
  <c r="EU30" i="1"/>
  <c r="EX30" i="1"/>
  <c r="EG30" i="1"/>
  <c r="EY30" i="1"/>
  <c r="EJ30" i="1"/>
  <c r="FA30" i="1"/>
  <c r="FB30" i="1"/>
  <c r="EM30" i="1"/>
  <c r="FE30" i="1"/>
  <c r="EK30" i="1"/>
  <c r="FF30" i="1"/>
  <c r="FG30" i="1"/>
  <c r="FI30" i="1"/>
  <c r="EN30" i="1"/>
  <c r="FJ30" i="1"/>
  <c r="FK30" i="1"/>
  <c r="FL30" i="1"/>
  <c r="FM30" i="1"/>
  <c r="FN30" i="1"/>
  <c r="FS30" i="1"/>
  <c r="FP30" i="1"/>
  <c r="FU30" i="1"/>
  <c r="GV30" i="1"/>
  <c r="FO30" i="1"/>
  <c r="FT30" i="1"/>
  <c r="GW30" i="1"/>
  <c r="FY30" i="1"/>
  <c r="FZ30" i="1"/>
  <c r="GF30" i="1"/>
  <c r="GG30" i="1"/>
  <c r="GH30" i="1"/>
  <c r="GX30" i="1"/>
  <c r="GI30" i="1"/>
  <c r="GY30" i="1"/>
  <c r="GU31" i="1"/>
  <c r="CY31" i="1"/>
  <c r="DF31" i="1"/>
  <c r="CZ31" i="1"/>
  <c r="DA31" i="1"/>
  <c r="DB31" i="1"/>
  <c r="DC31" i="1"/>
  <c r="DD31" i="1"/>
  <c r="DE31" i="1"/>
  <c r="DG31" i="1"/>
  <c r="DH31" i="1"/>
  <c r="DI31" i="1"/>
  <c r="EC31" i="1"/>
  <c r="EH31" i="1"/>
  <c r="EI31" i="1"/>
  <c r="EO31" i="1"/>
  <c r="EP31" i="1"/>
  <c r="Z31" i="1"/>
  <c r="BH31" i="1"/>
  <c r="AA31" i="1"/>
  <c r="BI31" i="1"/>
  <c r="BJ31" i="1"/>
  <c r="DN31" i="1"/>
  <c r="EA31" i="1"/>
  <c r="EQ31" i="1"/>
  <c r="ER31" i="1"/>
  <c r="EZ31" i="1"/>
  <c r="EF31" i="1"/>
  <c r="ED31" i="1"/>
  <c r="ES31" i="1"/>
  <c r="ET31" i="1"/>
  <c r="EW31" i="1"/>
  <c r="EE31" i="1"/>
  <c r="EU31" i="1"/>
  <c r="EX31" i="1"/>
  <c r="EG31" i="1"/>
  <c r="EY31" i="1"/>
  <c r="EJ31" i="1"/>
  <c r="FA31" i="1"/>
  <c r="FB31" i="1"/>
  <c r="EM31" i="1"/>
  <c r="FE31" i="1"/>
  <c r="EK31" i="1"/>
  <c r="FF31" i="1"/>
  <c r="FG31" i="1"/>
  <c r="FI31" i="1"/>
  <c r="EN31" i="1"/>
  <c r="FJ31" i="1"/>
  <c r="FK31" i="1"/>
  <c r="FL31" i="1"/>
  <c r="FM31" i="1"/>
  <c r="FN31" i="1"/>
  <c r="FS31" i="1"/>
  <c r="FP31" i="1"/>
  <c r="FU31" i="1"/>
  <c r="GV31" i="1"/>
  <c r="FO31" i="1"/>
  <c r="FT31" i="1"/>
  <c r="GW31" i="1"/>
  <c r="FY31" i="1"/>
  <c r="FZ31" i="1"/>
  <c r="GF31" i="1"/>
  <c r="GG31" i="1"/>
  <c r="GH31" i="1"/>
  <c r="GX31" i="1"/>
  <c r="GI31" i="1"/>
  <c r="GY31" i="1"/>
  <c r="GU32" i="1"/>
  <c r="CY32" i="1"/>
  <c r="DF32" i="1"/>
  <c r="CZ32" i="1"/>
  <c r="DA32" i="1"/>
  <c r="DB32" i="1"/>
  <c r="DC32" i="1"/>
  <c r="DD32" i="1"/>
  <c r="DE32" i="1"/>
  <c r="DG32" i="1"/>
  <c r="DH32" i="1"/>
  <c r="DI32" i="1"/>
  <c r="EC32" i="1"/>
  <c r="EH32" i="1"/>
  <c r="EI32" i="1"/>
  <c r="EO32" i="1"/>
  <c r="EP32" i="1"/>
  <c r="Z32" i="1"/>
  <c r="BH32" i="1"/>
  <c r="AA32" i="1"/>
  <c r="BI32" i="1"/>
  <c r="BJ32" i="1"/>
  <c r="DN32" i="1"/>
  <c r="EA32" i="1"/>
  <c r="EQ32" i="1"/>
  <c r="ER32" i="1"/>
  <c r="EZ32" i="1"/>
  <c r="EF32" i="1"/>
  <c r="ED32" i="1"/>
  <c r="ES32" i="1"/>
  <c r="ET32" i="1"/>
  <c r="EW32" i="1"/>
  <c r="EE32" i="1"/>
  <c r="EU32" i="1"/>
  <c r="EX32" i="1"/>
  <c r="EG32" i="1"/>
  <c r="EY32" i="1"/>
  <c r="EJ32" i="1"/>
  <c r="FA32" i="1"/>
  <c r="FB32" i="1"/>
  <c r="EM32" i="1"/>
  <c r="FE32" i="1"/>
  <c r="EK32" i="1"/>
  <c r="FF32" i="1"/>
  <c r="FG32" i="1"/>
  <c r="FI32" i="1"/>
  <c r="EN32" i="1"/>
  <c r="FJ32" i="1"/>
  <c r="FK32" i="1"/>
  <c r="FL32" i="1"/>
  <c r="FM32" i="1"/>
  <c r="FN32" i="1"/>
  <c r="FS32" i="1"/>
  <c r="FP32" i="1"/>
  <c r="FU32" i="1"/>
  <c r="GV32" i="1"/>
  <c r="FO32" i="1"/>
  <c r="FT32" i="1"/>
  <c r="GW32" i="1"/>
  <c r="FY32" i="1"/>
  <c r="FZ32" i="1"/>
  <c r="GF32" i="1"/>
  <c r="GG32" i="1"/>
  <c r="GH32" i="1"/>
  <c r="GX32" i="1"/>
  <c r="GI32" i="1"/>
  <c r="GY32" i="1"/>
  <c r="GU33" i="1"/>
  <c r="CY33" i="1"/>
  <c r="DF33" i="1"/>
  <c r="CZ33" i="1"/>
  <c r="DA33" i="1"/>
  <c r="DB33" i="1"/>
  <c r="DC33" i="1"/>
  <c r="DD33" i="1"/>
  <c r="DE33" i="1"/>
  <c r="DG33" i="1"/>
  <c r="DH33" i="1"/>
  <c r="DI33" i="1"/>
  <c r="EC33" i="1"/>
  <c r="EH33" i="1"/>
  <c r="EI33" i="1"/>
  <c r="EO33" i="1"/>
  <c r="EP33" i="1"/>
  <c r="Z33" i="1"/>
  <c r="BH33" i="1"/>
  <c r="AA33" i="1"/>
  <c r="BI33" i="1"/>
  <c r="BJ33" i="1"/>
  <c r="DN33" i="1"/>
  <c r="EA33" i="1"/>
  <c r="EQ33" i="1"/>
  <c r="ER33" i="1"/>
  <c r="EZ33" i="1"/>
  <c r="EF33" i="1"/>
  <c r="ED33" i="1"/>
  <c r="ES33" i="1"/>
  <c r="ET33" i="1"/>
  <c r="EW33" i="1"/>
  <c r="EE33" i="1"/>
  <c r="EU33" i="1"/>
  <c r="EX33" i="1"/>
  <c r="EG33" i="1"/>
  <c r="EY33" i="1"/>
  <c r="EJ33" i="1"/>
  <c r="FA33" i="1"/>
  <c r="FB33" i="1"/>
  <c r="EM33" i="1"/>
  <c r="FE33" i="1"/>
  <c r="EK33" i="1"/>
  <c r="FF33" i="1"/>
  <c r="FG33" i="1"/>
  <c r="FI33" i="1"/>
  <c r="EN33" i="1"/>
  <c r="FJ33" i="1"/>
  <c r="FK33" i="1"/>
  <c r="FL33" i="1"/>
  <c r="FM33" i="1"/>
  <c r="FN33" i="1"/>
  <c r="FS33" i="1"/>
  <c r="FP33" i="1"/>
  <c r="FU33" i="1"/>
  <c r="GV33" i="1"/>
  <c r="FO33" i="1"/>
  <c r="FT33" i="1"/>
  <c r="GW33" i="1"/>
  <c r="FY33" i="1"/>
  <c r="FZ33" i="1"/>
  <c r="GF33" i="1"/>
  <c r="GG33" i="1"/>
  <c r="GH33" i="1"/>
  <c r="GX33" i="1"/>
  <c r="GI33" i="1"/>
  <c r="GY33" i="1"/>
  <c r="GU34" i="1"/>
  <c r="CY34" i="1"/>
  <c r="DF34" i="1"/>
  <c r="CZ34" i="1"/>
  <c r="DA34" i="1"/>
  <c r="DB34" i="1"/>
  <c r="DC34" i="1"/>
  <c r="DD34" i="1"/>
  <c r="DE34" i="1"/>
  <c r="DG34" i="1"/>
  <c r="DH34" i="1"/>
  <c r="DI34" i="1"/>
  <c r="EC34" i="1"/>
  <c r="EH34" i="1"/>
  <c r="EI34" i="1"/>
  <c r="EO34" i="1"/>
  <c r="EP34" i="1"/>
  <c r="Z34" i="1"/>
  <c r="BH34" i="1"/>
  <c r="AA34" i="1"/>
  <c r="BI34" i="1"/>
  <c r="BJ34" i="1"/>
  <c r="DN34" i="1"/>
  <c r="EA34" i="1"/>
  <c r="EQ34" i="1"/>
  <c r="ER34" i="1"/>
  <c r="EZ34" i="1"/>
  <c r="EF34" i="1"/>
  <c r="ED34" i="1"/>
  <c r="ES34" i="1"/>
  <c r="ET34" i="1"/>
  <c r="EW34" i="1"/>
  <c r="EE34" i="1"/>
  <c r="EU34" i="1"/>
  <c r="EX34" i="1"/>
  <c r="EG34" i="1"/>
  <c r="EY34" i="1"/>
  <c r="EJ34" i="1"/>
  <c r="FA34" i="1"/>
  <c r="FB34" i="1"/>
  <c r="EM34" i="1"/>
  <c r="FE34" i="1"/>
  <c r="EK34" i="1"/>
  <c r="FF34" i="1"/>
  <c r="FG34" i="1"/>
  <c r="FI34" i="1"/>
  <c r="EN34" i="1"/>
  <c r="FJ34" i="1"/>
  <c r="FK34" i="1"/>
  <c r="FL34" i="1"/>
  <c r="FM34" i="1"/>
  <c r="FN34" i="1"/>
  <c r="FS34" i="1"/>
  <c r="FP34" i="1"/>
  <c r="FU34" i="1"/>
  <c r="GV34" i="1"/>
  <c r="FO34" i="1"/>
  <c r="FT34" i="1"/>
  <c r="GW34" i="1"/>
  <c r="FY34" i="1"/>
  <c r="FZ34" i="1"/>
  <c r="GF34" i="1"/>
  <c r="GG34" i="1"/>
  <c r="GH34" i="1"/>
  <c r="GX34" i="1"/>
  <c r="GI34" i="1"/>
  <c r="GY34" i="1"/>
  <c r="GU35" i="1"/>
  <c r="CY35" i="1"/>
  <c r="DF35" i="1"/>
  <c r="CZ35" i="1"/>
  <c r="DA35" i="1"/>
  <c r="DB35" i="1"/>
  <c r="DC35" i="1"/>
  <c r="DD35" i="1"/>
  <c r="DE35" i="1"/>
  <c r="DG35" i="1"/>
  <c r="DH35" i="1"/>
  <c r="DI35" i="1"/>
  <c r="EC35" i="1"/>
  <c r="EH35" i="1"/>
  <c r="EI35" i="1"/>
  <c r="EO35" i="1"/>
  <c r="EP35" i="1"/>
  <c r="Z35" i="1"/>
  <c r="BH35" i="1"/>
  <c r="AA35" i="1"/>
  <c r="BI35" i="1"/>
  <c r="BJ35" i="1"/>
  <c r="DN35" i="1"/>
  <c r="EA35" i="1"/>
  <c r="EQ35" i="1"/>
  <c r="ER35" i="1"/>
  <c r="EZ35" i="1"/>
  <c r="EF35" i="1"/>
  <c r="ED35" i="1"/>
  <c r="ES35" i="1"/>
  <c r="ET35" i="1"/>
  <c r="EW35" i="1"/>
  <c r="EE35" i="1"/>
  <c r="EU35" i="1"/>
  <c r="EX35" i="1"/>
  <c r="EG35" i="1"/>
  <c r="EY35" i="1"/>
  <c r="EJ35" i="1"/>
  <c r="FA35" i="1"/>
  <c r="FB35" i="1"/>
  <c r="EM35" i="1"/>
  <c r="FE35" i="1"/>
  <c r="EK35" i="1"/>
  <c r="FF35" i="1"/>
  <c r="FG35" i="1"/>
  <c r="FI35" i="1"/>
  <c r="EN35" i="1"/>
  <c r="FJ35" i="1"/>
  <c r="FK35" i="1"/>
  <c r="FL35" i="1"/>
  <c r="FM35" i="1"/>
  <c r="FN35" i="1"/>
  <c r="FS35" i="1"/>
  <c r="FP35" i="1"/>
  <c r="FU35" i="1"/>
  <c r="GV35" i="1"/>
  <c r="FO35" i="1"/>
  <c r="FT35" i="1"/>
  <c r="GW35" i="1"/>
  <c r="FY35" i="1"/>
  <c r="FZ35" i="1"/>
  <c r="GF35" i="1"/>
  <c r="GG35" i="1"/>
  <c r="GH35" i="1"/>
  <c r="GX35" i="1"/>
  <c r="GI35" i="1"/>
  <c r="GY35" i="1"/>
  <c r="GU36" i="1"/>
  <c r="CY36" i="1"/>
  <c r="DF36" i="1"/>
  <c r="CZ36" i="1"/>
  <c r="DA36" i="1"/>
  <c r="DB36" i="1"/>
  <c r="DC36" i="1"/>
  <c r="DD36" i="1"/>
  <c r="DE36" i="1"/>
  <c r="DG36" i="1"/>
  <c r="DH36" i="1"/>
  <c r="DI36" i="1"/>
  <c r="EC36" i="1"/>
  <c r="EH36" i="1"/>
  <c r="EI36" i="1"/>
  <c r="EO36" i="1"/>
  <c r="EP36" i="1"/>
  <c r="Z36" i="1"/>
  <c r="BH36" i="1"/>
  <c r="AA36" i="1"/>
  <c r="BI36" i="1"/>
  <c r="BJ36" i="1"/>
  <c r="DN36" i="1"/>
  <c r="EA36" i="1"/>
  <c r="EQ36" i="1"/>
  <c r="ER36" i="1"/>
  <c r="EZ36" i="1"/>
  <c r="EF36" i="1"/>
  <c r="ED36" i="1"/>
  <c r="ES36" i="1"/>
  <c r="ET36" i="1"/>
  <c r="EW36" i="1"/>
  <c r="EE36" i="1"/>
  <c r="EU36" i="1"/>
  <c r="EX36" i="1"/>
  <c r="EG36" i="1"/>
  <c r="EY36" i="1"/>
  <c r="EJ36" i="1"/>
  <c r="FA36" i="1"/>
  <c r="FB36" i="1"/>
  <c r="EM36" i="1"/>
  <c r="FE36" i="1"/>
  <c r="EK36" i="1"/>
  <c r="FF36" i="1"/>
  <c r="FG36" i="1"/>
  <c r="FI36" i="1"/>
  <c r="EN36" i="1"/>
  <c r="FJ36" i="1"/>
  <c r="FK36" i="1"/>
  <c r="FL36" i="1"/>
  <c r="FM36" i="1"/>
  <c r="FN36" i="1"/>
  <c r="FS36" i="1"/>
  <c r="FP36" i="1"/>
  <c r="FU36" i="1"/>
  <c r="GV36" i="1"/>
  <c r="FO36" i="1"/>
  <c r="FT36" i="1"/>
  <c r="GW36" i="1"/>
  <c r="FY36" i="1"/>
  <c r="FZ36" i="1"/>
  <c r="GF36" i="1"/>
  <c r="GG36" i="1"/>
  <c r="GH36" i="1"/>
  <c r="GX36" i="1"/>
  <c r="GI36" i="1"/>
  <c r="GY36" i="1"/>
  <c r="GU37" i="1"/>
  <c r="CY37" i="1"/>
  <c r="DF37" i="1"/>
  <c r="CZ37" i="1"/>
  <c r="DA37" i="1"/>
  <c r="DB37" i="1"/>
  <c r="DC37" i="1"/>
  <c r="DD37" i="1"/>
  <c r="DE37" i="1"/>
  <c r="DG37" i="1"/>
  <c r="DH37" i="1"/>
  <c r="DI37" i="1"/>
  <c r="EC37" i="1"/>
  <c r="EH37" i="1"/>
  <c r="EI37" i="1"/>
  <c r="EO37" i="1"/>
  <c r="EP37" i="1"/>
  <c r="Z37" i="1"/>
  <c r="BH37" i="1"/>
  <c r="AA37" i="1"/>
  <c r="BI37" i="1"/>
  <c r="BJ37" i="1"/>
  <c r="DN37" i="1"/>
  <c r="EA37" i="1"/>
  <c r="EQ37" i="1"/>
  <c r="ER37" i="1"/>
  <c r="EZ37" i="1"/>
  <c r="EF37" i="1"/>
  <c r="ED37" i="1"/>
  <c r="ES37" i="1"/>
  <c r="ET37" i="1"/>
  <c r="EW37" i="1"/>
  <c r="EE37" i="1"/>
  <c r="EU37" i="1"/>
  <c r="EX37" i="1"/>
  <c r="EG37" i="1"/>
  <c r="EY37" i="1"/>
  <c r="EJ37" i="1"/>
  <c r="FA37" i="1"/>
  <c r="FB37" i="1"/>
  <c r="EM37" i="1"/>
  <c r="FE37" i="1"/>
  <c r="EK37" i="1"/>
  <c r="FF37" i="1"/>
  <c r="FG37" i="1"/>
  <c r="FI37" i="1"/>
  <c r="EN37" i="1"/>
  <c r="FJ37" i="1"/>
  <c r="FK37" i="1"/>
  <c r="FL37" i="1"/>
  <c r="FM37" i="1"/>
  <c r="FN37" i="1"/>
  <c r="FS37" i="1"/>
  <c r="FP37" i="1"/>
  <c r="FU37" i="1"/>
  <c r="GV37" i="1"/>
  <c r="FO37" i="1"/>
  <c r="FT37" i="1"/>
  <c r="GW37" i="1"/>
  <c r="FY37" i="1"/>
  <c r="FZ37" i="1"/>
  <c r="GF37" i="1"/>
  <c r="GG37" i="1"/>
  <c r="GH37" i="1"/>
  <c r="GX37" i="1"/>
  <c r="GI37" i="1"/>
  <c r="GY37" i="1"/>
  <c r="GU38" i="1"/>
  <c r="CY38" i="1"/>
  <c r="DF38" i="1"/>
  <c r="CZ38" i="1"/>
  <c r="DA38" i="1"/>
  <c r="DB38" i="1"/>
  <c r="DC38" i="1"/>
  <c r="DD38" i="1"/>
  <c r="DE38" i="1"/>
  <c r="DG38" i="1"/>
  <c r="DH38" i="1"/>
  <c r="DI38" i="1"/>
  <c r="EC38" i="1"/>
  <c r="EH38" i="1"/>
  <c r="EI38" i="1"/>
  <c r="EO38" i="1"/>
  <c r="EP38" i="1"/>
  <c r="Z38" i="1"/>
  <c r="BH38" i="1"/>
  <c r="AA38" i="1"/>
  <c r="BI38" i="1"/>
  <c r="BJ38" i="1"/>
  <c r="DN38" i="1"/>
  <c r="EA38" i="1"/>
  <c r="EQ38" i="1"/>
  <c r="ER38" i="1"/>
  <c r="EZ38" i="1"/>
  <c r="EF38" i="1"/>
  <c r="ED38" i="1"/>
  <c r="ES38" i="1"/>
  <c r="ET38" i="1"/>
  <c r="EW38" i="1"/>
  <c r="EE38" i="1"/>
  <c r="EU38" i="1"/>
  <c r="EX38" i="1"/>
  <c r="EG38" i="1"/>
  <c r="EY38" i="1"/>
  <c r="EJ38" i="1"/>
  <c r="FA38" i="1"/>
  <c r="FB38" i="1"/>
  <c r="EM38" i="1"/>
  <c r="FE38" i="1"/>
  <c r="EK38" i="1"/>
  <c r="FF38" i="1"/>
  <c r="FG38" i="1"/>
  <c r="FI38" i="1"/>
  <c r="EN38" i="1"/>
  <c r="FJ38" i="1"/>
  <c r="FK38" i="1"/>
  <c r="FL38" i="1"/>
  <c r="FM38" i="1"/>
  <c r="FN38" i="1"/>
  <c r="FS38" i="1"/>
  <c r="FP38" i="1"/>
  <c r="FU38" i="1"/>
  <c r="GV38" i="1"/>
  <c r="FO38" i="1"/>
  <c r="FT38" i="1"/>
  <c r="GW38" i="1"/>
  <c r="FY38" i="1"/>
  <c r="FZ38" i="1"/>
  <c r="GF38" i="1"/>
  <c r="GG38" i="1"/>
  <c r="GH38" i="1"/>
  <c r="GX38" i="1"/>
  <c r="GI38" i="1"/>
  <c r="GY38" i="1"/>
  <c r="GU39" i="1"/>
  <c r="CY39" i="1"/>
  <c r="DF39" i="1"/>
  <c r="CZ39" i="1"/>
  <c r="DA39" i="1"/>
  <c r="DB39" i="1"/>
  <c r="DC39" i="1"/>
  <c r="DD39" i="1"/>
  <c r="DE39" i="1"/>
  <c r="DG39" i="1"/>
  <c r="DH39" i="1"/>
  <c r="DI39" i="1"/>
  <c r="EC39" i="1"/>
  <c r="EH39" i="1"/>
  <c r="EI39" i="1"/>
  <c r="EO39" i="1"/>
  <c r="EP39" i="1"/>
  <c r="Z39" i="1"/>
  <c r="BH39" i="1"/>
  <c r="AA39" i="1"/>
  <c r="BI39" i="1"/>
  <c r="BJ39" i="1"/>
  <c r="DN39" i="1"/>
  <c r="EA39" i="1"/>
  <c r="EQ39" i="1"/>
  <c r="ER39" i="1"/>
  <c r="EZ39" i="1"/>
  <c r="EF39" i="1"/>
  <c r="ED39" i="1"/>
  <c r="ES39" i="1"/>
  <c r="ET39" i="1"/>
  <c r="EW39" i="1"/>
  <c r="EE39" i="1"/>
  <c r="EU39" i="1"/>
  <c r="EX39" i="1"/>
  <c r="EG39" i="1"/>
  <c r="EY39" i="1"/>
  <c r="EJ39" i="1"/>
  <c r="FA39" i="1"/>
  <c r="FB39" i="1"/>
  <c r="EM39" i="1"/>
  <c r="FE39" i="1"/>
  <c r="EK39" i="1"/>
  <c r="FF39" i="1"/>
  <c r="FG39" i="1"/>
  <c r="FI39" i="1"/>
  <c r="EN39" i="1"/>
  <c r="FJ39" i="1"/>
  <c r="FK39" i="1"/>
  <c r="FL39" i="1"/>
  <c r="FM39" i="1"/>
  <c r="FN39" i="1"/>
  <c r="FS39" i="1"/>
  <c r="FP39" i="1"/>
  <c r="FU39" i="1"/>
  <c r="GV39" i="1"/>
  <c r="FO39" i="1"/>
  <c r="FT39" i="1"/>
  <c r="GW39" i="1"/>
  <c r="FY39" i="1"/>
  <c r="FZ39" i="1"/>
  <c r="GF39" i="1"/>
  <c r="GG39" i="1"/>
  <c r="GH39" i="1"/>
  <c r="GX39" i="1"/>
  <c r="GI39" i="1"/>
  <c r="GY39" i="1"/>
  <c r="GU40" i="1"/>
  <c r="CY40" i="1"/>
  <c r="DF40" i="1"/>
  <c r="CZ40" i="1"/>
  <c r="DA40" i="1"/>
  <c r="DB40" i="1"/>
  <c r="DC40" i="1"/>
  <c r="DD40" i="1"/>
  <c r="DE40" i="1"/>
  <c r="DG40" i="1"/>
  <c r="DH40" i="1"/>
  <c r="DI40" i="1"/>
  <c r="EC40" i="1"/>
  <c r="EH40" i="1"/>
  <c r="EI40" i="1"/>
  <c r="EO40" i="1"/>
  <c r="EP40" i="1"/>
  <c r="Z40" i="1"/>
  <c r="BH40" i="1"/>
  <c r="AA40" i="1"/>
  <c r="BI40" i="1"/>
  <c r="BJ40" i="1"/>
  <c r="DN40" i="1"/>
  <c r="EA40" i="1"/>
  <c r="EQ40" i="1"/>
  <c r="ER40" i="1"/>
  <c r="EZ40" i="1"/>
  <c r="EF40" i="1"/>
  <c r="ED40" i="1"/>
  <c r="ES40" i="1"/>
  <c r="ET40" i="1"/>
  <c r="EW40" i="1"/>
  <c r="EE40" i="1"/>
  <c r="EU40" i="1"/>
  <c r="EX40" i="1"/>
  <c r="EG40" i="1"/>
  <c r="EY40" i="1"/>
  <c r="EJ40" i="1"/>
  <c r="FA40" i="1"/>
  <c r="FB40" i="1"/>
  <c r="EM40" i="1"/>
  <c r="FE40" i="1"/>
  <c r="EK40" i="1"/>
  <c r="FF40" i="1"/>
  <c r="FG40" i="1"/>
  <c r="FI40" i="1"/>
  <c r="EN40" i="1"/>
  <c r="FJ40" i="1"/>
  <c r="FK40" i="1"/>
  <c r="FL40" i="1"/>
  <c r="FM40" i="1"/>
  <c r="FN40" i="1"/>
  <c r="FS40" i="1"/>
  <c r="FP40" i="1"/>
  <c r="FU40" i="1"/>
  <c r="GV40" i="1"/>
  <c r="FO40" i="1"/>
  <c r="FT40" i="1"/>
  <c r="GW40" i="1"/>
  <c r="FY40" i="1"/>
  <c r="FZ40" i="1"/>
  <c r="GF40" i="1"/>
  <c r="GG40" i="1"/>
  <c r="GH40" i="1"/>
  <c r="GX40" i="1"/>
  <c r="GI40" i="1"/>
  <c r="GY40" i="1"/>
  <c r="GU41" i="1"/>
  <c r="CY41" i="1"/>
  <c r="DF41" i="1"/>
  <c r="CZ41" i="1"/>
  <c r="DA41" i="1"/>
  <c r="DB41" i="1"/>
  <c r="DC41" i="1"/>
  <c r="DD41" i="1"/>
  <c r="DE41" i="1"/>
  <c r="DG41" i="1"/>
  <c r="DH41" i="1"/>
  <c r="DI41" i="1"/>
  <c r="EC41" i="1"/>
  <c r="EH41" i="1"/>
  <c r="EI41" i="1"/>
  <c r="EO41" i="1"/>
  <c r="EP41" i="1"/>
  <c r="Z41" i="1"/>
  <c r="BH41" i="1"/>
  <c r="AA41" i="1"/>
  <c r="BI41" i="1"/>
  <c r="BJ41" i="1"/>
  <c r="DN41" i="1"/>
  <c r="EA41" i="1"/>
  <c r="EQ41" i="1"/>
  <c r="ER41" i="1"/>
  <c r="EZ41" i="1"/>
  <c r="EF41" i="1"/>
  <c r="ED41" i="1"/>
  <c r="ES41" i="1"/>
  <c r="ET41" i="1"/>
  <c r="EW41" i="1"/>
  <c r="EE41" i="1"/>
  <c r="EU41" i="1"/>
  <c r="EX41" i="1"/>
  <c r="EG41" i="1"/>
  <c r="EY41" i="1"/>
  <c r="EJ41" i="1"/>
  <c r="FA41" i="1"/>
  <c r="FB41" i="1"/>
  <c r="EM41" i="1"/>
  <c r="FE41" i="1"/>
  <c r="EK41" i="1"/>
  <c r="FF41" i="1"/>
  <c r="FG41" i="1"/>
  <c r="FI41" i="1"/>
  <c r="EN41" i="1"/>
  <c r="FJ41" i="1"/>
  <c r="FK41" i="1"/>
  <c r="FL41" i="1"/>
  <c r="FM41" i="1"/>
  <c r="FN41" i="1"/>
  <c r="FS41" i="1"/>
  <c r="FP41" i="1"/>
  <c r="FU41" i="1"/>
  <c r="GV41" i="1"/>
  <c r="FO41" i="1"/>
  <c r="FT41" i="1"/>
  <c r="GW41" i="1"/>
  <c r="FY41" i="1"/>
  <c r="FZ41" i="1"/>
  <c r="GF41" i="1"/>
  <c r="GG41" i="1"/>
  <c r="GH41" i="1"/>
  <c r="GX41" i="1"/>
  <c r="GI41" i="1"/>
  <c r="GY41" i="1"/>
  <c r="GU42" i="1"/>
  <c r="CY42" i="1"/>
  <c r="DF42" i="1"/>
  <c r="CZ42" i="1"/>
  <c r="DA42" i="1"/>
  <c r="DB42" i="1"/>
  <c r="DC42" i="1"/>
  <c r="DD42" i="1"/>
  <c r="DE42" i="1"/>
  <c r="DG42" i="1"/>
  <c r="DH42" i="1"/>
  <c r="DI42" i="1"/>
  <c r="EC42" i="1"/>
  <c r="EH42" i="1"/>
  <c r="EI42" i="1"/>
  <c r="EO42" i="1"/>
  <c r="EP42" i="1"/>
  <c r="Z42" i="1"/>
  <c r="BH42" i="1"/>
  <c r="AA42" i="1"/>
  <c r="BI42" i="1"/>
  <c r="BJ42" i="1"/>
  <c r="DN42" i="1"/>
  <c r="EA42" i="1"/>
  <c r="EQ42" i="1"/>
  <c r="ER42" i="1"/>
  <c r="EZ42" i="1"/>
  <c r="EF42" i="1"/>
  <c r="ED42" i="1"/>
  <c r="ES42" i="1"/>
  <c r="ET42" i="1"/>
  <c r="EW42" i="1"/>
  <c r="EE42" i="1"/>
  <c r="EU42" i="1"/>
  <c r="EX42" i="1"/>
  <c r="EG42" i="1"/>
  <c r="EY42" i="1"/>
  <c r="EJ42" i="1"/>
  <c r="FA42" i="1"/>
  <c r="FB42" i="1"/>
  <c r="EM42" i="1"/>
  <c r="FE42" i="1"/>
  <c r="EK42" i="1"/>
  <c r="FF42" i="1"/>
  <c r="FG42" i="1"/>
  <c r="FI42" i="1"/>
  <c r="EN42" i="1"/>
  <c r="FJ42" i="1"/>
  <c r="FK42" i="1"/>
  <c r="FL42" i="1"/>
  <c r="FM42" i="1"/>
  <c r="FN42" i="1"/>
  <c r="FS42" i="1"/>
  <c r="FP42" i="1"/>
  <c r="FU42" i="1"/>
  <c r="GV42" i="1"/>
  <c r="FO42" i="1"/>
  <c r="FT42" i="1"/>
  <c r="GW42" i="1"/>
  <c r="FY42" i="1"/>
  <c r="FZ42" i="1"/>
  <c r="GF42" i="1"/>
  <c r="GG42" i="1"/>
  <c r="GH42" i="1"/>
  <c r="GX42" i="1"/>
  <c r="GI42" i="1"/>
  <c r="GY42" i="1"/>
  <c r="GU43" i="1"/>
  <c r="CY43" i="1"/>
  <c r="DF43" i="1"/>
  <c r="CZ43" i="1"/>
  <c r="DA43" i="1"/>
  <c r="DB43" i="1"/>
  <c r="DC43" i="1"/>
  <c r="DD43" i="1"/>
  <c r="DE43" i="1"/>
  <c r="DG43" i="1"/>
  <c r="DH43" i="1"/>
  <c r="DI43" i="1"/>
  <c r="EC43" i="1"/>
  <c r="EH43" i="1"/>
  <c r="EI43" i="1"/>
  <c r="EO43" i="1"/>
  <c r="EP43" i="1"/>
  <c r="Z43" i="1"/>
  <c r="BH43" i="1"/>
  <c r="AA43" i="1"/>
  <c r="BI43" i="1"/>
  <c r="BJ43" i="1"/>
  <c r="DN43" i="1"/>
  <c r="EA43" i="1"/>
  <c r="EQ43" i="1"/>
  <c r="ER43" i="1"/>
  <c r="EZ43" i="1"/>
  <c r="EF43" i="1"/>
  <c r="ED43" i="1"/>
  <c r="ES43" i="1"/>
  <c r="ET43" i="1"/>
  <c r="EW43" i="1"/>
  <c r="EE43" i="1"/>
  <c r="EU43" i="1"/>
  <c r="EX43" i="1"/>
  <c r="EG43" i="1"/>
  <c r="EY43" i="1"/>
  <c r="EJ43" i="1"/>
  <c r="FA43" i="1"/>
  <c r="FB43" i="1"/>
  <c r="EM43" i="1"/>
  <c r="FE43" i="1"/>
  <c r="EK43" i="1"/>
  <c r="FF43" i="1"/>
  <c r="FG43" i="1"/>
  <c r="FI43" i="1"/>
  <c r="EN43" i="1"/>
  <c r="FJ43" i="1"/>
  <c r="FK43" i="1"/>
  <c r="FL43" i="1"/>
  <c r="FM43" i="1"/>
  <c r="FN43" i="1"/>
  <c r="FS43" i="1"/>
  <c r="FP43" i="1"/>
  <c r="FU43" i="1"/>
  <c r="GV43" i="1"/>
  <c r="FO43" i="1"/>
  <c r="FT43" i="1"/>
  <c r="GW43" i="1"/>
  <c r="FY43" i="1"/>
  <c r="FZ43" i="1"/>
  <c r="GF43" i="1"/>
  <c r="GG43" i="1"/>
  <c r="GH43" i="1"/>
  <c r="GX43" i="1"/>
  <c r="GI43" i="1"/>
  <c r="GY43" i="1"/>
  <c r="GU44" i="1"/>
  <c r="CY44" i="1"/>
  <c r="DF44" i="1"/>
  <c r="CZ44" i="1"/>
  <c r="DA44" i="1"/>
  <c r="DB44" i="1"/>
  <c r="DC44" i="1"/>
  <c r="DD44" i="1"/>
  <c r="DE44" i="1"/>
  <c r="DG44" i="1"/>
  <c r="DH44" i="1"/>
  <c r="DI44" i="1"/>
  <c r="EC44" i="1"/>
  <c r="EH44" i="1"/>
  <c r="EI44" i="1"/>
  <c r="EO44" i="1"/>
  <c r="EP44" i="1"/>
  <c r="Z44" i="1"/>
  <c r="BH44" i="1"/>
  <c r="AA44" i="1"/>
  <c r="BI44" i="1"/>
  <c r="BJ44" i="1"/>
  <c r="DN44" i="1"/>
  <c r="EA44" i="1"/>
  <c r="EQ44" i="1"/>
  <c r="ER44" i="1"/>
  <c r="EZ44" i="1"/>
  <c r="EF44" i="1"/>
  <c r="ED44" i="1"/>
  <c r="ES44" i="1"/>
  <c r="ET44" i="1"/>
  <c r="EW44" i="1"/>
  <c r="EE44" i="1"/>
  <c r="EU44" i="1"/>
  <c r="EX44" i="1"/>
  <c r="EG44" i="1"/>
  <c r="EY44" i="1"/>
  <c r="EJ44" i="1"/>
  <c r="FA44" i="1"/>
  <c r="FB44" i="1"/>
  <c r="EM44" i="1"/>
  <c r="FE44" i="1"/>
  <c r="EK44" i="1"/>
  <c r="FF44" i="1"/>
  <c r="FG44" i="1"/>
  <c r="FI44" i="1"/>
  <c r="EN44" i="1"/>
  <c r="FJ44" i="1"/>
  <c r="FK44" i="1"/>
  <c r="FL44" i="1"/>
  <c r="FM44" i="1"/>
  <c r="FN44" i="1"/>
  <c r="FS44" i="1"/>
  <c r="FP44" i="1"/>
  <c r="FU44" i="1"/>
  <c r="GV44" i="1"/>
  <c r="FO44" i="1"/>
  <c r="FT44" i="1"/>
  <c r="GW44" i="1"/>
  <c r="FY44" i="1"/>
  <c r="FZ44" i="1"/>
  <c r="GF44" i="1"/>
  <c r="GG44" i="1"/>
  <c r="GH44" i="1"/>
  <c r="GX44" i="1"/>
  <c r="GI44" i="1"/>
  <c r="GY44" i="1"/>
  <c r="GU45" i="1"/>
  <c r="CY45" i="1"/>
  <c r="DF45" i="1"/>
  <c r="CZ45" i="1"/>
  <c r="DA45" i="1"/>
  <c r="DB45" i="1"/>
  <c r="DC45" i="1"/>
  <c r="DD45" i="1"/>
  <c r="DE45" i="1"/>
  <c r="DG45" i="1"/>
  <c r="DH45" i="1"/>
  <c r="DI45" i="1"/>
  <c r="EC45" i="1"/>
  <c r="EH45" i="1"/>
  <c r="EI45" i="1"/>
  <c r="EO45" i="1"/>
  <c r="EP45" i="1"/>
  <c r="Z45" i="1"/>
  <c r="BH45" i="1"/>
  <c r="AA45" i="1"/>
  <c r="BI45" i="1"/>
  <c r="BJ45" i="1"/>
  <c r="DN45" i="1"/>
  <c r="EA45" i="1"/>
  <c r="EQ45" i="1"/>
  <c r="ER45" i="1"/>
  <c r="EZ45" i="1"/>
  <c r="EF45" i="1"/>
  <c r="ED45" i="1"/>
  <c r="ES45" i="1"/>
  <c r="ET45" i="1"/>
  <c r="EW45" i="1"/>
  <c r="EE45" i="1"/>
  <c r="EU45" i="1"/>
  <c r="EX45" i="1"/>
  <c r="EG45" i="1"/>
  <c r="EY45" i="1"/>
  <c r="EJ45" i="1"/>
  <c r="FA45" i="1"/>
  <c r="FB45" i="1"/>
  <c r="EM45" i="1"/>
  <c r="FE45" i="1"/>
  <c r="EK45" i="1"/>
  <c r="FF45" i="1"/>
  <c r="FG45" i="1"/>
  <c r="FI45" i="1"/>
  <c r="EN45" i="1"/>
  <c r="FJ45" i="1"/>
  <c r="FK45" i="1"/>
  <c r="FL45" i="1"/>
  <c r="FM45" i="1"/>
  <c r="FN45" i="1"/>
  <c r="FS45" i="1"/>
  <c r="FP45" i="1"/>
  <c r="FU45" i="1"/>
  <c r="GV45" i="1"/>
  <c r="FO45" i="1"/>
  <c r="FT45" i="1"/>
  <c r="GW45" i="1"/>
  <c r="FY45" i="1"/>
  <c r="FZ45" i="1"/>
  <c r="GF45" i="1"/>
  <c r="GG45" i="1"/>
  <c r="GH45" i="1"/>
  <c r="GX45" i="1"/>
  <c r="GI45" i="1"/>
  <c r="GY45" i="1"/>
  <c r="GU46" i="1"/>
  <c r="CY46" i="1"/>
  <c r="DF46" i="1"/>
  <c r="CZ46" i="1"/>
  <c r="DA46" i="1"/>
  <c r="DB46" i="1"/>
  <c r="DC46" i="1"/>
  <c r="DD46" i="1"/>
  <c r="DE46" i="1"/>
  <c r="DG46" i="1"/>
  <c r="DH46" i="1"/>
  <c r="DI46" i="1"/>
  <c r="EC46" i="1"/>
  <c r="EH46" i="1"/>
  <c r="EI46" i="1"/>
  <c r="EO46" i="1"/>
  <c r="EP46" i="1"/>
  <c r="Z46" i="1"/>
  <c r="BH46" i="1"/>
  <c r="AA46" i="1"/>
  <c r="BI46" i="1"/>
  <c r="BJ46" i="1"/>
  <c r="DN46" i="1"/>
  <c r="EA46" i="1"/>
  <c r="EQ46" i="1"/>
  <c r="ER46" i="1"/>
  <c r="EZ46" i="1"/>
  <c r="EF46" i="1"/>
  <c r="ED46" i="1"/>
  <c r="ES46" i="1"/>
  <c r="ET46" i="1"/>
  <c r="EW46" i="1"/>
  <c r="EE46" i="1"/>
  <c r="EU46" i="1"/>
  <c r="EX46" i="1"/>
  <c r="EG46" i="1"/>
  <c r="EY46" i="1"/>
  <c r="EJ46" i="1"/>
  <c r="FA46" i="1"/>
  <c r="FB46" i="1"/>
  <c r="EM46" i="1"/>
  <c r="FE46" i="1"/>
  <c r="EK46" i="1"/>
  <c r="FF46" i="1"/>
  <c r="FG46" i="1"/>
  <c r="FI46" i="1"/>
  <c r="EN46" i="1"/>
  <c r="FJ46" i="1"/>
  <c r="FK46" i="1"/>
  <c r="FL46" i="1"/>
  <c r="FM46" i="1"/>
  <c r="FN46" i="1"/>
  <c r="FS46" i="1"/>
  <c r="FP46" i="1"/>
  <c r="FU46" i="1"/>
  <c r="GV46" i="1"/>
  <c r="FO46" i="1"/>
  <c r="FT46" i="1"/>
  <c r="GW46" i="1"/>
  <c r="FY46" i="1"/>
  <c r="FZ46" i="1"/>
  <c r="GF46" i="1"/>
  <c r="GG46" i="1"/>
  <c r="GH46" i="1"/>
  <c r="GX46" i="1"/>
  <c r="GI46" i="1"/>
  <c r="GY46" i="1"/>
  <c r="GU47" i="1"/>
  <c r="CY47" i="1"/>
  <c r="DF47" i="1"/>
  <c r="CZ47" i="1"/>
  <c r="DA47" i="1"/>
  <c r="DB47" i="1"/>
  <c r="DC47" i="1"/>
  <c r="DD47" i="1"/>
  <c r="DE47" i="1"/>
  <c r="DG47" i="1"/>
  <c r="DH47" i="1"/>
  <c r="DI47" i="1"/>
  <c r="EC47" i="1"/>
  <c r="EH47" i="1"/>
  <c r="EI47" i="1"/>
  <c r="EO47" i="1"/>
  <c r="EP47" i="1"/>
  <c r="Z47" i="1"/>
  <c r="BH47" i="1"/>
  <c r="AA47" i="1"/>
  <c r="BI47" i="1"/>
  <c r="BJ47" i="1"/>
  <c r="DN47" i="1"/>
  <c r="EA47" i="1"/>
  <c r="EQ47" i="1"/>
  <c r="ER47" i="1"/>
  <c r="EZ47" i="1"/>
  <c r="EF47" i="1"/>
  <c r="ED47" i="1"/>
  <c r="ES47" i="1"/>
  <c r="ET47" i="1"/>
  <c r="EW47" i="1"/>
  <c r="EE47" i="1"/>
  <c r="EU47" i="1"/>
  <c r="EX47" i="1"/>
  <c r="EG47" i="1"/>
  <c r="EY47" i="1"/>
  <c r="EJ47" i="1"/>
  <c r="FA47" i="1"/>
  <c r="FB47" i="1"/>
  <c r="EM47" i="1"/>
  <c r="FE47" i="1"/>
  <c r="EK47" i="1"/>
  <c r="FF47" i="1"/>
  <c r="FG47" i="1"/>
  <c r="FI47" i="1"/>
  <c r="EN47" i="1"/>
  <c r="FJ47" i="1"/>
  <c r="FK47" i="1"/>
  <c r="FL47" i="1"/>
  <c r="FM47" i="1"/>
  <c r="FN47" i="1"/>
  <c r="FS47" i="1"/>
  <c r="FP47" i="1"/>
  <c r="FU47" i="1"/>
  <c r="GV47" i="1"/>
  <c r="FO47" i="1"/>
  <c r="FT47" i="1"/>
  <c r="GW47" i="1"/>
  <c r="FY47" i="1"/>
  <c r="FZ47" i="1"/>
  <c r="GF47" i="1"/>
  <c r="GG47" i="1"/>
  <c r="GH47" i="1"/>
  <c r="GX47" i="1"/>
  <c r="GI47" i="1"/>
  <c r="GY47" i="1"/>
  <c r="GU48" i="1"/>
  <c r="CY48" i="1"/>
  <c r="DF48" i="1"/>
  <c r="CZ48" i="1"/>
  <c r="DA48" i="1"/>
  <c r="DB48" i="1"/>
  <c r="DC48" i="1"/>
  <c r="DD48" i="1"/>
  <c r="DE48" i="1"/>
  <c r="DG48" i="1"/>
  <c r="DH48" i="1"/>
  <c r="DI48" i="1"/>
  <c r="EC48" i="1"/>
  <c r="EH48" i="1"/>
  <c r="EI48" i="1"/>
  <c r="EO48" i="1"/>
  <c r="EP48" i="1"/>
  <c r="Z48" i="1"/>
  <c r="BH48" i="1"/>
  <c r="AA48" i="1"/>
  <c r="BI48" i="1"/>
  <c r="BJ48" i="1"/>
  <c r="DN48" i="1"/>
  <c r="EA48" i="1"/>
  <c r="EQ48" i="1"/>
  <c r="ER48" i="1"/>
  <c r="EZ48" i="1"/>
  <c r="EF48" i="1"/>
  <c r="ED48" i="1"/>
  <c r="ES48" i="1"/>
  <c r="ET48" i="1"/>
  <c r="EW48" i="1"/>
  <c r="EE48" i="1"/>
  <c r="EU48" i="1"/>
  <c r="EX48" i="1"/>
  <c r="EG48" i="1"/>
  <c r="EY48" i="1"/>
  <c r="EJ48" i="1"/>
  <c r="FA48" i="1"/>
  <c r="FB48" i="1"/>
  <c r="EM48" i="1"/>
  <c r="FE48" i="1"/>
  <c r="EK48" i="1"/>
  <c r="FF48" i="1"/>
  <c r="FG48" i="1"/>
  <c r="FI48" i="1"/>
  <c r="EN48" i="1"/>
  <c r="FJ48" i="1"/>
  <c r="FK48" i="1"/>
  <c r="FL48" i="1"/>
  <c r="FM48" i="1"/>
  <c r="FN48" i="1"/>
  <c r="FS48" i="1"/>
  <c r="FP48" i="1"/>
  <c r="FU48" i="1"/>
  <c r="GV48" i="1"/>
  <c r="FO48" i="1"/>
  <c r="FT48" i="1"/>
  <c r="GW48" i="1"/>
  <c r="FY48" i="1"/>
  <c r="FZ48" i="1"/>
  <c r="GF48" i="1"/>
  <c r="GG48" i="1"/>
  <c r="GH48" i="1"/>
  <c r="GX48" i="1"/>
  <c r="GI48" i="1"/>
  <c r="GY48" i="1"/>
  <c r="GU49" i="1"/>
  <c r="CY49" i="1"/>
  <c r="DF49" i="1"/>
  <c r="CZ49" i="1"/>
  <c r="DA49" i="1"/>
  <c r="DB49" i="1"/>
  <c r="DC49" i="1"/>
  <c r="DD49" i="1"/>
  <c r="DE49" i="1"/>
  <c r="DG49" i="1"/>
  <c r="DH49" i="1"/>
  <c r="DI49" i="1"/>
  <c r="EC49" i="1"/>
  <c r="EH49" i="1"/>
  <c r="EI49" i="1"/>
  <c r="EO49" i="1"/>
  <c r="EP49" i="1"/>
  <c r="Z49" i="1"/>
  <c r="BH49" i="1"/>
  <c r="AA49" i="1"/>
  <c r="BI49" i="1"/>
  <c r="BJ49" i="1"/>
  <c r="DN49" i="1"/>
  <c r="EA49" i="1"/>
  <c r="EQ49" i="1"/>
  <c r="ER49" i="1"/>
  <c r="EZ49" i="1"/>
  <c r="EF49" i="1"/>
  <c r="ED49" i="1"/>
  <c r="ES49" i="1"/>
  <c r="ET49" i="1"/>
  <c r="EW49" i="1"/>
  <c r="EE49" i="1"/>
  <c r="EU49" i="1"/>
  <c r="EX49" i="1"/>
  <c r="EG49" i="1"/>
  <c r="EY49" i="1"/>
  <c r="EJ49" i="1"/>
  <c r="FA49" i="1"/>
  <c r="FB49" i="1"/>
  <c r="EM49" i="1"/>
  <c r="FE49" i="1"/>
  <c r="EK49" i="1"/>
  <c r="FF49" i="1"/>
  <c r="FG49" i="1"/>
  <c r="FI49" i="1"/>
  <c r="EN49" i="1"/>
  <c r="FJ49" i="1"/>
  <c r="FK49" i="1"/>
  <c r="FL49" i="1"/>
  <c r="FM49" i="1"/>
  <c r="FN49" i="1"/>
  <c r="FS49" i="1"/>
  <c r="FP49" i="1"/>
  <c r="FU49" i="1"/>
  <c r="GV49" i="1"/>
  <c r="FO49" i="1"/>
  <c r="FT49" i="1"/>
  <c r="GW49" i="1"/>
  <c r="FY49" i="1"/>
  <c r="FZ49" i="1"/>
  <c r="GF49" i="1"/>
  <c r="GG49" i="1"/>
  <c r="GH49" i="1"/>
  <c r="GX49" i="1"/>
  <c r="GI49" i="1"/>
  <c r="GY49" i="1"/>
  <c r="GU50" i="1"/>
  <c r="CY50" i="1"/>
  <c r="DF50" i="1"/>
  <c r="CZ50" i="1"/>
  <c r="DA50" i="1"/>
  <c r="DB50" i="1"/>
  <c r="DC50" i="1"/>
  <c r="DD50" i="1"/>
  <c r="DE50" i="1"/>
  <c r="DG50" i="1"/>
  <c r="DH50" i="1"/>
  <c r="DI50" i="1"/>
  <c r="EC50" i="1"/>
  <c r="EH50" i="1"/>
  <c r="EI50" i="1"/>
  <c r="EO50" i="1"/>
  <c r="EP50" i="1"/>
  <c r="Z50" i="1"/>
  <c r="BH50" i="1"/>
  <c r="AA50" i="1"/>
  <c r="BI50" i="1"/>
  <c r="BJ50" i="1"/>
  <c r="DN50" i="1"/>
  <c r="EA50" i="1"/>
  <c r="EQ50" i="1"/>
  <c r="ER50" i="1"/>
  <c r="EZ50" i="1"/>
  <c r="EF50" i="1"/>
  <c r="ED50" i="1"/>
  <c r="ES50" i="1"/>
  <c r="ET50" i="1"/>
  <c r="EW50" i="1"/>
  <c r="EE50" i="1"/>
  <c r="EU50" i="1"/>
  <c r="EX50" i="1"/>
  <c r="EG50" i="1"/>
  <c r="EY50" i="1"/>
  <c r="EJ50" i="1"/>
  <c r="FA50" i="1"/>
  <c r="FB50" i="1"/>
  <c r="EM50" i="1"/>
  <c r="FE50" i="1"/>
  <c r="EK50" i="1"/>
  <c r="FF50" i="1"/>
  <c r="FG50" i="1"/>
  <c r="FI50" i="1"/>
  <c r="EN50" i="1"/>
  <c r="FJ50" i="1"/>
  <c r="FK50" i="1"/>
  <c r="FL50" i="1"/>
  <c r="FM50" i="1"/>
  <c r="FN50" i="1"/>
  <c r="FS50" i="1"/>
  <c r="FP50" i="1"/>
  <c r="FU50" i="1"/>
  <c r="GV50" i="1"/>
  <c r="FO50" i="1"/>
  <c r="FT50" i="1"/>
  <c r="GW50" i="1"/>
  <c r="FY50" i="1"/>
  <c r="FZ50" i="1"/>
  <c r="GF50" i="1"/>
  <c r="GG50" i="1"/>
  <c r="GH50" i="1"/>
  <c r="GX50" i="1"/>
  <c r="GI50" i="1"/>
  <c r="GY50" i="1"/>
  <c r="GU51" i="1"/>
  <c r="CY51" i="1"/>
  <c r="DF51" i="1"/>
  <c r="CZ51" i="1"/>
  <c r="DA51" i="1"/>
  <c r="DB51" i="1"/>
  <c r="DC51" i="1"/>
  <c r="DD51" i="1"/>
  <c r="DE51" i="1"/>
  <c r="DG51" i="1"/>
  <c r="DH51" i="1"/>
  <c r="DI51" i="1"/>
  <c r="EC51" i="1"/>
  <c r="EH51" i="1"/>
  <c r="EI51" i="1"/>
  <c r="EO51" i="1"/>
  <c r="EP51" i="1"/>
  <c r="Z51" i="1"/>
  <c r="BH51" i="1"/>
  <c r="AA51" i="1"/>
  <c r="BI51" i="1"/>
  <c r="BJ51" i="1"/>
  <c r="DN51" i="1"/>
  <c r="EA51" i="1"/>
  <c r="EQ51" i="1"/>
  <c r="ER51" i="1"/>
  <c r="EZ51" i="1"/>
  <c r="EF51" i="1"/>
  <c r="ED51" i="1"/>
  <c r="ES51" i="1"/>
  <c r="ET51" i="1"/>
  <c r="EW51" i="1"/>
  <c r="EE51" i="1"/>
  <c r="EU51" i="1"/>
  <c r="EX51" i="1"/>
  <c r="EG51" i="1"/>
  <c r="EY51" i="1"/>
  <c r="EJ51" i="1"/>
  <c r="FA51" i="1"/>
  <c r="FB51" i="1"/>
  <c r="EM51" i="1"/>
  <c r="FE51" i="1"/>
  <c r="EK51" i="1"/>
  <c r="FF51" i="1"/>
  <c r="FG51" i="1"/>
  <c r="FI51" i="1"/>
  <c r="EN51" i="1"/>
  <c r="FJ51" i="1"/>
  <c r="FK51" i="1"/>
  <c r="FL51" i="1"/>
  <c r="FM51" i="1"/>
  <c r="FN51" i="1"/>
  <c r="FS51" i="1"/>
  <c r="FP51" i="1"/>
  <c r="FU51" i="1"/>
  <c r="GV51" i="1"/>
  <c r="FO51" i="1"/>
  <c r="FT51" i="1"/>
  <c r="GW51" i="1"/>
  <c r="FY51" i="1"/>
  <c r="FZ51" i="1"/>
  <c r="GF51" i="1"/>
  <c r="GG51" i="1"/>
  <c r="GH51" i="1"/>
  <c r="GX51" i="1"/>
  <c r="GI51" i="1"/>
  <c r="GY51" i="1"/>
  <c r="GU52" i="1"/>
  <c r="CY52" i="1"/>
  <c r="DF52" i="1"/>
  <c r="CZ52" i="1"/>
  <c r="DA52" i="1"/>
  <c r="DB52" i="1"/>
  <c r="DC52" i="1"/>
  <c r="DD52" i="1"/>
  <c r="DE52" i="1"/>
  <c r="DG52" i="1"/>
  <c r="DH52" i="1"/>
  <c r="DI52" i="1"/>
  <c r="EC52" i="1"/>
  <c r="EH52" i="1"/>
  <c r="EI52" i="1"/>
  <c r="EO52" i="1"/>
  <c r="EP52" i="1"/>
  <c r="Z52" i="1"/>
  <c r="BH52" i="1"/>
  <c r="AA52" i="1"/>
  <c r="BI52" i="1"/>
  <c r="BJ52" i="1"/>
  <c r="DN52" i="1"/>
  <c r="EA52" i="1"/>
  <c r="EQ52" i="1"/>
  <c r="ER52" i="1"/>
  <c r="EZ52" i="1"/>
  <c r="EF52" i="1"/>
  <c r="ED52" i="1"/>
  <c r="ES52" i="1"/>
  <c r="ET52" i="1"/>
  <c r="EW52" i="1"/>
  <c r="EE52" i="1"/>
  <c r="EU52" i="1"/>
  <c r="EX52" i="1"/>
  <c r="EG52" i="1"/>
  <c r="EY52" i="1"/>
  <c r="EJ52" i="1"/>
  <c r="FA52" i="1"/>
  <c r="FB52" i="1"/>
  <c r="EM52" i="1"/>
  <c r="FE52" i="1"/>
  <c r="EK52" i="1"/>
  <c r="FF52" i="1"/>
  <c r="FG52" i="1"/>
  <c r="FI52" i="1"/>
  <c r="EN52" i="1"/>
  <c r="FJ52" i="1"/>
  <c r="FK52" i="1"/>
  <c r="FL52" i="1"/>
  <c r="FM52" i="1"/>
  <c r="FN52" i="1"/>
  <c r="FS52" i="1"/>
  <c r="FP52" i="1"/>
  <c r="FU52" i="1"/>
  <c r="GV52" i="1"/>
  <c r="FO52" i="1"/>
  <c r="FT52" i="1"/>
  <c r="GW52" i="1"/>
  <c r="FY52" i="1"/>
  <c r="FZ52" i="1"/>
  <c r="GF52" i="1"/>
  <c r="GG52" i="1"/>
  <c r="GH52" i="1"/>
  <c r="GX52" i="1"/>
  <c r="GI52" i="1"/>
  <c r="GY52" i="1"/>
  <c r="GU53" i="1"/>
  <c r="CY53" i="1"/>
  <c r="DF53" i="1"/>
  <c r="CZ53" i="1"/>
  <c r="DA53" i="1"/>
  <c r="DB53" i="1"/>
  <c r="DC53" i="1"/>
  <c r="DD53" i="1"/>
  <c r="DE53" i="1"/>
  <c r="DG53" i="1"/>
  <c r="DH53" i="1"/>
  <c r="DI53" i="1"/>
  <c r="EC53" i="1"/>
  <c r="EH53" i="1"/>
  <c r="EI53" i="1"/>
  <c r="EO53" i="1"/>
  <c r="EP53" i="1"/>
  <c r="Z53" i="1"/>
  <c r="BH53" i="1"/>
  <c r="AA53" i="1"/>
  <c r="BI53" i="1"/>
  <c r="BJ53" i="1"/>
  <c r="DN53" i="1"/>
  <c r="EA53" i="1"/>
  <c r="EQ53" i="1"/>
  <c r="ER53" i="1"/>
  <c r="EZ53" i="1"/>
  <c r="EF53" i="1"/>
  <c r="ED53" i="1"/>
  <c r="ES53" i="1"/>
  <c r="ET53" i="1"/>
  <c r="EW53" i="1"/>
  <c r="EE53" i="1"/>
  <c r="EU53" i="1"/>
  <c r="EX53" i="1"/>
  <c r="EG53" i="1"/>
  <c r="EY53" i="1"/>
  <c r="EJ53" i="1"/>
  <c r="FA53" i="1"/>
  <c r="FB53" i="1"/>
  <c r="EM53" i="1"/>
  <c r="FE53" i="1"/>
  <c r="EK53" i="1"/>
  <c r="FF53" i="1"/>
  <c r="FG53" i="1"/>
  <c r="FI53" i="1"/>
  <c r="EN53" i="1"/>
  <c r="FJ53" i="1"/>
  <c r="FK53" i="1"/>
  <c r="FL53" i="1"/>
  <c r="FM53" i="1"/>
  <c r="FN53" i="1"/>
  <c r="FS53" i="1"/>
  <c r="FP53" i="1"/>
  <c r="FU53" i="1"/>
  <c r="GV53" i="1"/>
  <c r="FO53" i="1"/>
  <c r="FT53" i="1"/>
  <c r="GW53" i="1"/>
  <c r="FY53" i="1"/>
  <c r="FZ53" i="1"/>
  <c r="GF53" i="1"/>
  <c r="GG53" i="1"/>
  <c r="GH53" i="1"/>
  <c r="GX53" i="1"/>
  <c r="GI53" i="1"/>
  <c r="GY53" i="1"/>
  <c r="GU54" i="1"/>
  <c r="CY54" i="1"/>
  <c r="DF54" i="1"/>
  <c r="CZ54" i="1"/>
  <c r="DA54" i="1"/>
  <c r="DB54" i="1"/>
  <c r="DC54" i="1"/>
  <c r="DD54" i="1"/>
  <c r="DE54" i="1"/>
  <c r="DG54" i="1"/>
  <c r="DH54" i="1"/>
  <c r="DI54" i="1"/>
  <c r="EC54" i="1"/>
  <c r="EH54" i="1"/>
  <c r="EI54" i="1"/>
  <c r="EO54" i="1"/>
  <c r="EP54" i="1"/>
  <c r="Z54" i="1"/>
  <c r="BH54" i="1"/>
  <c r="AA54" i="1"/>
  <c r="BI54" i="1"/>
  <c r="BJ54" i="1"/>
  <c r="DN54" i="1"/>
  <c r="EA54" i="1"/>
  <c r="EQ54" i="1"/>
  <c r="ER54" i="1"/>
  <c r="EZ54" i="1"/>
  <c r="EF54" i="1"/>
  <c r="ED54" i="1"/>
  <c r="ES54" i="1"/>
  <c r="ET54" i="1"/>
  <c r="EW54" i="1"/>
  <c r="EE54" i="1"/>
  <c r="EU54" i="1"/>
  <c r="EX54" i="1"/>
  <c r="EG54" i="1"/>
  <c r="EY54" i="1"/>
  <c r="EJ54" i="1"/>
  <c r="FA54" i="1"/>
  <c r="FB54" i="1"/>
  <c r="EM54" i="1"/>
  <c r="FE54" i="1"/>
  <c r="EK54" i="1"/>
  <c r="FF54" i="1"/>
  <c r="FG54" i="1"/>
  <c r="FI54" i="1"/>
  <c r="EN54" i="1"/>
  <c r="FJ54" i="1"/>
  <c r="FK54" i="1"/>
  <c r="FL54" i="1"/>
  <c r="FM54" i="1"/>
  <c r="FN54" i="1"/>
  <c r="FS54" i="1"/>
  <c r="FP54" i="1"/>
  <c r="FU54" i="1"/>
  <c r="GV54" i="1"/>
  <c r="FO54" i="1"/>
  <c r="FT54" i="1"/>
  <c r="GW54" i="1"/>
  <c r="FY54" i="1"/>
  <c r="FZ54" i="1"/>
  <c r="GF54" i="1"/>
  <c r="GG54" i="1"/>
  <c r="GH54" i="1"/>
  <c r="GX54" i="1"/>
  <c r="GI54" i="1"/>
  <c r="GY54" i="1"/>
  <c r="GU55" i="1"/>
  <c r="CY55" i="1"/>
  <c r="DF55" i="1"/>
  <c r="CZ55" i="1"/>
  <c r="DA55" i="1"/>
  <c r="DB55" i="1"/>
  <c r="DC55" i="1"/>
  <c r="DD55" i="1"/>
  <c r="DE55" i="1"/>
  <c r="DG55" i="1"/>
  <c r="DH55" i="1"/>
  <c r="DI55" i="1"/>
  <c r="EC55" i="1"/>
  <c r="EH55" i="1"/>
  <c r="EI55" i="1"/>
  <c r="EO55" i="1"/>
  <c r="EP55" i="1"/>
  <c r="Z55" i="1"/>
  <c r="BH55" i="1"/>
  <c r="AA55" i="1"/>
  <c r="BI55" i="1"/>
  <c r="BJ55" i="1"/>
  <c r="DN55" i="1"/>
  <c r="EA55" i="1"/>
  <c r="EQ55" i="1"/>
  <c r="ER55" i="1"/>
  <c r="EZ55" i="1"/>
  <c r="EF55" i="1"/>
  <c r="ED55" i="1"/>
  <c r="ES55" i="1"/>
  <c r="ET55" i="1"/>
  <c r="EW55" i="1"/>
  <c r="EE55" i="1"/>
  <c r="EU55" i="1"/>
  <c r="EX55" i="1"/>
  <c r="EG55" i="1"/>
  <c r="EY55" i="1"/>
  <c r="EJ55" i="1"/>
  <c r="FA55" i="1"/>
  <c r="FB55" i="1"/>
  <c r="EM55" i="1"/>
  <c r="FE55" i="1"/>
  <c r="EK55" i="1"/>
  <c r="FF55" i="1"/>
  <c r="FG55" i="1"/>
  <c r="FI55" i="1"/>
  <c r="EN55" i="1"/>
  <c r="FJ55" i="1"/>
  <c r="FK55" i="1"/>
  <c r="FL55" i="1"/>
  <c r="FM55" i="1"/>
  <c r="FN55" i="1"/>
  <c r="FS55" i="1"/>
  <c r="FP55" i="1"/>
  <c r="FU55" i="1"/>
  <c r="GV55" i="1"/>
  <c r="FO55" i="1"/>
  <c r="FT55" i="1"/>
  <c r="GW55" i="1"/>
  <c r="FY55" i="1"/>
  <c r="FZ55" i="1"/>
  <c r="GF55" i="1"/>
  <c r="GG55" i="1"/>
  <c r="GH55" i="1"/>
  <c r="GX55" i="1"/>
  <c r="GI55" i="1"/>
  <c r="GY55" i="1"/>
  <c r="GU56" i="1"/>
  <c r="CY56" i="1"/>
  <c r="DF56" i="1"/>
  <c r="CZ56" i="1"/>
  <c r="DA56" i="1"/>
  <c r="DB56" i="1"/>
  <c r="DC56" i="1"/>
  <c r="DD56" i="1"/>
  <c r="DE56" i="1"/>
  <c r="DG56" i="1"/>
  <c r="DH56" i="1"/>
  <c r="DI56" i="1"/>
  <c r="EC56" i="1"/>
  <c r="EH56" i="1"/>
  <c r="EI56" i="1"/>
  <c r="EO56" i="1"/>
  <c r="EP56" i="1"/>
  <c r="Z56" i="1"/>
  <c r="BH56" i="1"/>
  <c r="AA56" i="1"/>
  <c r="BI56" i="1"/>
  <c r="BJ56" i="1"/>
  <c r="DN56" i="1"/>
  <c r="EA56" i="1"/>
  <c r="EQ56" i="1"/>
  <c r="ER56" i="1"/>
  <c r="EZ56" i="1"/>
  <c r="EF56" i="1"/>
  <c r="ED56" i="1"/>
  <c r="ES56" i="1"/>
  <c r="ET56" i="1"/>
  <c r="EW56" i="1"/>
  <c r="EE56" i="1"/>
  <c r="EU56" i="1"/>
  <c r="EX56" i="1"/>
  <c r="EG56" i="1"/>
  <c r="EY56" i="1"/>
  <c r="EJ56" i="1"/>
  <c r="FA56" i="1"/>
  <c r="FB56" i="1"/>
  <c r="EM56" i="1"/>
  <c r="FE56" i="1"/>
  <c r="EK56" i="1"/>
  <c r="FF56" i="1"/>
  <c r="FG56" i="1"/>
  <c r="FI56" i="1"/>
  <c r="EN56" i="1"/>
  <c r="FJ56" i="1"/>
  <c r="FK56" i="1"/>
  <c r="FL56" i="1"/>
  <c r="FM56" i="1"/>
  <c r="FN56" i="1"/>
  <c r="FS56" i="1"/>
  <c r="FP56" i="1"/>
  <c r="FU56" i="1"/>
  <c r="GV56" i="1"/>
  <c r="FO56" i="1"/>
  <c r="FT56" i="1"/>
  <c r="GW56" i="1"/>
  <c r="FY56" i="1"/>
  <c r="FZ56" i="1"/>
  <c r="GF56" i="1"/>
  <c r="GG56" i="1"/>
  <c r="GH56" i="1"/>
  <c r="GX56" i="1"/>
  <c r="GI56" i="1"/>
  <c r="GY56" i="1"/>
  <c r="GU57" i="1"/>
  <c r="CY57" i="1"/>
  <c r="DF57" i="1"/>
  <c r="CZ57" i="1"/>
  <c r="DA57" i="1"/>
  <c r="DB57" i="1"/>
  <c r="DC57" i="1"/>
  <c r="DD57" i="1"/>
  <c r="DE57" i="1"/>
  <c r="DG57" i="1"/>
  <c r="DH57" i="1"/>
  <c r="DI57" i="1"/>
  <c r="EC57" i="1"/>
  <c r="EH57" i="1"/>
  <c r="EI57" i="1"/>
  <c r="EO57" i="1"/>
  <c r="EP57" i="1"/>
  <c r="Z57" i="1"/>
  <c r="BH57" i="1"/>
  <c r="AA57" i="1"/>
  <c r="BI57" i="1"/>
  <c r="BJ57" i="1"/>
  <c r="DN57" i="1"/>
  <c r="EA57" i="1"/>
  <c r="EQ57" i="1"/>
  <c r="ER57" i="1"/>
  <c r="EZ57" i="1"/>
  <c r="EF57" i="1"/>
  <c r="ED57" i="1"/>
  <c r="ES57" i="1"/>
  <c r="ET57" i="1"/>
  <c r="EW57" i="1"/>
  <c r="EE57" i="1"/>
  <c r="EU57" i="1"/>
  <c r="EX57" i="1"/>
  <c r="EG57" i="1"/>
  <c r="EY57" i="1"/>
  <c r="EJ57" i="1"/>
  <c r="FA57" i="1"/>
  <c r="FB57" i="1"/>
  <c r="EM57" i="1"/>
  <c r="FE57" i="1"/>
  <c r="EK57" i="1"/>
  <c r="FF57" i="1"/>
  <c r="FG57" i="1"/>
  <c r="FI57" i="1"/>
  <c r="EN57" i="1"/>
  <c r="FJ57" i="1"/>
  <c r="FK57" i="1"/>
  <c r="FL57" i="1"/>
  <c r="FM57" i="1"/>
  <c r="FN57" i="1"/>
  <c r="FS57" i="1"/>
  <c r="FP57" i="1"/>
  <c r="FU57" i="1"/>
  <c r="GV57" i="1"/>
  <c r="FO57" i="1"/>
  <c r="FT57" i="1"/>
  <c r="GW57" i="1"/>
  <c r="FY57" i="1"/>
  <c r="FZ57" i="1"/>
  <c r="GF57" i="1"/>
  <c r="GG57" i="1"/>
  <c r="GH57" i="1"/>
  <c r="GX57" i="1"/>
  <c r="GI57" i="1"/>
  <c r="GY57" i="1"/>
  <c r="GU58" i="1"/>
  <c r="CY58" i="1"/>
  <c r="DF58" i="1"/>
  <c r="CZ58" i="1"/>
  <c r="DA58" i="1"/>
  <c r="DB58" i="1"/>
  <c r="DC58" i="1"/>
  <c r="DD58" i="1"/>
  <c r="DE58" i="1"/>
  <c r="DG58" i="1"/>
  <c r="DH58" i="1"/>
  <c r="DI58" i="1"/>
  <c r="EC58" i="1"/>
  <c r="EH58" i="1"/>
  <c r="EI58" i="1"/>
  <c r="EO58" i="1"/>
  <c r="EP58" i="1"/>
  <c r="Z58" i="1"/>
  <c r="BH58" i="1"/>
  <c r="AA58" i="1"/>
  <c r="BI58" i="1"/>
  <c r="BJ58" i="1"/>
  <c r="DN58" i="1"/>
  <c r="EA58" i="1"/>
  <c r="EQ58" i="1"/>
  <c r="ER58" i="1"/>
  <c r="EZ58" i="1"/>
  <c r="EF58" i="1"/>
  <c r="ED58" i="1"/>
  <c r="ES58" i="1"/>
  <c r="ET58" i="1"/>
  <c r="EW58" i="1"/>
  <c r="EE58" i="1"/>
  <c r="EU58" i="1"/>
  <c r="EX58" i="1"/>
  <c r="EG58" i="1"/>
  <c r="EY58" i="1"/>
  <c r="EJ58" i="1"/>
  <c r="FA58" i="1"/>
  <c r="FB58" i="1"/>
  <c r="EM58" i="1"/>
  <c r="FE58" i="1"/>
  <c r="EK58" i="1"/>
  <c r="FF58" i="1"/>
  <c r="FG58" i="1"/>
  <c r="FI58" i="1"/>
  <c r="EN58" i="1"/>
  <c r="FJ58" i="1"/>
  <c r="FK58" i="1"/>
  <c r="FL58" i="1"/>
  <c r="FM58" i="1"/>
  <c r="FN58" i="1"/>
  <c r="FS58" i="1"/>
  <c r="FP58" i="1"/>
  <c r="FU58" i="1"/>
  <c r="GV58" i="1"/>
  <c r="FO58" i="1"/>
  <c r="FT58" i="1"/>
  <c r="GW58" i="1"/>
  <c r="FY58" i="1"/>
  <c r="FZ58" i="1"/>
  <c r="GF58" i="1"/>
  <c r="GG58" i="1"/>
  <c r="GH58" i="1"/>
  <c r="GX58" i="1"/>
  <c r="GI58" i="1"/>
  <c r="GY58" i="1"/>
  <c r="GU59" i="1"/>
  <c r="CY59" i="1"/>
  <c r="DF59" i="1"/>
  <c r="CZ59" i="1"/>
  <c r="DA59" i="1"/>
  <c r="DB59" i="1"/>
  <c r="DC59" i="1"/>
  <c r="DD59" i="1"/>
  <c r="DE59" i="1"/>
  <c r="DG59" i="1"/>
  <c r="DH59" i="1"/>
  <c r="DI59" i="1"/>
  <c r="EC59" i="1"/>
  <c r="EH59" i="1"/>
  <c r="EI59" i="1"/>
  <c r="EO59" i="1"/>
  <c r="EP59" i="1"/>
  <c r="Z59" i="1"/>
  <c r="BH59" i="1"/>
  <c r="AA59" i="1"/>
  <c r="BI59" i="1"/>
  <c r="BJ59" i="1"/>
  <c r="DN59" i="1"/>
  <c r="EA59" i="1"/>
  <c r="EQ59" i="1"/>
  <c r="ER59" i="1"/>
  <c r="EZ59" i="1"/>
  <c r="EF59" i="1"/>
  <c r="ED59" i="1"/>
  <c r="ES59" i="1"/>
  <c r="ET59" i="1"/>
  <c r="EW59" i="1"/>
  <c r="EE59" i="1"/>
  <c r="EU59" i="1"/>
  <c r="EX59" i="1"/>
  <c r="EG59" i="1"/>
  <c r="EY59" i="1"/>
  <c r="EJ59" i="1"/>
  <c r="FA59" i="1"/>
  <c r="FB59" i="1"/>
  <c r="EM59" i="1"/>
  <c r="FE59" i="1"/>
  <c r="EK59" i="1"/>
  <c r="FF59" i="1"/>
  <c r="FG59" i="1"/>
  <c r="FI59" i="1"/>
  <c r="EN59" i="1"/>
  <c r="FJ59" i="1"/>
  <c r="FK59" i="1"/>
  <c r="FL59" i="1"/>
  <c r="FM59" i="1"/>
  <c r="FN59" i="1"/>
  <c r="FS59" i="1"/>
  <c r="FP59" i="1"/>
  <c r="FU59" i="1"/>
  <c r="GV59" i="1"/>
  <c r="FO59" i="1"/>
  <c r="FT59" i="1"/>
  <c r="GW59" i="1"/>
  <c r="FY59" i="1"/>
  <c r="FZ59" i="1"/>
  <c r="GF59" i="1"/>
  <c r="GG59" i="1"/>
  <c r="GH59" i="1"/>
  <c r="GX59" i="1"/>
  <c r="GI59" i="1"/>
  <c r="GY59" i="1"/>
  <c r="GU60" i="1"/>
  <c r="CY60" i="1"/>
  <c r="DF60" i="1"/>
  <c r="CZ60" i="1"/>
  <c r="DA60" i="1"/>
  <c r="DB60" i="1"/>
  <c r="DC60" i="1"/>
  <c r="DD60" i="1"/>
  <c r="DE60" i="1"/>
  <c r="DG60" i="1"/>
  <c r="DH60" i="1"/>
  <c r="DI60" i="1"/>
  <c r="EC60" i="1"/>
  <c r="EH60" i="1"/>
  <c r="EI60" i="1"/>
  <c r="EO60" i="1"/>
  <c r="EP60" i="1"/>
  <c r="Z60" i="1"/>
  <c r="BH60" i="1"/>
  <c r="AA60" i="1"/>
  <c r="BI60" i="1"/>
  <c r="BJ60" i="1"/>
  <c r="DN60" i="1"/>
  <c r="EA60" i="1"/>
  <c r="EQ60" i="1"/>
  <c r="ER60" i="1"/>
  <c r="EZ60" i="1"/>
  <c r="EF60" i="1"/>
  <c r="ED60" i="1"/>
  <c r="ES60" i="1"/>
  <c r="ET60" i="1"/>
  <c r="EW60" i="1"/>
  <c r="EE60" i="1"/>
  <c r="EU60" i="1"/>
  <c r="EX60" i="1"/>
  <c r="EG60" i="1"/>
  <c r="EY60" i="1"/>
  <c r="EJ60" i="1"/>
  <c r="FA60" i="1"/>
  <c r="FB60" i="1"/>
  <c r="EM60" i="1"/>
  <c r="FE60" i="1"/>
  <c r="EK60" i="1"/>
  <c r="FF60" i="1"/>
  <c r="FG60" i="1"/>
  <c r="FI60" i="1"/>
  <c r="EN60" i="1"/>
  <c r="FJ60" i="1"/>
  <c r="FK60" i="1"/>
  <c r="FL60" i="1"/>
  <c r="FM60" i="1"/>
  <c r="FN60" i="1"/>
  <c r="FS60" i="1"/>
  <c r="FP60" i="1"/>
  <c r="FU60" i="1"/>
  <c r="GV60" i="1"/>
  <c r="FO60" i="1"/>
  <c r="FT60" i="1"/>
  <c r="GW60" i="1"/>
  <c r="FY60" i="1"/>
  <c r="FZ60" i="1"/>
  <c r="GA60" i="1"/>
  <c r="GF60" i="1"/>
  <c r="GG60" i="1"/>
  <c r="GH60" i="1"/>
  <c r="GX60" i="1"/>
  <c r="GI60" i="1"/>
  <c r="GY60" i="1"/>
  <c r="GU61" i="1"/>
  <c r="CY61" i="1"/>
  <c r="DF61" i="1"/>
  <c r="CZ61" i="1"/>
  <c r="DA61" i="1"/>
  <c r="DB61" i="1"/>
  <c r="DC61" i="1"/>
  <c r="DD61" i="1"/>
  <c r="DE61" i="1"/>
  <c r="DG61" i="1"/>
  <c r="DH61" i="1"/>
  <c r="DI61" i="1"/>
  <c r="EC61" i="1"/>
  <c r="EH61" i="1"/>
  <c r="EI61" i="1"/>
  <c r="EO61" i="1"/>
  <c r="EP61" i="1"/>
  <c r="Z61" i="1"/>
  <c r="BH61" i="1"/>
  <c r="AA61" i="1"/>
  <c r="BI61" i="1"/>
  <c r="BJ61" i="1"/>
  <c r="DN61" i="1"/>
  <c r="EA61" i="1"/>
  <c r="EQ61" i="1"/>
  <c r="ER61" i="1"/>
  <c r="EZ61" i="1"/>
  <c r="EF61" i="1"/>
  <c r="ED61" i="1"/>
  <c r="ES61" i="1"/>
  <c r="ET61" i="1"/>
  <c r="EW61" i="1"/>
  <c r="EE61" i="1"/>
  <c r="EU61" i="1"/>
  <c r="EX61" i="1"/>
  <c r="EG61" i="1"/>
  <c r="EY61" i="1"/>
  <c r="EJ61" i="1"/>
  <c r="FA61" i="1"/>
  <c r="FB61" i="1"/>
  <c r="EM61" i="1"/>
  <c r="FE61" i="1"/>
  <c r="EK61" i="1"/>
  <c r="FF61" i="1"/>
  <c r="FG61" i="1"/>
  <c r="FI61" i="1"/>
  <c r="EN61" i="1"/>
  <c r="FJ61" i="1"/>
  <c r="FK61" i="1"/>
  <c r="FL61" i="1"/>
  <c r="FM61" i="1"/>
  <c r="FN61" i="1"/>
  <c r="FS61" i="1"/>
  <c r="FP61" i="1"/>
  <c r="FU61" i="1"/>
  <c r="GV61" i="1"/>
  <c r="FO61" i="1"/>
  <c r="FT61" i="1"/>
  <c r="GW61" i="1"/>
  <c r="FY61" i="1"/>
  <c r="FZ61" i="1"/>
  <c r="GA61" i="1"/>
  <c r="GF61" i="1"/>
  <c r="GG61" i="1"/>
  <c r="GH61" i="1"/>
  <c r="GX61" i="1"/>
  <c r="GI61" i="1"/>
  <c r="GY61" i="1"/>
  <c r="GU62" i="1"/>
  <c r="CY62" i="1"/>
  <c r="DF62" i="1"/>
  <c r="CZ62" i="1"/>
  <c r="DA62" i="1"/>
  <c r="DB62" i="1"/>
  <c r="DC62" i="1"/>
  <c r="DD62" i="1"/>
  <c r="DE62" i="1"/>
  <c r="DG62" i="1"/>
  <c r="DH62" i="1"/>
  <c r="DI62" i="1"/>
  <c r="EC62" i="1"/>
  <c r="EH62" i="1"/>
  <c r="EI62" i="1"/>
  <c r="EO62" i="1"/>
  <c r="EP62" i="1"/>
  <c r="Z62" i="1"/>
  <c r="BH62" i="1"/>
  <c r="AA62" i="1"/>
  <c r="BI62" i="1"/>
  <c r="BJ62" i="1"/>
  <c r="DN62" i="1"/>
  <c r="EA62" i="1"/>
  <c r="EQ62" i="1"/>
  <c r="ER62" i="1"/>
  <c r="EZ62" i="1"/>
  <c r="EF62" i="1"/>
  <c r="ED62" i="1"/>
  <c r="ES62" i="1"/>
  <c r="ET62" i="1"/>
  <c r="EW62" i="1"/>
  <c r="EE62" i="1"/>
  <c r="EU62" i="1"/>
  <c r="EX62" i="1"/>
  <c r="EG62" i="1"/>
  <c r="EY62" i="1"/>
  <c r="EJ62" i="1"/>
  <c r="FA62" i="1"/>
  <c r="FB62" i="1"/>
  <c r="EM62" i="1"/>
  <c r="FE62" i="1"/>
  <c r="EK62" i="1"/>
  <c r="FF62" i="1"/>
  <c r="FG62" i="1"/>
  <c r="FI62" i="1"/>
  <c r="EN62" i="1"/>
  <c r="FJ62" i="1"/>
  <c r="FK62" i="1"/>
  <c r="FL62" i="1"/>
  <c r="FM62" i="1"/>
  <c r="FN62" i="1"/>
  <c r="FS62" i="1"/>
  <c r="FP62" i="1"/>
  <c r="FU62" i="1"/>
  <c r="GV62" i="1"/>
  <c r="FO62" i="1"/>
  <c r="FT62" i="1"/>
  <c r="GW62" i="1"/>
  <c r="FY62" i="1"/>
  <c r="FZ62" i="1"/>
  <c r="GA62" i="1"/>
  <c r="GB62" i="1"/>
  <c r="GD62" i="1"/>
  <c r="GC62" i="1"/>
  <c r="GE62" i="1"/>
  <c r="GF62" i="1"/>
  <c r="GG62" i="1"/>
  <c r="GH62" i="1"/>
  <c r="GX62" i="1"/>
  <c r="GI62" i="1"/>
  <c r="GY62" i="1"/>
  <c r="GU63" i="1"/>
  <c r="CY63" i="1"/>
  <c r="DF63" i="1"/>
  <c r="CZ63" i="1"/>
  <c r="DA63" i="1"/>
  <c r="DB63" i="1"/>
  <c r="DC63" i="1"/>
  <c r="DD63" i="1"/>
  <c r="DE63" i="1"/>
  <c r="DG63" i="1"/>
  <c r="DH63" i="1"/>
  <c r="DI63" i="1"/>
  <c r="EC63" i="1"/>
  <c r="EH63" i="1"/>
  <c r="EI63" i="1"/>
  <c r="EO63" i="1"/>
  <c r="EP63" i="1"/>
  <c r="Z63" i="1"/>
  <c r="BH63" i="1"/>
  <c r="AA63" i="1"/>
  <c r="BI63" i="1"/>
  <c r="BJ63" i="1"/>
  <c r="DN63" i="1"/>
  <c r="EA63" i="1"/>
  <c r="EQ63" i="1"/>
  <c r="ER63" i="1"/>
  <c r="EZ63" i="1"/>
  <c r="EF63" i="1"/>
  <c r="ED63" i="1"/>
  <c r="ES63" i="1"/>
  <c r="ET63" i="1"/>
  <c r="EW63" i="1"/>
  <c r="EE63" i="1"/>
  <c r="EU63" i="1"/>
  <c r="EX63" i="1"/>
  <c r="EG63" i="1"/>
  <c r="EY63" i="1"/>
  <c r="EJ63" i="1"/>
  <c r="FA63" i="1"/>
  <c r="FB63" i="1"/>
  <c r="EM63" i="1"/>
  <c r="FE63" i="1"/>
  <c r="EK63" i="1"/>
  <c r="FF63" i="1"/>
  <c r="FG63" i="1"/>
  <c r="FI63" i="1"/>
  <c r="EN63" i="1"/>
  <c r="FJ63" i="1"/>
  <c r="FK63" i="1"/>
  <c r="FL63" i="1"/>
  <c r="FM63" i="1"/>
  <c r="FN63" i="1"/>
  <c r="FS63" i="1"/>
  <c r="FP63" i="1"/>
  <c r="FU63" i="1"/>
  <c r="GV63" i="1"/>
  <c r="FO63" i="1"/>
  <c r="FT63" i="1"/>
  <c r="GW63" i="1"/>
  <c r="FY63" i="1"/>
  <c r="FZ63" i="1"/>
  <c r="GF63" i="1"/>
  <c r="GG63" i="1"/>
  <c r="GH63" i="1"/>
  <c r="GX63" i="1"/>
  <c r="GI63" i="1"/>
  <c r="GY63" i="1"/>
  <c r="AJ11" i="8"/>
  <c r="AJ5" i="8"/>
  <c r="AJ4" i="8"/>
  <c r="AJ6" i="8"/>
  <c r="AJ3" i="8"/>
  <c r="AJ8" i="8"/>
  <c r="AI7" i="8"/>
  <c r="AI11" i="8"/>
  <c r="AI5" i="8"/>
  <c r="AI4" i="8"/>
  <c r="AI6" i="8"/>
  <c r="AI3" i="8"/>
  <c r="AI8" i="8"/>
  <c r="AH7" i="8"/>
  <c r="AH11" i="8"/>
  <c r="AH5" i="8"/>
  <c r="AH4" i="8"/>
  <c r="AH6" i="8"/>
  <c r="AH3" i="8"/>
  <c r="AH8" i="8"/>
  <c r="AG7" i="8"/>
  <c r="AG11" i="8"/>
  <c r="AG5" i="8"/>
  <c r="AG4" i="8"/>
  <c r="AG6" i="8"/>
  <c r="AG3" i="8"/>
  <c r="AG8" i="8"/>
  <c r="AF7" i="8"/>
  <c r="AF11" i="8"/>
  <c r="AF5" i="8"/>
  <c r="AF4" i="8"/>
  <c r="AF6" i="8"/>
  <c r="AF3" i="8"/>
  <c r="AF8" i="8"/>
  <c r="AE7" i="8"/>
  <c r="AE11" i="8"/>
  <c r="AE5" i="8"/>
  <c r="AE4" i="8"/>
  <c r="AE6" i="8"/>
  <c r="AE3" i="8"/>
  <c r="AE8" i="8"/>
  <c r="AD7" i="8"/>
  <c r="AD11" i="8"/>
  <c r="AD5" i="8"/>
  <c r="AD4" i="8"/>
  <c r="AD6" i="8"/>
  <c r="AD3" i="8"/>
  <c r="AD8" i="8"/>
  <c r="AC7" i="8"/>
  <c r="AC11" i="8"/>
  <c r="AC5" i="8"/>
  <c r="AC4" i="8"/>
  <c r="AC6" i="8"/>
  <c r="AC3" i="8"/>
  <c r="AC8" i="8"/>
  <c r="AB7" i="8"/>
  <c r="AB11" i="8"/>
  <c r="AB5" i="8"/>
  <c r="AB4" i="8"/>
  <c r="AB6" i="8"/>
  <c r="AB3" i="8"/>
  <c r="AB8" i="8"/>
  <c r="AA7" i="8"/>
  <c r="AA11" i="8"/>
  <c r="AA5" i="8"/>
  <c r="AA4" i="8"/>
  <c r="AA6" i="8"/>
  <c r="AA3" i="8"/>
  <c r="AA8" i="8"/>
  <c r="Z7" i="8"/>
  <c r="Z11" i="8"/>
  <c r="Z5" i="8"/>
  <c r="Z4" i="8"/>
  <c r="Z6" i="8"/>
  <c r="Z3" i="8"/>
  <c r="Z8" i="8"/>
  <c r="Y7" i="8"/>
  <c r="Y11" i="8"/>
  <c r="Y5" i="8"/>
  <c r="Y4" i="8"/>
  <c r="Y6" i="8"/>
  <c r="Y3" i="8"/>
  <c r="Y8" i="8"/>
  <c r="X7" i="8"/>
  <c r="X11" i="8"/>
  <c r="X5" i="8"/>
  <c r="X4" i="8"/>
  <c r="X6" i="8"/>
  <c r="X3" i="8"/>
  <c r="X8" i="8"/>
  <c r="W7" i="8"/>
  <c r="W11" i="8"/>
  <c r="W5" i="8"/>
  <c r="W4" i="8"/>
  <c r="W6" i="8"/>
  <c r="W3" i="8"/>
  <c r="W8" i="8"/>
  <c r="V7" i="8"/>
  <c r="V11" i="8"/>
  <c r="V5" i="8"/>
  <c r="V4" i="8"/>
  <c r="V6" i="8"/>
  <c r="V3" i="8"/>
  <c r="V8" i="8"/>
  <c r="U7" i="8"/>
  <c r="U11" i="8"/>
  <c r="U5" i="8"/>
  <c r="U4" i="8"/>
  <c r="U6" i="8"/>
  <c r="U3" i="8"/>
  <c r="U8" i="8"/>
  <c r="T7" i="8"/>
  <c r="T11" i="8"/>
  <c r="T5" i="8"/>
  <c r="T4" i="8"/>
  <c r="T6" i="8"/>
  <c r="T3" i="8"/>
  <c r="T8" i="8"/>
  <c r="S7" i="8"/>
  <c r="S11" i="8"/>
  <c r="S5" i="8"/>
  <c r="S4" i="8"/>
  <c r="S6" i="8"/>
  <c r="S3" i="8"/>
  <c r="S8" i="8"/>
  <c r="R7" i="8"/>
  <c r="R11" i="8"/>
  <c r="R5" i="8"/>
  <c r="R4" i="8"/>
  <c r="R6" i="8"/>
  <c r="R3" i="8"/>
  <c r="R8" i="8"/>
  <c r="Q7" i="8"/>
  <c r="Q11" i="8"/>
  <c r="Q5" i="8"/>
  <c r="Q4" i="8"/>
  <c r="Q6" i="8"/>
  <c r="Q3" i="8"/>
  <c r="Q8" i="8"/>
  <c r="M7" i="8"/>
  <c r="M11" i="8"/>
  <c r="M5" i="8"/>
  <c r="M4" i="8"/>
  <c r="M6" i="8"/>
  <c r="M3" i="8"/>
  <c r="M8" i="8"/>
  <c r="L7" i="8"/>
  <c r="L11" i="8"/>
  <c r="L5" i="8"/>
  <c r="L4" i="8"/>
  <c r="L6" i="8"/>
  <c r="L3" i="8"/>
  <c r="L8" i="8"/>
  <c r="K7" i="8"/>
  <c r="K11" i="8"/>
  <c r="K5" i="8"/>
  <c r="K4" i="8"/>
  <c r="K6" i="8"/>
  <c r="K3" i="8"/>
  <c r="K8" i="8"/>
  <c r="P7" i="8"/>
  <c r="P11" i="8"/>
  <c r="P5" i="8"/>
  <c r="P4" i="8"/>
  <c r="P6" i="8"/>
  <c r="P3" i="8"/>
  <c r="P8" i="8"/>
  <c r="O7" i="8"/>
  <c r="O11" i="8"/>
  <c r="O5" i="8"/>
  <c r="O4" i="8"/>
  <c r="O6" i="8"/>
  <c r="O3" i="8"/>
  <c r="O8" i="8"/>
  <c r="N7" i="8"/>
  <c r="N11" i="8"/>
  <c r="N5" i="8"/>
  <c r="N4" i="8"/>
  <c r="N6" i="8"/>
  <c r="N3" i="8"/>
  <c r="N8" i="8"/>
  <c r="J7" i="8"/>
  <c r="J11" i="8"/>
  <c r="J5" i="8"/>
  <c r="J4" i="8"/>
  <c r="J6" i="8"/>
  <c r="J3" i="8"/>
  <c r="J8" i="8"/>
  <c r="I7" i="8"/>
  <c r="I11" i="8"/>
  <c r="I5" i="8"/>
  <c r="I4" i="8"/>
  <c r="I6" i="8"/>
  <c r="I3" i="8"/>
  <c r="I8" i="8"/>
  <c r="H7" i="8"/>
  <c r="H11" i="8"/>
  <c r="H5" i="8"/>
  <c r="H4" i="8"/>
  <c r="H6" i="8"/>
  <c r="H3" i="8"/>
  <c r="H8" i="8"/>
  <c r="G7" i="8"/>
  <c r="G11" i="8"/>
  <c r="G5" i="8"/>
  <c r="G4" i="8"/>
  <c r="G6" i="8"/>
  <c r="G3" i="8"/>
  <c r="G8" i="8"/>
  <c r="E38" i="8"/>
  <c r="C38" i="8"/>
  <c r="D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M38" i="8"/>
  <c r="L38" i="8"/>
  <c r="K38" i="8"/>
  <c r="P38" i="8"/>
  <c r="O38" i="8"/>
  <c r="N38" i="8"/>
  <c r="J38" i="8"/>
  <c r="I38" i="8"/>
  <c r="H38" i="8"/>
  <c r="G38" i="8"/>
  <c r="F38" i="8"/>
  <c r="E37" i="8"/>
  <c r="C37" i="8"/>
  <c r="D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M37" i="8"/>
  <c r="L37" i="8"/>
  <c r="K37" i="8"/>
  <c r="P37" i="8"/>
  <c r="O37" i="8"/>
  <c r="N37" i="8"/>
  <c r="J37" i="8"/>
  <c r="I37" i="8"/>
  <c r="H37" i="8"/>
  <c r="G37" i="8"/>
  <c r="F37" i="8"/>
  <c r="E36" i="8"/>
  <c r="C36" i="8"/>
  <c r="D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M36" i="8"/>
  <c r="L36" i="8"/>
  <c r="K36" i="8"/>
  <c r="P36" i="8"/>
  <c r="O36" i="8"/>
  <c r="N36" i="8"/>
  <c r="J36" i="8"/>
  <c r="I36" i="8"/>
  <c r="H36" i="8"/>
  <c r="G36" i="8"/>
  <c r="F36" i="8"/>
  <c r="E35" i="8"/>
  <c r="C35" i="8"/>
  <c r="D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M35" i="8"/>
  <c r="L35" i="8"/>
  <c r="K35" i="8"/>
  <c r="P35" i="8"/>
  <c r="O35" i="8"/>
  <c r="N35" i="8"/>
  <c r="J35" i="8"/>
  <c r="I35" i="8"/>
  <c r="H35" i="8"/>
  <c r="G35" i="8"/>
  <c r="F35" i="8"/>
  <c r="E34" i="8"/>
  <c r="C34" i="8"/>
  <c r="D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M34" i="8"/>
  <c r="L34" i="8"/>
  <c r="K34" i="8"/>
  <c r="P34" i="8"/>
  <c r="O34" i="8"/>
  <c r="N34" i="8"/>
  <c r="J34" i="8"/>
  <c r="I34" i="8"/>
  <c r="H34" i="8"/>
  <c r="G34" i="8"/>
  <c r="F34" i="8"/>
  <c r="E33" i="8"/>
  <c r="C33" i="8"/>
  <c r="D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M33" i="8"/>
  <c r="L33" i="8"/>
  <c r="K33" i="8"/>
  <c r="P33" i="8"/>
  <c r="O33" i="8"/>
  <c r="N33" i="8"/>
  <c r="J33" i="8"/>
  <c r="I33" i="8"/>
  <c r="H33" i="8"/>
  <c r="G33" i="8"/>
  <c r="F33" i="8"/>
  <c r="E32" i="8"/>
  <c r="C32" i="8"/>
  <c r="D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M32" i="8"/>
  <c r="L32" i="8"/>
  <c r="K32" i="8"/>
  <c r="P32" i="8"/>
  <c r="O32" i="8"/>
  <c r="N32" i="8"/>
  <c r="J32" i="8"/>
  <c r="I32" i="8"/>
  <c r="H32" i="8"/>
  <c r="G32" i="8"/>
  <c r="F32" i="8"/>
  <c r="E31" i="8"/>
  <c r="C31" i="8"/>
  <c r="D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M31" i="8"/>
  <c r="L31" i="8"/>
  <c r="K31" i="8"/>
  <c r="P31" i="8"/>
  <c r="O31" i="8"/>
  <c r="N31" i="8"/>
  <c r="J31" i="8"/>
  <c r="I31" i="8"/>
  <c r="H31" i="8"/>
  <c r="G31" i="8"/>
  <c r="F31" i="8"/>
  <c r="E30" i="8"/>
  <c r="C30" i="8"/>
  <c r="D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M30" i="8"/>
  <c r="L30" i="8"/>
  <c r="K30" i="8"/>
  <c r="P30" i="8"/>
  <c r="O30" i="8"/>
  <c r="N30" i="8"/>
  <c r="J30" i="8"/>
  <c r="I30" i="8"/>
  <c r="H30" i="8"/>
  <c r="G30" i="8"/>
  <c r="F30" i="8"/>
  <c r="E29" i="8"/>
  <c r="C29" i="8"/>
  <c r="D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M29" i="8"/>
  <c r="L29" i="8"/>
  <c r="K29" i="8"/>
  <c r="P29" i="8"/>
  <c r="O29" i="8"/>
  <c r="N29" i="8"/>
  <c r="J29" i="8"/>
  <c r="I29" i="8"/>
  <c r="H29" i="8"/>
  <c r="G29" i="8"/>
  <c r="F29" i="8"/>
  <c r="E28" i="8"/>
  <c r="C28" i="8"/>
  <c r="D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M28" i="8"/>
  <c r="L28" i="8"/>
  <c r="K28" i="8"/>
  <c r="P28" i="8"/>
  <c r="O28" i="8"/>
  <c r="N28" i="8"/>
  <c r="J28" i="8"/>
  <c r="I28" i="8"/>
  <c r="H28" i="8"/>
  <c r="G28" i="8"/>
  <c r="F28" i="8"/>
  <c r="E27" i="8"/>
  <c r="C27" i="8"/>
  <c r="D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M27" i="8"/>
  <c r="L27" i="8"/>
  <c r="K27" i="8"/>
  <c r="P27" i="8"/>
  <c r="O27" i="8"/>
  <c r="N27" i="8"/>
  <c r="J27" i="8"/>
  <c r="I27" i="8"/>
  <c r="H27" i="8"/>
  <c r="G27" i="8"/>
  <c r="F27" i="8"/>
  <c r="E26" i="8"/>
  <c r="C26" i="8"/>
  <c r="D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M26" i="8"/>
  <c r="L26" i="8"/>
  <c r="K26" i="8"/>
  <c r="P26" i="8"/>
  <c r="O26" i="8"/>
  <c r="N26" i="8"/>
  <c r="J26" i="8"/>
  <c r="I26" i="8"/>
  <c r="H26" i="8"/>
  <c r="G26" i="8"/>
  <c r="F26" i="8"/>
  <c r="E25" i="8"/>
  <c r="C25" i="8"/>
  <c r="D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M25" i="8"/>
  <c r="L25" i="8"/>
  <c r="K25" i="8"/>
  <c r="P25" i="8"/>
  <c r="O25" i="8"/>
  <c r="N25" i="8"/>
  <c r="J25" i="8"/>
  <c r="I25" i="8"/>
  <c r="H25" i="8"/>
  <c r="G25" i="8"/>
  <c r="F25" i="8"/>
  <c r="E24" i="8"/>
  <c r="C24" i="8"/>
  <c r="D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M24" i="8"/>
  <c r="L24" i="8"/>
  <c r="K24" i="8"/>
  <c r="P24" i="8"/>
  <c r="O24" i="8"/>
  <c r="N24" i="8"/>
  <c r="J24" i="8"/>
  <c r="I24" i="8"/>
  <c r="H24" i="8"/>
  <c r="G24" i="8"/>
  <c r="F24" i="8"/>
  <c r="E23" i="8"/>
  <c r="C23" i="8"/>
  <c r="D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M23" i="8"/>
  <c r="L23" i="8"/>
  <c r="K23" i="8"/>
  <c r="P23" i="8"/>
  <c r="O23" i="8"/>
  <c r="N23" i="8"/>
  <c r="J23" i="8"/>
  <c r="I23" i="8"/>
  <c r="H23" i="8"/>
  <c r="G23" i="8"/>
  <c r="F23" i="8"/>
  <c r="E22" i="8"/>
  <c r="C22" i="8"/>
  <c r="D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M22" i="8"/>
  <c r="L22" i="8"/>
  <c r="K22" i="8"/>
  <c r="P22" i="8"/>
  <c r="O22" i="8"/>
  <c r="N22" i="8"/>
  <c r="J22" i="8"/>
  <c r="I22" i="8"/>
  <c r="H22" i="8"/>
  <c r="G22" i="8"/>
  <c r="F22" i="8"/>
  <c r="E21" i="8"/>
  <c r="C21" i="8"/>
  <c r="D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M21" i="8"/>
  <c r="L21" i="8"/>
  <c r="K21" i="8"/>
  <c r="P21" i="8"/>
  <c r="O21" i="8"/>
  <c r="N21" i="8"/>
  <c r="J21" i="8"/>
  <c r="I21" i="8"/>
  <c r="H21" i="8"/>
  <c r="G21" i="8"/>
  <c r="F21" i="8"/>
  <c r="E20" i="8"/>
  <c r="C20" i="8"/>
  <c r="D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M20" i="8"/>
  <c r="L20" i="8"/>
  <c r="K20" i="8"/>
  <c r="P20" i="8"/>
  <c r="O20" i="8"/>
  <c r="N20" i="8"/>
  <c r="J20" i="8"/>
  <c r="I20" i="8"/>
  <c r="H20" i="8"/>
  <c r="G20" i="8"/>
  <c r="F20" i="8"/>
  <c r="E19" i="8"/>
  <c r="C19" i="8"/>
  <c r="D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M19" i="8"/>
  <c r="L19" i="8"/>
  <c r="K19" i="8"/>
  <c r="P19" i="8"/>
  <c r="O19" i="8"/>
  <c r="N19" i="8"/>
  <c r="J19" i="8"/>
  <c r="I19" i="8"/>
  <c r="H19" i="8"/>
  <c r="G19" i="8"/>
  <c r="F19" i="8"/>
  <c r="E18" i="8"/>
  <c r="C18" i="8"/>
  <c r="D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M18" i="8"/>
  <c r="L18" i="8"/>
  <c r="K18" i="8"/>
  <c r="P18" i="8"/>
  <c r="O18" i="8"/>
  <c r="N18" i="8"/>
  <c r="J18" i="8"/>
  <c r="I18" i="8"/>
  <c r="H18" i="8"/>
  <c r="G18" i="8"/>
  <c r="F18" i="8"/>
  <c r="E17" i="8"/>
  <c r="C17" i="8"/>
  <c r="D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M17" i="8"/>
  <c r="L17" i="8"/>
  <c r="K17" i="8"/>
  <c r="P17" i="8"/>
  <c r="O17" i="8"/>
  <c r="N17" i="8"/>
  <c r="J17" i="8"/>
  <c r="I17" i="8"/>
  <c r="H17" i="8"/>
  <c r="G17" i="8"/>
  <c r="F17" i="8"/>
  <c r="E16" i="8"/>
  <c r="C16" i="8"/>
  <c r="D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M16" i="8"/>
  <c r="L16" i="8"/>
  <c r="K16" i="8"/>
  <c r="P16" i="8"/>
  <c r="O16" i="8"/>
  <c r="N16" i="8"/>
  <c r="J16" i="8"/>
  <c r="I16" i="8"/>
  <c r="H16" i="8"/>
  <c r="G16" i="8"/>
  <c r="F16" i="8"/>
  <c r="E15" i="8"/>
  <c r="C15" i="8"/>
  <c r="D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M15" i="8"/>
  <c r="L15" i="8"/>
  <c r="K15" i="8"/>
  <c r="P15" i="8"/>
  <c r="O15" i="8"/>
  <c r="N15" i="8"/>
  <c r="J15" i="8"/>
  <c r="I15" i="8"/>
  <c r="H15" i="8"/>
  <c r="G15" i="8"/>
  <c r="F15" i="8"/>
  <c r="E14" i="8"/>
  <c r="C14" i="8"/>
  <c r="D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M14" i="8"/>
  <c r="L14" i="8"/>
  <c r="K14" i="8"/>
  <c r="P14" i="8"/>
  <c r="O14" i="8"/>
  <c r="N14" i="8"/>
  <c r="J14" i="8"/>
  <c r="I14" i="8"/>
  <c r="H14" i="8"/>
  <c r="G14" i="8"/>
  <c r="F14" i="8"/>
  <c r="E13" i="8"/>
  <c r="C13" i="8"/>
  <c r="D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M13" i="8"/>
  <c r="L13" i="8"/>
  <c r="K13" i="8"/>
  <c r="P13" i="8"/>
  <c r="O13" i="8"/>
  <c r="N13" i="8"/>
  <c r="J13" i="8"/>
  <c r="I13" i="8"/>
  <c r="H13" i="8"/>
  <c r="G13" i="8"/>
  <c r="F13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M12" i="8"/>
  <c r="L12" i="8"/>
  <c r="K12" i="8"/>
  <c r="P12" i="8"/>
  <c r="O12" i="8"/>
  <c r="N12" i="8"/>
  <c r="J12" i="8"/>
  <c r="I12" i="8"/>
  <c r="H12" i="8"/>
  <c r="G12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M10" i="8"/>
  <c r="L10" i="8"/>
  <c r="K10" i="8"/>
  <c r="P10" i="8"/>
  <c r="O10" i="8"/>
  <c r="N10" i="8"/>
  <c r="J10" i="8"/>
  <c r="I10" i="8"/>
  <c r="H10" i="8"/>
  <c r="G10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M9" i="8"/>
  <c r="L9" i="8"/>
  <c r="K9" i="8"/>
  <c r="P9" i="8"/>
  <c r="O9" i="8"/>
  <c r="N9" i="8"/>
  <c r="J9" i="8"/>
  <c r="I9" i="8"/>
  <c r="H9" i="8"/>
  <c r="G9" i="8"/>
  <c r="AI11" i="7"/>
  <c r="AI8" i="7"/>
  <c r="AI6" i="7"/>
  <c r="AI5" i="7"/>
  <c r="AI7" i="7"/>
  <c r="AI3" i="7"/>
  <c r="AI4" i="7"/>
  <c r="AH11" i="7"/>
  <c r="AH8" i="7"/>
  <c r="AH6" i="7"/>
  <c r="AH5" i="7"/>
  <c r="AH7" i="7"/>
  <c r="AH3" i="7"/>
  <c r="AH4" i="7"/>
  <c r="AG11" i="7"/>
  <c r="AG8" i="7"/>
  <c r="AG6" i="7"/>
  <c r="AG5" i="7"/>
  <c r="AG7" i="7"/>
  <c r="AG3" i="7"/>
  <c r="AG4" i="7"/>
  <c r="AF11" i="7"/>
  <c r="AF8" i="7"/>
  <c r="AF6" i="7"/>
  <c r="AF5" i="7"/>
  <c r="AF7" i="7"/>
  <c r="AF3" i="7"/>
  <c r="AF4" i="7"/>
  <c r="AE11" i="7"/>
  <c r="AE8" i="7"/>
  <c r="AE6" i="7"/>
  <c r="AE5" i="7"/>
  <c r="AE7" i="7"/>
  <c r="AE3" i="7"/>
  <c r="AE4" i="7"/>
  <c r="AD11" i="7"/>
  <c r="AD8" i="7"/>
  <c r="AD6" i="7"/>
  <c r="AD5" i="7"/>
  <c r="AD7" i="7"/>
  <c r="AD3" i="7"/>
  <c r="AD4" i="7"/>
  <c r="AC11" i="7"/>
  <c r="AC8" i="7"/>
  <c r="AC6" i="7"/>
  <c r="AC5" i="7"/>
  <c r="AC7" i="7"/>
  <c r="AC3" i="7"/>
  <c r="AC4" i="7"/>
  <c r="AB11" i="7"/>
  <c r="AB8" i="7"/>
  <c r="AB6" i="7"/>
  <c r="AB5" i="7"/>
  <c r="AB7" i="7"/>
  <c r="AB3" i="7"/>
  <c r="AB4" i="7"/>
  <c r="AA11" i="7"/>
  <c r="AA8" i="7"/>
  <c r="AA6" i="7"/>
  <c r="AA5" i="7"/>
  <c r="AA7" i="7"/>
  <c r="AA3" i="7"/>
  <c r="AA4" i="7"/>
  <c r="Z11" i="7"/>
  <c r="Z8" i="7"/>
  <c r="Z6" i="7"/>
  <c r="Z5" i="7"/>
  <c r="Z7" i="7"/>
  <c r="Z3" i="7"/>
  <c r="Z4" i="7"/>
  <c r="Y11" i="7"/>
  <c r="Y8" i="7"/>
  <c r="Y6" i="7"/>
  <c r="Y5" i="7"/>
  <c r="Y7" i="7"/>
  <c r="Y3" i="7"/>
  <c r="Y4" i="7"/>
  <c r="X11" i="7"/>
  <c r="X8" i="7"/>
  <c r="X6" i="7"/>
  <c r="X5" i="7"/>
  <c r="X7" i="7"/>
  <c r="X3" i="7"/>
  <c r="X4" i="7"/>
  <c r="W11" i="7"/>
  <c r="W8" i="7"/>
  <c r="W6" i="7"/>
  <c r="W5" i="7"/>
  <c r="W7" i="7"/>
  <c r="W3" i="7"/>
  <c r="W4" i="7"/>
  <c r="V11" i="7"/>
  <c r="V8" i="7"/>
  <c r="V6" i="7"/>
  <c r="V5" i="7"/>
  <c r="V7" i="7"/>
  <c r="V3" i="7"/>
  <c r="V4" i="7"/>
  <c r="U11" i="7"/>
  <c r="U8" i="7"/>
  <c r="U6" i="7"/>
  <c r="U5" i="7"/>
  <c r="U7" i="7"/>
  <c r="U3" i="7"/>
  <c r="U4" i="7"/>
  <c r="T11" i="7"/>
  <c r="T8" i="7"/>
  <c r="T6" i="7"/>
  <c r="T5" i="7"/>
  <c r="T7" i="7"/>
  <c r="T3" i="7"/>
  <c r="T4" i="7"/>
  <c r="S11" i="7"/>
  <c r="S8" i="7"/>
  <c r="S6" i="7"/>
  <c r="S5" i="7"/>
  <c r="S7" i="7"/>
  <c r="S3" i="7"/>
  <c r="S4" i="7"/>
  <c r="R11" i="7"/>
  <c r="R8" i="7"/>
  <c r="R6" i="7"/>
  <c r="R5" i="7"/>
  <c r="R7" i="7"/>
  <c r="R3" i="7"/>
  <c r="R4" i="7"/>
  <c r="Q11" i="7"/>
  <c r="Q8" i="7"/>
  <c r="Q6" i="7"/>
  <c r="Q5" i="7"/>
  <c r="Q7" i="7"/>
  <c r="Q3" i="7"/>
  <c r="Q4" i="7"/>
  <c r="P11" i="7"/>
  <c r="P8" i="7"/>
  <c r="P6" i="7"/>
  <c r="P5" i="7"/>
  <c r="P7" i="7"/>
  <c r="P3" i="7"/>
  <c r="P4" i="7"/>
  <c r="L11" i="7"/>
  <c r="L8" i="7"/>
  <c r="L6" i="7"/>
  <c r="L5" i="7"/>
  <c r="L7" i="7"/>
  <c r="L3" i="7"/>
  <c r="L4" i="7"/>
  <c r="K11" i="7"/>
  <c r="K8" i="7"/>
  <c r="K6" i="7"/>
  <c r="K5" i="7"/>
  <c r="K7" i="7"/>
  <c r="K3" i="7"/>
  <c r="K4" i="7"/>
  <c r="J11" i="7"/>
  <c r="J8" i="7"/>
  <c r="J6" i="7"/>
  <c r="J5" i="7"/>
  <c r="J7" i="7"/>
  <c r="J3" i="7"/>
  <c r="J4" i="7"/>
  <c r="O11" i="7"/>
  <c r="O8" i="7"/>
  <c r="O6" i="7"/>
  <c r="O5" i="7"/>
  <c r="O7" i="7"/>
  <c r="O3" i="7"/>
  <c r="O4" i="7"/>
  <c r="N11" i="7"/>
  <c r="N8" i="7"/>
  <c r="N6" i="7"/>
  <c r="N5" i="7"/>
  <c r="N7" i="7"/>
  <c r="N3" i="7"/>
  <c r="N4" i="7"/>
  <c r="M11" i="7"/>
  <c r="M8" i="7"/>
  <c r="M6" i="7"/>
  <c r="M5" i="7"/>
  <c r="M7" i="7"/>
  <c r="M3" i="7"/>
  <c r="M4" i="7"/>
  <c r="I11" i="7"/>
  <c r="I8" i="7"/>
  <c r="I6" i="7"/>
  <c r="I5" i="7"/>
  <c r="I7" i="7"/>
  <c r="I3" i="7"/>
  <c r="I4" i="7"/>
  <c r="H11" i="7"/>
  <c r="H8" i="7"/>
  <c r="H6" i="7"/>
  <c r="H5" i="7"/>
  <c r="H7" i="7"/>
  <c r="H3" i="7"/>
  <c r="H4" i="7"/>
  <c r="G11" i="7"/>
  <c r="G8" i="7"/>
  <c r="G6" i="7"/>
  <c r="G5" i="7"/>
  <c r="G7" i="7"/>
  <c r="G3" i="7"/>
  <c r="G4" i="7"/>
  <c r="F11" i="7"/>
  <c r="F8" i="7"/>
  <c r="F6" i="7"/>
  <c r="F5" i="7"/>
  <c r="F7" i="7"/>
  <c r="F3" i="7"/>
  <c r="F4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L38" i="7"/>
  <c r="K38" i="7"/>
  <c r="J38" i="7"/>
  <c r="O38" i="7"/>
  <c r="N38" i="7"/>
  <c r="M38" i="7"/>
  <c r="I38" i="7"/>
  <c r="H38" i="7"/>
  <c r="G38" i="7"/>
  <c r="F38" i="7"/>
  <c r="E38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L37" i="7"/>
  <c r="K37" i="7"/>
  <c r="J37" i="7"/>
  <c r="O37" i="7"/>
  <c r="N37" i="7"/>
  <c r="M37" i="7"/>
  <c r="I37" i="7"/>
  <c r="H37" i="7"/>
  <c r="G37" i="7"/>
  <c r="F37" i="7"/>
  <c r="E37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L36" i="7"/>
  <c r="K36" i="7"/>
  <c r="J36" i="7"/>
  <c r="O36" i="7"/>
  <c r="N36" i="7"/>
  <c r="M36" i="7"/>
  <c r="I36" i="7"/>
  <c r="H36" i="7"/>
  <c r="G36" i="7"/>
  <c r="F36" i="7"/>
  <c r="E36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L35" i="7"/>
  <c r="K35" i="7"/>
  <c r="J35" i="7"/>
  <c r="O35" i="7"/>
  <c r="N35" i="7"/>
  <c r="M35" i="7"/>
  <c r="I35" i="7"/>
  <c r="H35" i="7"/>
  <c r="G35" i="7"/>
  <c r="F35" i="7"/>
  <c r="E35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L34" i="7"/>
  <c r="K34" i="7"/>
  <c r="J34" i="7"/>
  <c r="O34" i="7"/>
  <c r="N34" i="7"/>
  <c r="M34" i="7"/>
  <c r="I34" i="7"/>
  <c r="H34" i="7"/>
  <c r="G34" i="7"/>
  <c r="F34" i="7"/>
  <c r="E34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L33" i="7"/>
  <c r="K33" i="7"/>
  <c r="J33" i="7"/>
  <c r="O33" i="7"/>
  <c r="N33" i="7"/>
  <c r="M33" i="7"/>
  <c r="I33" i="7"/>
  <c r="H33" i="7"/>
  <c r="G33" i="7"/>
  <c r="F33" i="7"/>
  <c r="E33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L32" i="7"/>
  <c r="K32" i="7"/>
  <c r="J32" i="7"/>
  <c r="O32" i="7"/>
  <c r="N32" i="7"/>
  <c r="M32" i="7"/>
  <c r="I32" i="7"/>
  <c r="H32" i="7"/>
  <c r="G32" i="7"/>
  <c r="F32" i="7"/>
  <c r="E32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L31" i="7"/>
  <c r="K31" i="7"/>
  <c r="J31" i="7"/>
  <c r="O31" i="7"/>
  <c r="N31" i="7"/>
  <c r="M31" i="7"/>
  <c r="I31" i="7"/>
  <c r="H31" i="7"/>
  <c r="G31" i="7"/>
  <c r="F31" i="7"/>
  <c r="E31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L30" i="7"/>
  <c r="K30" i="7"/>
  <c r="J30" i="7"/>
  <c r="O30" i="7"/>
  <c r="N30" i="7"/>
  <c r="M30" i="7"/>
  <c r="I30" i="7"/>
  <c r="H30" i="7"/>
  <c r="G30" i="7"/>
  <c r="F30" i="7"/>
  <c r="E30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L29" i="7"/>
  <c r="K29" i="7"/>
  <c r="J29" i="7"/>
  <c r="O29" i="7"/>
  <c r="N29" i="7"/>
  <c r="M29" i="7"/>
  <c r="I29" i="7"/>
  <c r="H29" i="7"/>
  <c r="G29" i="7"/>
  <c r="F29" i="7"/>
  <c r="E29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L28" i="7"/>
  <c r="K28" i="7"/>
  <c r="J28" i="7"/>
  <c r="O28" i="7"/>
  <c r="N28" i="7"/>
  <c r="M28" i="7"/>
  <c r="I28" i="7"/>
  <c r="H28" i="7"/>
  <c r="G28" i="7"/>
  <c r="F28" i="7"/>
  <c r="E28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L27" i="7"/>
  <c r="K27" i="7"/>
  <c r="J27" i="7"/>
  <c r="O27" i="7"/>
  <c r="N27" i="7"/>
  <c r="M27" i="7"/>
  <c r="I27" i="7"/>
  <c r="H27" i="7"/>
  <c r="G27" i="7"/>
  <c r="F27" i="7"/>
  <c r="E27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L26" i="7"/>
  <c r="K26" i="7"/>
  <c r="J26" i="7"/>
  <c r="O26" i="7"/>
  <c r="N26" i="7"/>
  <c r="M26" i="7"/>
  <c r="I26" i="7"/>
  <c r="H26" i="7"/>
  <c r="G26" i="7"/>
  <c r="F26" i="7"/>
  <c r="E26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L25" i="7"/>
  <c r="K25" i="7"/>
  <c r="J25" i="7"/>
  <c r="O25" i="7"/>
  <c r="N25" i="7"/>
  <c r="M25" i="7"/>
  <c r="I25" i="7"/>
  <c r="H25" i="7"/>
  <c r="G25" i="7"/>
  <c r="F25" i="7"/>
  <c r="E25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L24" i="7"/>
  <c r="K24" i="7"/>
  <c r="J24" i="7"/>
  <c r="O24" i="7"/>
  <c r="N24" i="7"/>
  <c r="M24" i="7"/>
  <c r="I24" i="7"/>
  <c r="H24" i="7"/>
  <c r="G24" i="7"/>
  <c r="F24" i="7"/>
  <c r="E24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L23" i="7"/>
  <c r="K23" i="7"/>
  <c r="J23" i="7"/>
  <c r="O23" i="7"/>
  <c r="N23" i="7"/>
  <c r="M23" i="7"/>
  <c r="I23" i="7"/>
  <c r="H23" i="7"/>
  <c r="G23" i="7"/>
  <c r="F23" i="7"/>
  <c r="E23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L22" i="7"/>
  <c r="K22" i="7"/>
  <c r="J22" i="7"/>
  <c r="O22" i="7"/>
  <c r="N22" i="7"/>
  <c r="M22" i="7"/>
  <c r="I22" i="7"/>
  <c r="H22" i="7"/>
  <c r="G22" i="7"/>
  <c r="F22" i="7"/>
  <c r="E22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L21" i="7"/>
  <c r="K21" i="7"/>
  <c r="J21" i="7"/>
  <c r="O21" i="7"/>
  <c r="N21" i="7"/>
  <c r="M21" i="7"/>
  <c r="I21" i="7"/>
  <c r="H21" i="7"/>
  <c r="G21" i="7"/>
  <c r="F21" i="7"/>
  <c r="E21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L20" i="7"/>
  <c r="K20" i="7"/>
  <c r="J20" i="7"/>
  <c r="O20" i="7"/>
  <c r="N20" i="7"/>
  <c r="M20" i="7"/>
  <c r="I20" i="7"/>
  <c r="H20" i="7"/>
  <c r="G20" i="7"/>
  <c r="F20" i="7"/>
  <c r="E20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L19" i="7"/>
  <c r="K19" i="7"/>
  <c r="J19" i="7"/>
  <c r="O19" i="7"/>
  <c r="N19" i="7"/>
  <c r="M19" i="7"/>
  <c r="I19" i="7"/>
  <c r="H19" i="7"/>
  <c r="G19" i="7"/>
  <c r="F19" i="7"/>
  <c r="E19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L18" i="7"/>
  <c r="K18" i="7"/>
  <c r="J18" i="7"/>
  <c r="O18" i="7"/>
  <c r="N18" i="7"/>
  <c r="M18" i="7"/>
  <c r="I18" i="7"/>
  <c r="H18" i="7"/>
  <c r="G18" i="7"/>
  <c r="F18" i="7"/>
  <c r="E18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L17" i="7"/>
  <c r="K17" i="7"/>
  <c r="J17" i="7"/>
  <c r="O17" i="7"/>
  <c r="N17" i="7"/>
  <c r="M17" i="7"/>
  <c r="I17" i="7"/>
  <c r="H17" i="7"/>
  <c r="G17" i="7"/>
  <c r="F17" i="7"/>
  <c r="E17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L16" i="7"/>
  <c r="K16" i="7"/>
  <c r="J16" i="7"/>
  <c r="O16" i="7"/>
  <c r="N16" i="7"/>
  <c r="M16" i="7"/>
  <c r="I16" i="7"/>
  <c r="H16" i="7"/>
  <c r="G16" i="7"/>
  <c r="F16" i="7"/>
  <c r="E16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L15" i="7"/>
  <c r="K15" i="7"/>
  <c r="J15" i="7"/>
  <c r="O15" i="7"/>
  <c r="N15" i="7"/>
  <c r="M15" i="7"/>
  <c r="I15" i="7"/>
  <c r="H15" i="7"/>
  <c r="G15" i="7"/>
  <c r="F15" i="7"/>
  <c r="E15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L14" i="7"/>
  <c r="K14" i="7"/>
  <c r="J14" i="7"/>
  <c r="O14" i="7"/>
  <c r="N14" i="7"/>
  <c r="M14" i="7"/>
  <c r="I14" i="7"/>
  <c r="H14" i="7"/>
  <c r="G14" i="7"/>
  <c r="F14" i="7"/>
  <c r="E14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L13" i="7"/>
  <c r="K13" i="7"/>
  <c r="J13" i="7"/>
  <c r="O13" i="7"/>
  <c r="N13" i="7"/>
  <c r="M13" i="7"/>
  <c r="I13" i="7"/>
  <c r="H13" i="7"/>
  <c r="G13" i="7"/>
  <c r="F13" i="7"/>
  <c r="E13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L12" i="7"/>
  <c r="K12" i="7"/>
  <c r="J12" i="7"/>
  <c r="O12" i="7"/>
  <c r="N12" i="7"/>
  <c r="M12" i="7"/>
  <c r="I12" i="7"/>
  <c r="H12" i="7"/>
  <c r="G12" i="7"/>
  <c r="F12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L10" i="7"/>
  <c r="K10" i="7"/>
  <c r="J10" i="7"/>
  <c r="O10" i="7"/>
  <c r="N10" i="7"/>
  <c r="M10" i="7"/>
  <c r="I10" i="7"/>
  <c r="H10" i="7"/>
  <c r="G10" i="7"/>
  <c r="F10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L9" i="7"/>
  <c r="K9" i="7"/>
  <c r="J9" i="7"/>
  <c r="O9" i="7"/>
  <c r="N9" i="7"/>
  <c r="M9" i="7"/>
  <c r="I9" i="7"/>
  <c r="H9" i="7"/>
  <c r="G9" i="7"/>
  <c r="F9" i="7"/>
  <c r="G11" i="6"/>
  <c r="BK7" i="6"/>
  <c r="BK11" i="6"/>
  <c r="BK5" i="6"/>
  <c r="BK4" i="6"/>
  <c r="BK6" i="6"/>
  <c r="BK3" i="6"/>
  <c r="BK8" i="6"/>
  <c r="BJ7" i="6"/>
  <c r="BJ11" i="6"/>
  <c r="BJ5" i="6"/>
  <c r="BJ4" i="6"/>
  <c r="BJ6" i="6"/>
  <c r="BJ3" i="6"/>
  <c r="BJ8" i="6"/>
  <c r="BI7" i="6"/>
  <c r="BI11" i="6"/>
  <c r="BI5" i="6"/>
  <c r="BI4" i="6"/>
  <c r="BI6" i="6"/>
  <c r="BI3" i="6"/>
  <c r="BI8" i="6"/>
  <c r="BH7" i="6"/>
  <c r="BH11" i="6"/>
  <c r="BH5" i="6"/>
  <c r="BH4" i="6"/>
  <c r="BH6" i="6"/>
  <c r="BH3" i="6"/>
  <c r="BH8" i="6"/>
  <c r="BG7" i="6"/>
  <c r="BG11" i="6"/>
  <c r="BG5" i="6"/>
  <c r="BG4" i="6"/>
  <c r="BG6" i="6"/>
  <c r="BG3" i="6"/>
  <c r="BG8" i="6"/>
  <c r="BF7" i="6"/>
  <c r="BF11" i="6"/>
  <c r="BF5" i="6"/>
  <c r="BF4" i="6"/>
  <c r="BF6" i="6"/>
  <c r="BF3" i="6"/>
  <c r="BF8" i="6"/>
  <c r="BE7" i="6"/>
  <c r="BE11" i="6"/>
  <c r="BE5" i="6"/>
  <c r="BE4" i="6"/>
  <c r="BE6" i="6"/>
  <c r="BE3" i="6"/>
  <c r="BE8" i="6"/>
  <c r="BD7" i="6"/>
  <c r="BD11" i="6"/>
  <c r="BD5" i="6"/>
  <c r="BD4" i="6"/>
  <c r="BD6" i="6"/>
  <c r="BD3" i="6"/>
  <c r="BD8" i="6"/>
  <c r="BC7" i="6"/>
  <c r="BC11" i="6"/>
  <c r="BC5" i="6"/>
  <c r="BC4" i="6"/>
  <c r="BC6" i="6"/>
  <c r="BC3" i="6"/>
  <c r="BC8" i="6"/>
  <c r="BB7" i="6"/>
  <c r="BB11" i="6"/>
  <c r="BB5" i="6"/>
  <c r="BB4" i="6"/>
  <c r="BB6" i="6"/>
  <c r="BB3" i="6"/>
  <c r="BB8" i="6"/>
  <c r="BA7" i="6"/>
  <c r="BA11" i="6"/>
  <c r="BA5" i="6"/>
  <c r="BA4" i="6"/>
  <c r="BA6" i="6"/>
  <c r="BA3" i="6"/>
  <c r="BA8" i="6"/>
  <c r="AZ7" i="6"/>
  <c r="AZ11" i="6"/>
  <c r="AZ5" i="6"/>
  <c r="AZ4" i="6"/>
  <c r="AZ6" i="6"/>
  <c r="AZ3" i="6"/>
  <c r="AZ8" i="6"/>
  <c r="AY7" i="6"/>
  <c r="AY11" i="6"/>
  <c r="AY5" i="6"/>
  <c r="AY4" i="6"/>
  <c r="AY6" i="6"/>
  <c r="AY3" i="6"/>
  <c r="AY8" i="6"/>
  <c r="AX7" i="6"/>
  <c r="AX11" i="6"/>
  <c r="AX5" i="6"/>
  <c r="AX4" i="6"/>
  <c r="AX6" i="6"/>
  <c r="AX3" i="6"/>
  <c r="AX8" i="6"/>
  <c r="AW7" i="6"/>
  <c r="AW11" i="6"/>
  <c r="AW5" i="6"/>
  <c r="AW4" i="6"/>
  <c r="AW6" i="6"/>
  <c r="AW3" i="6"/>
  <c r="AW8" i="6"/>
  <c r="AV7" i="6"/>
  <c r="AV11" i="6"/>
  <c r="AV5" i="6"/>
  <c r="AV4" i="6"/>
  <c r="AV6" i="6"/>
  <c r="AV3" i="6"/>
  <c r="AV8" i="6"/>
  <c r="AU7" i="6"/>
  <c r="AU11" i="6"/>
  <c r="AU5" i="6"/>
  <c r="AU4" i="6"/>
  <c r="AU6" i="6"/>
  <c r="AU3" i="6"/>
  <c r="AU8" i="6"/>
  <c r="AT7" i="6"/>
  <c r="AT11" i="6"/>
  <c r="AT5" i="6"/>
  <c r="AT4" i="6"/>
  <c r="AT6" i="6"/>
  <c r="AT3" i="6"/>
  <c r="AT8" i="6"/>
  <c r="AS7" i="6"/>
  <c r="AS11" i="6"/>
  <c r="AS5" i="6"/>
  <c r="AS4" i="6"/>
  <c r="AS6" i="6"/>
  <c r="AS3" i="6"/>
  <c r="AS8" i="6"/>
  <c r="AR7" i="6"/>
  <c r="AR11" i="6"/>
  <c r="AR5" i="6"/>
  <c r="AR4" i="6"/>
  <c r="AR6" i="6"/>
  <c r="AR3" i="6"/>
  <c r="AR8" i="6"/>
  <c r="AQ7" i="6"/>
  <c r="AQ11" i="6"/>
  <c r="AQ5" i="6"/>
  <c r="AQ4" i="6"/>
  <c r="AQ6" i="6"/>
  <c r="AQ3" i="6"/>
  <c r="AQ8" i="6"/>
  <c r="AP7" i="6"/>
  <c r="AP11" i="6"/>
  <c r="AP5" i="6"/>
  <c r="AP4" i="6"/>
  <c r="AP6" i="6"/>
  <c r="AP3" i="6"/>
  <c r="AP8" i="6"/>
  <c r="AO7" i="6"/>
  <c r="AO11" i="6"/>
  <c r="AO5" i="6"/>
  <c r="AO4" i="6"/>
  <c r="AO6" i="6"/>
  <c r="AO3" i="6"/>
  <c r="AO8" i="6"/>
  <c r="AN7" i="6"/>
  <c r="AN11" i="6"/>
  <c r="AN5" i="6"/>
  <c r="AN4" i="6"/>
  <c r="AN6" i="6"/>
  <c r="AN3" i="6"/>
  <c r="AN8" i="6"/>
  <c r="AM7" i="6"/>
  <c r="AM11" i="6"/>
  <c r="AM5" i="6"/>
  <c r="AM4" i="6"/>
  <c r="AM6" i="6"/>
  <c r="AM3" i="6"/>
  <c r="AM8" i="6"/>
  <c r="AL7" i="6"/>
  <c r="AL11" i="6"/>
  <c r="AL5" i="6"/>
  <c r="AL4" i="6"/>
  <c r="AL6" i="6"/>
  <c r="AL3" i="6"/>
  <c r="AL8" i="6"/>
  <c r="AK7" i="6"/>
  <c r="AK11" i="6"/>
  <c r="AK5" i="6"/>
  <c r="AK4" i="6"/>
  <c r="AK6" i="6"/>
  <c r="AK3" i="6"/>
  <c r="AK8" i="6"/>
  <c r="AJ7" i="6"/>
  <c r="AJ11" i="6"/>
  <c r="AJ5" i="6"/>
  <c r="AJ4" i="6"/>
  <c r="AJ6" i="6"/>
  <c r="AJ3" i="6"/>
  <c r="AJ8" i="6"/>
  <c r="AI7" i="6"/>
  <c r="AI11" i="6"/>
  <c r="AI5" i="6"/>
  <c r="AI4" i="6"/>
  <c r="AI6" i="6"/>
  <c r="AI3" i="6"/>
  <c r="AI8" i="6"/>
  <c r="AH7" i="6"/>
  <c r="AH11" i="6"/>
  <c r="AH5" i="6"/>
  <c r="AH4" i="6"/>
  <c r="AH6" i="6"/>
  <c r="AH3" i="6"/>
  <c r="AH8" i="6"/>
  <c r="AG7" i="6"/>
  <c r="AG11" i="6"/>
  <c r="AG5" i="6"/>
  <c r="AG4" i="6"/>
  <c r="AG6" i="6"/>
  <c r="AG3" i="6"/>
  <c r="AG8" i="6"/>
  <c r="AF7" i="6"/>
  <c r="AF11" i="6"/>
  <c r="AF5" i="6"/>
  <c r="AF4" i="6"/>
  <c r="AF6" i="6"/>
  <c r="AF3" i="6"/>
  <c r="AF8" i="6"/>
  <c r="AE7" i="6"/>
  <c r="AE11" i="6"/>
  <c r="AE5" i="6"/>
  <c r="AE4" i="6"/>
  <c r="AE6" i="6"/>
  <c r="AE3" i="6"/>
  <c r="AE8" i="6"/>
  <c r="AD7" i="6"/>
  <c r="AD11" i="6"/>
  <c r="AD5" i="6"/>
  <c r="AD4" i="6"/>
  <c r="AD6" i="6"/>
  <c r="AD3" i="6"/>
  <c r="AD8" i="6"/>
  <c r="AC7" i="6"/>
  <c r="AC11" i="6"/>
  <c r="AC5" i="6"/>
  <c r="AC4" i="6"/>
  <c r="AC6" i="6"/>
  <c r="AC3" i="6"/>
  <c r="AC8" i="6"/>
  <c r="AB7" i="6"/>
  <c r="AB11" i="6"/>
  <c r="AB5" i="6"/>
  <c r="AB4" i="6"/>
  <c r="AB6" i="6"/>
  <c r="AB3" i="6"/>
  <c r="AB8" i="6"/>
  <c r="AA7" i="6"/>
  <c r="AA11" i="6"/>
  <c r="AA5" i="6"/>
  <c r="AA4" i="6"/>
  <c r="AA6" i="6"/>
  <c r="AA3" i="6"/>
  <c r="AA8" i="6"/>
  <c r="Z7" i="6"/>
  <c r="Z11" i="6"/>
  <c r="Z5" i="6"/>
  <c r="Z4" i="6"/>
  <c r="Z6" i="6"/>
  <c r="Z3" i="6"/>
  <c r="Z8" i="6"/>
  <c r="Y7" i="6"/>
  <c r="Y11" i="6"/>
  <c r="Y5" i="6"/>
  <c r="Y4" i="6"/>
  <c r="Y6" i="6"/>
  <c r="Y3" i="6"/>
  <c r="Y8" i="6"/>
  <c r="X7" i="6"/>
  <c r="X11" i="6"/>
  <c r="X5" i="6"/>
  <c r="X4" i="6"/>
  <c r="X6" i="6"/>
  <c r="X3" i="6"/>
  <c r="X8" i="6"/>
  <c r="W7" i="6"/>
  <c r="W11" i="6"/>
  <c r="W5" i="6"/>
  <c r="W4" i="6"/>
  <c r="W6" i="6"/>
  <c r="W3" i="6"/>
  <c r="W8" i="6"/>
  <c r="V7" i="6"/>
  <c r="V11" i="6"/>
  <c r="V5" i="6"/>
  <c r="V4" i="6"/>
  <c r="V6" i="6"/>
  <c r="V3" i="6"/>
  <c r="V8" i="6"/>
  <c r="U7" i="6"/>
  <c r="U11" i="6"/>
  <c r="U5" i="6"/>
  <c r="U4" i="6"/>
  <c r="U6" i="6"/>
  <c r="U3" i="6"/>
  <c r="U8" i="6"/>
  <c r="T7" i="6"/>
  <c r="T11" i="6"/>
  <c r="T5" i="6"/>
  <c r="T4" i="6"/>
  <c r="T6" i="6"/>
  <c r="T3" i="6"/>
  <c r="T8" i="6"/>
  <c r="S7" i="6"/>
  <c r="S11" i="6"/>
  <c r="S5" i="6"/>
  <c r="S4" i="6"/>
  <c r="S6" i="6"/>
  <c r="S3" i="6"/>
  <c r="S8" i="6"/>
  <c r="R7" i="6"/>
  <c r="R11" i="6"/>
  <c r="R5" i="6"/>
  <c r="R4" i="6"/>
  <c r="R6" i="6"/>
  <c r="R3" i="6"/>
  <c r="R8" i="6"/>
  <c r="Q7" i="6"/>
  <c r="Q11" i="6"/>
  <c r="Q5" i="6"/>
  <c r="Q4" i="6"/>
  <c r="Q6" i="6"/>
  <c r="Q3" i="6"/>
  <c r="Q8" i="6"/>
  <c r="P7" i="6"/>
  <c r="P11" i="6"/>
  <c r="P5" i="6"/>
  <c r="P4" i="6"/>
  <c r="P6" i="6"/>
  <c r="P3" i="6"/>
  <c r="P8" i="6"/>
  <c r="O7" i="6"/>
  <c r="O11" i="6"/>
  <c r="O5" i="6"/>
  <c r="O4" i="6"/>
  <c r="O6" i="6"/>
  <c r="O3" i="6"/>
  <c r="O8" i="6"/>
  <c r="N7" i="6"/>
  <c r="N11" i="6"/>
  <c r="N5" i="6"/>
  <c r="N4" i="6"/>
  <c r="N6" i="6"/>
  <c r="N3" i="6"/>
  <c r="N8" i="6"/>
  <c r="M7" i="6"/>
  <c r="M11" i="6"/>
  <c r="M5" i="6"/>
  <c r="M4" i="6"/>
  <c r="M6" i="6"/>
  <c r="M3" i="6"/>
  <c r="M8" i="6"/>
  <c r="L7" i="6"/>
  <c r="L11" i="6"/>
  <c r="L5" i="6"/>
  <c r="L4" i="6"/>
  <c r="L6" i="6"/>
  <c r="L3" i="6"/>
  <c r="L8" i="6"/>
  <c r="K7" i="6"/>
  <c r="K11" i="6"/>
  <c r="K5" i="6"/>
  <c r="K4" i="6"/>
  <c r="K6" i="6"/>
  <c r="K3" i="6"/>
  <c r="K8" i="6"/>
  <c r="J7" i="6"/>
  <c r="J11" i="6"/>
  <c r="J5" i="6"/>
  <c r="J4" i="6"/>
  <c r="J6" i="6"/>
  <c r="J3" i="6"/>
  <c r="J8" i="6"/>
  <c r="I7" i="6"/>
  <c r="I11" i="6"/>
  <c r="I5" i="6"/>
  <c r="I4" i="6"/>
  <c r="I6" i="6"/>
  <c r="I3" i="6"/>
  <c r="I8" i="6"/>
  <c r="H7" i="6"/>
  <c r="H11" i="6"/>
  <c r="H5" i="6"/>
  <c r="H4" i="6"/>
  <c r="H6" i="6"/>
  <c r="H3" i="6"/>
  <c r="H8" i="6"/>
  <c r="G7" i="6"/>
  <c r="G5" i="6"/>
  <c r="G4" i="6"/>
  <c r="G6" i="6"/>
  <c r="G3" i="6"/>
  <c r="G8" i="6"/>
  <c r="E51" i="6"/>
  <c r="C51" i="6"/>
  <c r="D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E50" i="6"/>
  <c r="C50" i="6"/>
  <c r="D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E49" i="6"/>
  <c r="C49" i="6"/>
  <c r="D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E48" i="6"/>
  <c r="C48" i="6"/>
  <c r="D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E47" i="6"/>
  <c r="C47" i="6"/>
  <c r="D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E46" i="6"/>
  <c r="C46" i="6"/>
  <c r="D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E45" i="6"/>
  <c r="C45" i="6"/>
  <c r="D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E44" i="6"/>
  <c r="C44" i="6"/>
  <c r="D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E43" i="6"/>
  <c r="C43" i="6"/>
  <c r="D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E42" i="6"/>
  <c r="C42" i="6"/>
  <c r="D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E41" i="6"/>
  <c r="C41" i="6"/>
  <c r="D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E40" i="6"/>
  <c r="C40" i="6"/>
  <c r="D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E39" i="6"/>
  <c r="C39" i="6"/>
  <c r="D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E38" i="6"/>
  <c r="C38" i="6"/>
  <c r="D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E37" i="6"/>
  <c r="C37" i="6"/>
  <c r="D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E36" i="6"/>
  <c r="C36" i="6"/>
  <c r="D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E35" i="6"/>
  <c r="C35" i="6"/>
  <c r="D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E34" i="6"/>
  <c r="C34" i="6"/>
  <c r="D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E33" i="6"/>
  <c r="C33" i="6"/>
  <c r="D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E32" i="6"/>
  <c r="C32" i="6"/>
  <c r="D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E31" i="6"/>
  <c r="C31" i="6"/>
  <c r="D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E30" i="6"/>
  <c r="C30" i="6"/>
  <c r="D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E29" i="6"/>
  <c r="C29" i="6"/>
  <c r="D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E28" i="6"/>
  <c r="C28" i="6"/>
  <c r="D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E27" i="6"/>
  <c r="C27" i="6"/>
  <c r="D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E26" i="6"/>
  <c r="C26" i="6"/>
  <c r="D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E25" i="6"/>
  <c r="C25" i="6"/>
  <c r="D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E24" i="6"/>
  <c r="C24" i="6"/>
  <c r="D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E23" i="6"/>
  <c r="C23" i="6"/>
  <c r="D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E22" i="6"/>
  <c r="C22" i="6"/>
  <c r="D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E21" i="6"/>
  <c r="C21" i="6"/>
  <c r="D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E20" i="6"/>
  <c r="C20" i="6"/>
  <c r="D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E19" i="6"/>
  <c r="C19" i="6"/>
  <c r="D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E18" i="6"/>
  <c r="C18" i="6"/>
  <c r="D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E17" i="6"/>
  <c r="C17" i="6"/>
  <c r="D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E16" i="6"/>
  <c r="C16" i="6"/>
  <c r="D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E15" i="6"/>
  <c r="C15" i="6"/>
  <c r="D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E14" i="6"/>
  <c r="C14" i="6"/>
  <c r="D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E13" i="6"/>
  <c r="C13" i="6"/>
  <c r="D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13" i="6"/>
  <c r="G12" i="6"/>
  <c r="G10" i="6"/>
  <c r="G9" i="6"/>
  <c r="AJ11" i="5"/>
  <c r="AJ8" i="5"/>
  <c r="AJ6" i="5"/>
  <c r="AJ5" i="5"/>
  <c r="AJ7" i="5"/>
  <c r="AJ3" i="5"/>
  <c r="AJ4" i="5"/>
  <c r="BJ11" i="5"/>
  <c r="BJ8" i="5"/>
  <c r="BJ6" i="5"/>
  <c r="BJ5" i="5"/>
  <c r="BJ7" i="5"/>
  <c r="BJ3" i="5"/>
  <c r="BJ4" i="5"/>
  <c r="AI11" i="5"/>
  <c r="AI8" i="5"/>
  <c r="AI6" i="5"/>
  <c r="AI5" i="5"/>
  <c r="AI7" i="5"/>
  <c r="AI3" i="5"/>
  <c r="AI4" i="5"/>
  <c r="BI11" i="5"/>
  <c r="BI8" i="5"/>
  <c r="BI6" i="5"/>
  <c r="BI5" i="5"/>
  <c r="BI7" i="5"/>
  <c r="BI3" i="5"/>
  <c r="BI4" i="5"/>
  <c r="AH11" i="5"/>
  <c r="AH8" i="5"/>
  <c r="AH6" i="5"/>
  <c r="AH5" i="5"/>
  <c r="AH7" i="5"/>
  <c r="AH3" i="5"/>
  <c r="AH4" i="5"/>
  <c r="BH11" i="5"/>
  <c r="BH8" i="5"/>
  <c r="BH6" i="5"/>
  <c r="BH5" i="5"/>
  <c r="BH7" i="5"/>
  <c r="BH3" i="5"/>
  <c r="BH4" i="5"/>
  <c r="AG11" i="5"/>
  <c r="AG8" i="5"/>
  <c r="AG6" i="5"/>
  <c r="AG5" i="5"/>
  <c r="AG7" i="5"/>
  <c r="AG3" i="5"/>
  <c r="AG4" i="5"/>
  <c r="BG11" i="5"/>
  <c r="BG8" i="5"/>
  <c r="BG6" i="5"/>
  <c r="BG5" i="5"/>
  <c r="BG7" i="5"/>
  <c r="BG3" i="5"/>
  <c r="BG4" i="5"/>
  <c r="AF11" i="5"/>
  <c r="AF8" i="5"/>
  <c r="AF6" i="5"/>
  <c r="AF5" i="5"/>
  <c r="AF7" i="5"/>
  <c r="AF3" i="5"/>
  <c r="AF4" i="5"/>
  <c r="BF11" i="5"/>
  <c r="BF8" i="5"/>
  <c r="BF6" i="5"/>
  <c r="BF5" i="5"/>
  <c r="BF7" i="5"/>
  <c r="BF3" i="5"/>
  <c r="BF4" i="5"/>
  <c r="AE11" i="5"/>
  <c r="AE8" i="5"/>
  <c r="AE6" i="5"/>
  <c r="AE5" i="5"/>
  <c r="AE7" i="5"/>
  <c r="AE3" i="5"/>
  <c r="AE4" i="5"/>
  <c r="AD11" i="5"/>
  <c r="AD8" i="5"/>
  <c r="AD6" i="5"/>
  <c r="AD5" i="5"/>
  <c r="AD7" i="5"/>
  <c r="AD3" i="5"/>
  <c r="AD4" i="5"/>
  <c r="BE11" i="5"/>
  <c r="BE8" i="5"/>
  <c r="BE6" i="5"/>
  <c r="BE5" i="5"/>
  <c r="BE7" i="5"/>
  <c r="BE3" i="5"/>
  <c r="BE4" i="5"/>
  <c r="AC11" i="5"/>
  <c r="AC8" i="5"/>
  <c r="AC6" i="5"/>
  <c r="AC5" i="5"/>
  <c r="AC7" i="5"/>
  <c r="AC3" i="5"/>
  <c r="AC4" i="5"/>
  <c r="AB11" i="5"/>
  <c r="AB8" i="5"/>
  <c r="AB6" i="5"/>
  <c r="AB5" i="5"/>
  <c r="AB7" i="5"/>
  <c r="AB3" i="5"/>
  <c r="AB4" i="5"/>
  <c r="BD11" i="5"/>
  <c r="BD8" i="5"/>
  <c r="BD6" i="5"/>
  <c r="BD5" i="5"/>
  <c r="BD7" i="5"/>
  <c r="BD3" i="5"/>
  <c r="BD4" i="5"/>
  <c r="AA11" i="5"/>
  <c r="AA8" i="5"/>
  <c r="AA6" i="5"/>
  <c r="AA5" i="5"/>
  <c r="AA7" i="5"/>
  <c r="AA3" i="5"/>
  <c r="AA4" i="5"/>
  <c r="Z11" i="5"/>
  <c r="Z8" i="5"/>
  <c r="Z6" i="5"/>
  <c r="Z5" i="5"/>
  <c r="Z7" i="5"/>
  <c r="Z3" i="5"/>
  <c r="Z4" i="5"/>
  <c r="BC11" i="5"/>
  <c r="BC8" i="5"/>
  <c r="BC6" i="5"/>
  <c r="BC5" i="5"/>
  <c r="BC7" i="5"/>
  <c r="BC3" i="5"/>
  <c r="BC4" i="5"/>
  <c r="Y11" i="5"/>
  <c r="Y8" i="5"/>
  <c r="Y6" i="5"/>
  <c r="Y5" i="5"/>
  <c r="Y7" i="5"/>
  <c r="Y3" i="5"/>
  <c r="Y4" i="5"/>
  <c r="X11" i="5"/>
  <c r="X8" i="5"/>
  <c r="X6" i="5"/>
  <c r="X5" i="5"/>
  <c r="X7" i="5"/>
  <c r="X3" i="5"/>
  <c r="X4" i="5"/>
  <c r="W11" i="5"/>
  <c r="W8" i="5"/>
  <c r="W6" i="5"/>
  <c r="W5" i="5"/>
  <c r="W7" i="5"/>
  <c r="W3" i="5"/>
  <c r="W4" i="5"/>
  <c r="V11" i="5"/>
  <c r="V8" i="5"/>
  <c r="V6" i="5"/>
  <c r="V5" i="5"/>
  <c r="V7" i="5"/>
  <c r="V3" i="5"/>
  <c r="V4" i="5"/>
  <c r="U11" i="5"/>
  <c r="U8" i="5"/>
  <c r="U6" i="5"/>
  <c r="U5" i="5"/>
  <c r="U7" i="5"/>
  <c r="U3" i="5"/>
  <c r="U4" i="5"/>
  <c r="T11" i="5"/>
  <c r="T8" i="5"/>
  <c r="T6" i="5"/>
  <c r="T5" i="5"/>
  <c r="T7" i="5"/>
  <c r="T3" i="5"/>
  <c r="T4" i="5"/>
  <c r="BB11" i="5"/>
  <c r="BB8" i="5"/>
  <c r="BB6" i="5"/>
  <c r="BB5" i="5"/>
  <c r="BB7" i="5"/>
  <c r="BB3" i="5"/>
  <c r="BB4" i="5"/>
  <c r="S11" i="5"/>
  <c r="S8" i="5"/>
  <c r="S6" i="5"/>
  <c r="S5" i="5"/>
  <c r="S7" i="5"/>
  <c r="S3" i="5"/>
  <c r="S4" i="5"/>
  <c r="R11" i="5"/>
  <c r="R8" i="5"/>
  <c r="R6" i="5"/>
  <c r="R5" i="5"/>
  <c r="R7" i="5"/>
  <c r="R3" i="5"/>
  <c r="R4" i="5"/>
  <c r="Q11" i="5"/>
  <c r="Q8" i="5"/>
  <c r="Q6" i="5"/>
  <c r="Q5" i="5"/>
  <c r="Q7" i="5"/>
  <c r="Q3" i="5"/>
  <c r="Q4" i="5"/>
  <c r="BA11" i="5"/>
  <c r="BA8" i="5"/>
  <c r="BA6" i="5"/>
  <c r="BA5" i="5"/>
  <c r="BA7" i="5"/>
  <c r="BA3" i="5"/>
  <c r="BA4" i="5"/>
  <c r="P11" i="5"/>
  <c r="P8" i="5"/>
  <c r="P6" i="5"/>
  <c r="P5" i="5"/>
  <c r="P7" i="5"/>
  <c r="P3" i="5"/>
  <c r="P4" i="5"/>
  <c r="O11" i="5"/>
  <c r="O8" i="5"/>
  <c r="O6" i="5"/>
  <c r="O5" i="5"/>
  <c r="O7" i="5"/>
  <c r="O3" i="5"/>
  <c r="O4" i="5"/>
  <c r="AZ11" i="5"/>
  <c r="AZ8" i="5"/>
  <c r="AZ6" i="5"/>
  <c r="AZ5" i="5"/>
  <c r="AZ7" i="5"/>
  <c r="AZ3" i="5"/>
  <c r="AZ4" i="5"/>
  <c r="N11" i="5"/>
  <c r="N8" i="5"/>
  <c r="N6" i="5"/>
  <c r="N5" i="5"/>
  <c r="N7" i="5"/>
  <c r="N3" i="5"/>
  <c r="N4" i="5"/>
  <c r="M11" i="5"/>
  <c r="M8" i="5"/>
  <c r="M6" i="5"/>
  <c r="M5" i="5"/>
  <c r="M7" i="5"/>
  <c r="M3" i="5"/>
  <c r="M4" i="5"/>
  <c r="AY11" i="5"/>
  <c r="AY8" i="5"/>
  <c r="AY6" i="5"/>
  <c r="AY5" i="5"/>
  <c r="AY7" i="5"/>
  <c r="AY3" i="5"/>
  <c r="AY4" i="5"/>
  <c r="L11" i="5"/>
  <c r="L8" i="5"/>
  <c r="L6" i="5"/>
  <c r="L5" i="5"/>
  <c r="L7" i="5"/>
  <c r="L3" i="5"/>
  <c r="L4" i="5"/>
  <c r="G11" i="5"/>
  <c r="G8" i="5"/>
  <c r="G6" i="5"/>
  <c r="G5" i="5"/>
  <c r="G7" i="5"/>
  <c r="G3" i="5"/>
  <c r="G4" i="5"/>
  <c r="F11" i="5"/>
  <c r="F8" i="5"/>
  <c r="F6" i="5"/>
  <c r="F5" i="5"/>
  <c r="F7" i="5"/>
  <c r="F3" i="5"/>
  <c r="F4" i="5"/>
  <c r="K11" i="5"/>
  <c r="K8" i="5"/>
  <c r="K6" i="5"/>
  <c r="K5" i="5"/>
  <c r="K7" i="5"/>
  <c r="K3" i="5"/>
  <c r="K4" i="5"/>
  <c r="J11" i="5"/>
  <c r="J8" i="5"/>
  <c r="J6" i="5"/>
  <c r="J5" i="5"/>
  <c r="J7" i="5"/>
  <c r="J3" i="5"/>
  <c r="J4" i="5"/>
  <c r="I11" i="5"/>
  <c r="I8" i="5"/>
  <c r="I6" i="5"/>
  <c r="I5" i="5"/>
  <c r="I7" i="5"/>
  <c r="I3" i="5"/>
  <c r="I4" i="5"/>
  <c r="H11" i="5"/>
  <c r="H8" i="5"/>
  <c r="H6" i="5"/>
  <c r="H5" i="5"/>
  <c r="H7" i="5"/>
  <c r="H3" i="5"/>
  <c r="H4" i="5"/>
  <c r="AX11" i="5"/>
  <c r="AX8" i="5"/>
  <c r="AX6" i="5"/>
  <c r="AX5" i="5"/>
  <c r="AX7" i="5"/>
  <c r="AX3" i="5"/>
  <c r="AX4" i="5"/>
  <c r="AW11" i="5"/>
  <c r="AW8" i="5"/>
  <c r="AW6" i="5"/>
  <c r="AW5" i="5"/>
  <c r="AW7" i="5"/>
  <c r="AW3" i="5"/>
  <c r="AW4" i="5"/>
  <c r="AV11" i="5"/>
  <c r="AV8" i="5"/>
  <c r="AV6" i="5"/>
  <c r="AV5" i="5"/>
  <c r="AV7" i="5"/>
  <c r="AV3" i="5"/>
  <c r="AV4" i="5"/>
  <c r="AU11" i="5"/>
  <c r="AU8" i="5"/>
  <c r="AU6" i="5"/>
  <c r="AU5" i="5"/>
  <c r="AU7" i="5"/>
  <c r="AU3" i="5"/>
  <c r="AU4" i="5"/>
  <c r="AT11" i="5"/>
  <c r="AT8" i="5"/>
  <c r="AT6" i="5"/>
  <c r="AT5" i="5"/>
  <c r="AT7" i="5"/>
  <c r="AT3" i="5"/>
  <c r="AT4" i="5"/>
  <c r="AS11" i="5"/>
  <c r="AS8" i="5"/>
  <c r="AS6" i="5"/>
  <c r="AS5" i="5"/>
  <c r="AS7" i="5"/>
  <c r="AS3" i="5"/>
  <c r="AS4" i="5"/>
  <c r="AR11" i="5"/>
  <c r="AR8" i="5"/>
  <c r="AR6" i="5"/>
  <c r="AR5" i="5"/>
  <c r="AR7" i="5"/>
  <c r="AR3" i="5"/>
  <c r="AR4" i="5"/>
  <c r="AQ11" i="5"/>
  <c r="AQ8" i="5"/>
  <c r="AQ6" i="5"/>
  <c r="AQ5" i="5"/>
  <c r="AQ7" i="5"/>
  <c r="AQ3" i="5"/>
  <c r="AQ4" i="5"/>
  <c r="AP11" i="5"/>
  <c r="AP8" i="5"/>
  <c r="AP6" i="5"/>
  <c r="AP5" i="5"/>
  <c r="AP7" i="5"/>
  <c r="AP3" i="5"/>
  <c r="AP4" i="5"/>
  <c r="AO11" i="5"/>
  <c r="AO8" i="5"/>
  <c r="AO6" i="5"/>
  <c r="AO5" i="5"/>
  <c r="AO7" i="5"/>
  <c r="AO3" i="5"/>
  <c r="AO4" i="5"/>
  <c r="AN11" i="5"/>
  <c r="AN8" i="5"/>
  <c r="AN6" i="5"/>
  <c r="AN5" i="5"/>
  <c r="AN7" i="5"/>
  <c r="AN3" i="5"/>
  <c r="AN4" i="5"/>
  <c r="AM11" i="5"/>
  <c r="AM8" i="5"/>
  <c r="AM6" i="5"/>
  <c r="AM5" i="5"/>
  <c r="AM7" i="5"/>
  <c r="AM3" i="5"/>
  <c r="AM4" i="5"/>
  <c r="AL11" i="5"/>
  <c r="AL8" i="5"/>
  <c r="AL6" i="5"/>
  <c r="AL5" i="5"/>
  <c r="AL7" i="5"/>
  <c r="AL3" i="5"/>
  <c r="AL4" i="5"/>
  <c r="AK11" i="5"/>
  <c r="AK8" i="5"/>
  <c r="AK6" i="5"/>
  <c r="AK5" i="5"/>
  <c r="AK7" i="5"/>
  <c r="AK3" i="5"/>
  <c r="AK4" i="5"/>
  <c r="D51" i="5"/>
  <c r="C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D50" i="5"/>
  <c r="C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D49" i="5"/>
  <c r="C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D48" i="5"/>
  <c r="C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D47" i="5"/>
  <c r="C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D46" i="5"/>
  <c r="C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D45" i="5"/>
  <c r="C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D29" i="5"/>
  <c r="C29" i="5"/>
  <c r="D44" i="5"/>
  <c r="C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D28" i="5"/>
  <c r="C28" i="5"/>
  <c r="D43" i="5"/>
  <c r="C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D27" i="5"/>
  <c r="C27" i="5"/>
  <c r="D42" i="5"/>
  <c r="C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D26" i="5"/>
  <c r="C26" i="5"/>
  <c r="D41" i="5"/>
  <c r="C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D25" i="5"/>
  <c r="C25" i="5"/>
  <c r="D40" i="5"/>
  <c r="C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D24" i="5"/>
  <c r="C24" i="5"/>
  <c r="D39" i="5"/>
  <c r="C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D23" i="5"/>
  <c r="C23" i="5"/>
  <c r="D38" i="5"/>
  <c r="C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D22" i="5"/>
  <c r="C22" i="5"/>
  <c r="D37" i="5"/>
  <c r="C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D21" i="5"/>
  <c r="C21" i="5"/>
  <c r="D36" i="5"/>
  <c r="C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35" i="5"/>
  <c r="C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D34" i="5"/>
  <c r="C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D33" i="5"/>
  <c r="C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D32" i="5"/>
  <c r="C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D31" i="5"/>
  <c r="C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D30" i="5"/>
  <c r="C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N9" i="5"/>
  <c r="AO9" i="5"/>
  <c r="AP9" i="5"/>
  <c r="AK9" i="5"/>
  <c r="AL9" i="5"/>
  <c r="AM9" i="5"/>
  <c r="AQ9" i="5"/>
  <c r="AR9" i="5"/>
  <c r="AS9" i="5"/>
  <c r="AT9" i="5"/>
  <c r="AU9" i="5"/>
  <c r="AY9" i="5"/>
  <c r="AZ9" i="5"/>
  <c r="BA9" i="5"/>
  <c r="AV9" i="5"/>
  <c r="AW9" i="5"/>
  <c r="AX9" i="5"/>
  <c r="BC9" i="5"/>
  <c r="BD9" i="5"/>
  <c r="BE9" i="5"/>
  <c r="BF9" i="5"/>
  <c r="BB9" i="5"/>
  <c r="BG9" i="5"/>
  <c r="BH9" i="5"/>
  <c r="BI9" i="5"/>
  <c r="BJ9" i="5"/>
  <c r="H9" i="5"/>
  <c r="I9" i="5"/>
  <c r="J9" i="5"/>
  <c r="K9" i="5"/>
  <c r="F9" i="5"/>
  <c r="G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N10" i="5"/>
  <c r="AO10" i="5"/>
  <c r="AP10" i="5"/>
  <c r="AK10" i="5"/>
  <c r="AL10" i="5"/>
  <c r="AM10" i="5"/>
  <c r="AQ10" i="5"/>
  <c r="AR10" i="5"/>
  <c r="AS10" i="5"/>
  <c r="AT10" i="5"/>
  <c r="AU10" i="5"/>
  <c r="AY10" i="5"/>
  <c r="AZ10" i="5"/>
  <c r="BA10" i="5"/>
  <c r="AV10" i="5"/>
  <c r="AW10" i="5"/>
  <c r="AX10" i="5"/>
  <c r="BC10" i="5"/>
  <c r="BD10" i="5"/>
  <c r="BE10" i="5"/>
  <c r="BF10" i="5"/>
  <c r="BB10" i="5"/>
  <c r="BG10" i="5"/>
  <c r="BH10" i="5"/>
  <c r="BI10" i="5"/>
  <c r="BJ10" i="5"/>
  <c r="H10" i="5"/>
  <c r="I10" i="5"/>
  <c r="J10" i="5"/>
  <c r="K10" i="5"/>
  <c r="F10" i="5"/>
  <c r="G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N12" i="5"/>
  <c r="AO12" i="5"/>
  <c r="AP12" i="5"/>
  <c r="AK12" i="5"/>
  <c r="AL12" i="5"/>
  <c r="AM12" i="5"/>
  <c r="AQ12" i="5"/>
  <c r="AR12" i="5"/>
  <c r="AS12" i="5"/>
  <c r="AT12" i="5"/>
  <c r="AU12" i="5"/>
  <c r="AY12" i="5"/>
  <c r="AZ12" i="5"/>
  <c r="BA12" i="5"/>
  <c r="AV12" i="5"/>
  <c r="AW12" i="5"/>
  <c r="AX12" i="5"/>
  <c r="BC12" i="5"/>
  <c r="BD12" i="5"/>
  <c r="BE12" i="5"/>
  <c r="BF12" i="5"/>
  <c r="BB12" i="5"/>
  <c r="BG12" i="5"/>
  <c r="BH12" i="5"/>
  <c r="BI12" i="5"/>
  <c r="BJ12" i="5"/>
  <c r="H12" i="5"/>
  <c r="I12" i="5"/>
  <c r="J12" i="5"/>
  <c r="K12" i="5"/>
  <c r="F12" i="5"/>
  <c r="G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E40" i="5"/>
  <c r="E41" i="5"/>
  <c r="E42" i="5"/>
  <c r="E43" i="5"/>
  <c r="E44" i="5"/>
  <c r="E45" i="5"/>
  <c r="E46" i="5"/>
  <c r="E47" i="5"/>
  <c r="E48" i="5"/>
  <c r="E49" i="5"/>
  <c r="E50" i="5"/>
  <c r="E51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13" i="5"/>
  <c r="E39" i="5"/>
  <c r="E38" i="5"/>
  <c r="E37" i="5"/>
  <c r="E36" i="5"/>
  <c r="E35" i="5"/>
  <c r="E34" i="5"/>
  <c r="E33" i="5"/>
  <c r="E32" i="5"/>
  <c r="E31" i="5"/>
  <c r="E30" i="5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GK63" i="1"/>
  <c r="GL63" i="1"/>
  <c r="GM63" i="1"/>
  <c r="GN63" i="1"/>
  <c r="GO63" i="1"/>
  <c r="GP63" i="1"/>
  <c r="GQ63" i="1"/>
  <c r="GR63" i="1"/>
  <c r="GS63" i="1"/>
  <c r="GJ63" i="1"/>
  <c r="GC63" i="1"/>
  <c r="GE63" i="1"/>
  <c r="GB63" i="1"/>
  <c r="GD63" i="1"/>
  <c r="GA63" i="1"/>
  <c r="GK62" i="1"/>
  <c r="GL62" i="1"/>
  <c r="GM62" i="1"/>
  <c r="GN62" i="1"/>
  <c r="GO62" i="1"/>
  <c r="GP62" i="1"/>
  <c r="GQ62" i="1"/>
  <c r="GR62" i="1"/>
  <c r="GS62" i="1"/>
  <c r="GJ62" i="1"/>
  <c r="GK61" i="1"/>
  <c r="GL61" i="1"/>
  <c r="GM61" i="1"/>
  <c r="GN61" i="1"/>
  <c r="GO61" i="1"/>
  <c r="GP61" i="1"/>
  <c r="GQ61" i="1"/>
  <c r="GR61" i="1"/>
  <c r="GS61" i="1"/>
  <c r="GJ61" i="1"/>
  <c r="GC61" i="1"/>
  <c r="GE61" i="1"/>
  <c r="GB61" i="1"/>
  <c r="GD61" i="1"/>
  <c r="GK60" i="1"/>
  <c r="GL60" i="1"/>
  <c r="GM60" i="1"/>
  <c r="GN60" i="1"/>
  <c r="GO60" i="1"/>
  <c r="GP60" i="1"/>
  <c r="GQ60" i="1"/>
  <c r="GR60" i="1"/>
  <c r="GS60" i="1"/>
  <c r="GJ60" i="1"/>
  <c r="GC60" i="1"/>
  <c r="GE60" i="1"/>
  <c r="GB60" i="1"/>
  <c r="GD60" i="1"/>
  <c r="GK59" i="1"/>
  <c r="GL59" i="1"/>
  <c r="GM59" i="1"/>
  <c r="GN59" i="1"/>
  <c r="GO59" i="1"/>
  <c r="GP59" i="1"/>
  <c r="GQ59" i="1"/>
  <c r="GR59" i="1"/>
  <c r="GS59" i="1"/>
  <c r="GJ59" i="1"/>
  <c r="GC59" i="1"/>
  <c r="GE59" i="1"/>
  <c r="GB59" i="1"/>
  <c r="GD59" i="1"/>
  <c r="GA59" i="1"/>
  <c r="GK58" i="1"/>
  <c r="GL58" i="1"/>
  <c r="GM58" i="1"/>
  <c r="GN58" i="1"/>
  <c r="GO58" i="1"/>
  <c r="GP58" i="1"/>
  <c r="GQ58" i="1"/>
  <c r="GR58" i="1"/>
  <c r="GS58" i="1"/>
  <c r="GJ58" i="1"/>
  <c r="GC58" i="1"/>
  <c r="GE58" i="1"/>
  <c r="GB58" i="1"/>
  <c r="GD58" i="1"/>
  <c r="GA58" i="1"/>
  <c r="GK57" i="1"/>
  <c r="GL57" i="1"/>
  <c r="GM57" i="1"/>
  <c r="GN57" i="1"/>
  <c r="GO57" i="1"/>
  <c r="GP57" i="1"/>
  <c r="GQ57" i="1"/>
  <c r="GR57" i="1"/>
  <c r="GS57" i="1"/>
  <c r="GJ57" i="1"/>
  <c r="GC57" i="1"/>
  <c r="GE57" i="1"/>
  <c r="GB57" i="1"/>
  <c r="GD57" i="1"/>
  <c r="GA57" i="1"/>
  <c r="GK56" i="1"/>
  <c r="GL56" i="1"/>
  <c r="GM56" i="1"/>
  <c r="GN56" i="1"/>
  <c r="GO56" i="1"/>
  <c r="GP56" i="1"/>
  <c r="GQ56" i="1"/>
  <c r="GR56" i="1"/>
  <c r="GS56" i="1"/>
  <c r="GJ56" i="1"/>
  <c r="GC56" i="1"/>
  <c r="GE56" i="1"/>
  <c r="GB56" i="1"/>
  <c r="GD56" i="1"/>
  <c r="GA56" i="1"/>
  <c r="GK55" i="1"/>
  <c r="GL55" i="1"/>
  <c r="GM55" i="1"/>
  <c r="GN55" i="1"/>
  <c r="GO55" i="1"/>
  <c r="GP55" i="1"/>
  <c r="GQ55" i="1"/>
  <c r="GR55" i="1"/>
  <c r="GS55" i="1"/>
  <c r="GJ55" i="1"/>
  <c r="GC55" i="1"/>
  <c r="GE55" i="1"/>
  <c r="GB55" i="1"/>
  <c r="GD55" i="1"/>
  <c r="GA55" i="1"/>
  <c r="GK54" i="1"/>
  <c r="GL54" i="1"/>
  <c r="GM54" i="1"/>
  <c r="GN54" i="1"/>
  <c r="GO54" i="1"/>
  <c r="GP54" i="1"/>
  <c r="GQ54" i="1"/>
  <c r="GR54" i="1"/>
  <c r="GS54" i="1"/>
  <c r="GJ54" i="1"/>
  <c r="GC54" i="1"/>
  <c r="GE54" i="1"/>
  <c r="GB54" i="1"/>
  <c r="GD54" i="1"/>
  <c r="GA54" i="1"/>
  <c r="GK53" i="1"/>
  <c r="GL53" i="1"/>
  <c r="GM53" i="1"/>
  <c r="GN53" i="1"/>
  <c r="GO53" i="1"/>
  <c r="GP53" i="1"/>
  <c r="GQ53" i="1"/>
  <c r="GR53" i="1"/>
  <c r="GS53" i="1"/>
  <c r="GJ53" i="1"/>
  <c r="GC53" i="1"/>
  <c r="GE53" i="1"/>
  <c r="GB53" i="1"/>
  <c r="GD53" i="1"/>
  <c r="GA53" i="1"/>
  <c r="GK52" i="1"/>
  <c r="GL52" i="1"/>
  <c r="GM52" i="1"/>
  <c r="GN52" i="1"/>
  <c r="GO52" i="1"/>
  <c r="GP52" i="1"/>
  <c r="GQ52" i="1"/>
  <c r="GR52" i="1"/>
  <c r="GS52" i="1"/>
  <c r="GJ52" i="1"/>
  <c r="GC52" i="1"/>
  <c r="GE52" i="1"/>
  <c r="GB52" i="1"/>
  <c r="GD52" i="1"/>
  <c r="GA52" i="1"/>
  <c r="GK51" i="1"/>
  <c r="GL51" i="1"/>
  <c r="GM51" i="1"/>
  <c r="GN51" i="1"/>
  <c r="GO51" i="1"/>
  <c r="GP51" i="1"/>
  <c r="GQ51" i="1"/>
  <c r="GR51" i="1"/>
  <c r="GS51" i="1"/>
  <c r="GJ51" i="1"/>
  <c r="GC51" i="1"/>
  <c r="GE51" i="1"/>
  <c r="GB51" i="1"/>
  <c r="GD51" i="1"/>
  <c r="GA51" i="1"/>
  <c r="GK50" i="1"/>
  <c r="GL50" i="1"/>
  <c r="GM50" i="1"/>
  <c r="GN50" i="1"/>
  <c r="GO50" i="1"/>
  <c r="GP50" i="1"/>
  <c r="GQ50" i="1"/>
  <c r="GR50" i="1"/>
  <c r="GS50" i="1"/>
  <c r="GJ50" i="1"/>
  <c r="GC50" i="1"/>
  <c r="GE50" i="1"/>
  <c r="GB50" i="1"/>
  <c r="GD50" i="1"/>
  <c r="GA50" i="1"/>
  <c r="GK49" i="1"/>
  <c r="GL49" i="1"/>
  <c r="GM49" i="1"/>
  <c r="GN49" i="1"/>
  <c r="GO49" i="1"/>
  <c r="GP49" i="1"/>
  <c r="GQ49" i="1"/>
  <c r="GR49" i="1"/>
  <c r="GS49" i="1"/>
  <c r="GJ49" i="1"/>
  <c r="GC49" i="1"/>
  <c r="GE49" i="1"/>
  <c r="GB49" i="1"/>
  <c r="GD49" i="1"/>
  <c r="GA49" i="1"/>
  <c r="GK48" i="1"/>
  <c r="GL48" i="1"/>
  <c r="GM48" i="1"/>
  <c r="GN48" i="1"/>
  <c r="GO48" i="1"/>
  <c r="GP48" i="1"/>
  <c r="GQ48" i="1"/>
  <c r="GR48" i="1"/>
  <c r="GS48" i="1"/>
  <c r="GJ48" i="1"/>
  <c r="GC48" i="1"/>
  <c r="GE48" i="1"/>
  <c r="GB48" i="1"/>
  <c r="GD48" i="1"/>
  <c r="GA48" i="1"/>
  <c r="GK47" i="1"/>
  <c r="GL47" i="1"/>
  <c r="GM47" i="1"/>
  <c r="GN47" i="1"/>
  <c r="GO47" i="1"/>
  <c r="GP47" i="1"/>
  <c r="GQ47" i="1"/>
  <c r="GR47" i="1"/>
  <c r="GS47" i="1"/>
  <c r="GJ47" i="1"/>
  <c r="GC47" i="1"/>
  <c r="GE47" i="1"/>
  <c r="GB47" i="1"/>
  <c r="GD47" i="1"/>
  <c r="GA47" i="1"/>
  <c r="GK46" i="1"/>
  <c r="GL46" i="1"/>
  <c r="GM46" i="1"/>
  <c r="GN46" i="1"/>
  <c r="GO46" i="1"/>
  <c r="GP46" i="1"/>
  <c r="GQ46" i="1"/>
  <c r="GR46" i="1"/>
  <c r="GS46" i="1"/>
  <c r="GJ46" i="1"/>
  <c r="GC46" i="1"/>
  <c r="GE46" i="1"/>
  <c r="GB46" i="1"/>
  <c r="GD46" i="1"/>
  <c r="GA46" i="1"/>
  <c r="GK45" i="1"/>
  <c r="GL45" i="1"/>
  <c r="GM45" i="1"/>
  <c r="GN45" i="1"/>
  <c r="GO45" i="1"/>
  <c r="GP45" i="1"/>
  <c r="GQ45" i="1"/>
  <c r="GR45" i="1"/>
  <c r="GS45" i="1"/>
  <c r="GJ45" i="1"/>
  <c r="GC45" i="1"/>
  <c r="GE45" i="1"/>
  <c r="GB45" i="1"/>
  <c r="GD45" i="1"/>
  <c r="GA45" i="1"/>
  <c r="GK44" i="1"/>
  <c r="GL44" i="1"/>
  <c r="GM44" i="1"/>
  <c r="GN44" i="1"/>
  <c r="GO44" i="1"/>
  <c r="GP44" i="1"/>
  <c r="GQ44" i="1"/>
  <c r="GR44" i="1"/>
  <c r="GS44" i="1"/>
  <c r="GJ44" i="1"/>
  <c r="GC44" i="1"/>
  <c r="GE44" i="1"/>
  <c r="GB44" i="1"/>
  <c r="GD44" i="1"/>
  <c r="GA44" i="1"/>
  <c r="GK43" i="1"/>
  <c r="GL43" i="1"/>
  <c r="GM43" i="1"/>
  <c r="GN43" i="1"/>
  <c r="GO43" i="1"/>
  <c r="GP43" i="1"/>
  <c r="GQ43" i="1"/>
  <c r="GR43" i="1"/>
  <c r="GS43" i="1"/>
  <c r="GJ43" i="1"/>
  <c r="GC43" i="1"/>
  <c r="GE43" i="1"/>
  <c r="GB43" i="1"/>
  <c r="GD43" i="1"/>
  <c r="GA43" i="1"/>
  <c r="GK42" i="1"/>
  <c r="GL42" i="1"/>
  <c r="GM42" i="1"/>
  <c r="GN42" i="1"/>
  <c r="GO42" i="1"/>
  <c r="GP42" i="1"/>
  <c r="GQ42" i="1"/>
  <c r="GR42" i="1"/>
  <c r="GS42" i="1"/>
  <c r="GJ42" i="1"/>
  <c r="GC42" i="1"/>
  <c r="GE42" i="1"/>
  <c r="GB42" i="1"/>
  <c r="GD42" i="1"/>
  <c r="GA42" i="1"/>
  <c r="GK41" i="1"/>
  <c r="GL41" i="1"/>
  <c r="GM41" i="1"/>
  <c r="GN41" i="1"/>
  <c r="GO41" i="1"/>
  <c r="GP41" i="1"/>
  <c r="GQ41" i="1"/>
  <c r="GR41" i="1"/>
  <c r="GS41" i="1"/>
  <c r="GJ41" i="1"/>
  <c r="GC41" i="1"/>
  <c r="GE41" i="1"/>
  <c r="GB41" i="1"/>
  <c r="GD41" i="1"/>
  <c r="GA41" i="1"/>
  <c r="GK40" i="1"/>
  <c r="GL40" i="1"/>
  <c r="GM40" i="1"/>
  <c r="GN40" i="1"/>
  <c r="GO40" i="1"/>
  <c r="GP40" i="1"/>
  <c r="GQ40" i="1"/>
  <c r="GR40" i="1"/>
  <c r="GS40" i="1"/>
  <c r="GJ40" i="1"/>
  <c r="GC40" i="1"/>
  <c r="GE40" i="1"/>
  <c r="GB40" i="1"/>
  <c r="GD40" i="1"/>
  <c r="GA40" i="1"/>
  <c r="GK39" i="1"/>
  <c r="GL39" i="1"/>
  <c r="GM39" i="1"/>
  <c r="GN39" i="1"/>
  <c r="GO39" i="1"/>
  <c r="GP39" i="1"/>
  <c r="GQ39" i="1"/>
  <c r="GR39" i="1"/>
  <c r="GS39" i="1"/>
  <c r="GJ39" i="1"/>
  <c r="GC39" i="1"/>
  <c r="GE39" i="1"/>
  <c r="GB39" i="1"/>
  <c r="GD39" i="1"/>
  <c r="GA39" i="1"/>
  <c r="GK38" i="1"/>
  <c r="GL38" i="1"/>
  <c r="GM38" i="1"/>
  <c r="GN38" i="1"/>
  <c r="GO38" i="1"/>
  <c r="GP38" i="1"/>
  <c r="GQ38" i="1"/>
  <c r="GR38" i="1"/>
  <c r="GS38" i="1"/>
  <c r="GJ38" i="1"/>
  <c r="GC38" i="1"/>
  <c r="GE38" i="1"/>
  <c r="GB38" i="1"/>
  <c r="GD38" i="1"/>
  <c r="GA38" i="1"/>
  <c r="GK37" i="1"/>
  <c r="GL37" i="1"/>
  <c r="GM37" i="1"/>
  <c r="GN37" i="1"/>
  <c r="GO37" i="1"/>
  <c r="GP37" i="1"/>
  <c r="GQ37" i="1"/>
  <c r="GR37" i="1"/>
  <c r="GS37" i="1"/>
  <c r="GJ37" i="1"/>
  <c r="GC37" i="1"/>
  <c r="GE37" i="1"/>
  <c r="GB37" i="1"/>
  <c r="GD37" i="1"/>
  <c r="GA37" i="1"/>
  <c r="GK36" i="1"/>
  <c r="GL36" i="1"/>
  <c r="GM36" i="1"/>
  <c r="GN36" i="1"/>
  <c r="GO36" i="1"/>
  <c r="GP36" i="1"/>
  <c r="GQ36" i="1"/>
  <c r="GR36" i="1"/>
  <c r="GS36" i="1"/>
  <c r="GJ36" i="1"/>
  <c r="GC36" i="1"/>
  <c r="GE36" i="1"/>
  <c r="GB36" i="1"/>
  <c r="GD36" i="1"/>
  <c r="GA36" i="1"/>
  <c r="GK35" i="1"/>
  <c r="GL35" i="1"/>
  <c r="GM35" i="1"/>
  <c r="GN35" i="1"/>
  <c r="GO35" i="1"/>
  <c r="GP35" i="1"/>
  <c r="GQ35" i="1"/>
  <c r="GR35" i="1"/>
  <c r="GS35" i="1"/>
  <c r="GJ35" i="1"/>
  <c r="GC35" i="1"/>
  <c r="GE35" i="1"/>
  <c r="GB35" i="1"/>
  <c r="GD35" i="1"/>
  <c r="GA35" i="1"/>
  <c r="GK34" i="1"/>
  <c r="GL34" i="1"/>
  <c r="GM34" i="1"/>
  <c r="GN34" i="1"/>
  <c r="GO34" i="1"/>
  <c r="GP34" i="1"/>
  <c r="GQ34" i="1"/>
  <c r="GR34" i="1"/>
  <c r="GS34" i="1"/>
  <c r="GJ34" i="1"/>
  <c r="GC34" i="1"/>
  <c r="GE34" i="1"/>
  <c r="GB34" i="1"/>
  <c r="GD34" i="1"/>
  <c r="GA34" i="1"/>
  <c r="GK33" i="1"/>
  <c r="GL33" i="1"/>
  <c r="GM33" i="1"/>
  <c r="GN33" i="1"/>
  <c r="GO33" i="1"/>
  <c r="GP33" i="1"/>
  <c r="GQ33" i="1"/>
  <c r="GR33" i="1"/>
  <c r="GS33" i="1"/>
  <c r="GJ33" i="1"/>
  <c r="GC33" i="1"/>
  <c r="GE33" i="1"/>
  <c r="GB33" i="1"/>
  <c r="GD33" i="1"/>
  <c r="GA33" i="1"/>
  <c r="GK32" i="1"/>
  <c r="GL32" i="1"/>
  <c r="GM32" i="1"/>
  <c r="GN32" i="1"/>
  <c r="GO32" i="1"/>
  <c r="GP32" i="1"/>
  <c r="GQ32" i="1"/>
  <c r="GR32" i="1"/>
  <c r="GS32" i="1"/>
  <c r="GJ32" i="1"/>
  <c r="GC32" i="1"/>
  <c r="GE32" i="1"/>
  <c r="GB32" i="1"/>
  <c r="GD32" i="1"/>
  <c r="GA32" i="1"/>
  <c r="GK31" i="1"/>
  <c r="GL31" i="1"/>
  <c r="GM31" i="1"/>
  <c r="GN31" i="1"/>
  <c r="GO31" i="1"/>
  <c r="GP31" i="1"/>
  <c r="GQ31" i="1"/>
  <c r="GR31" i="1"/>
  <c r="GS31" i="1"/>
  <c r="GJ31" i="1"/>
  <c r="GC31" i="1"/>
  <c r="GE31" i="1"/>
  <c r="GB31" i="1"/>
  <c r="GD31" i="1"/>
  <c r="GA31" i="1"/>
  <c r="GK30" i="1"/>
  <c r="GL30" i="1"/>
  <c r="GM30" i="1"/>
  <c r="GN30" i="1"/>
  <c r="GO30" i="1"/>
  <c r="GP30" i="1"/>
  <c r="GQ30" i="1"/>
  <c r="GR30" i="1"/>
  <c r="GS30" i="1"/>
  <c r="GJ30" i="1"/>
  <c r="GC30" i="1"/>
  <c r="GE30" i="1"/>
  <c r="GB30" i="1"/>
  <c r="GD30" i="1"/>
  <c r="GA30" i="1"/>
  <c r="GK29" i="1"/>
  <c r="GL29" i="1"/>
  <c r="GM29" i="1"/>
  <c r="GN29" i="1"/>
  <c r="GO29" i="1"/>
  <c r="GP29" i="1"/>
  <c r="GQ29" i="1"/>
  <c r="GR29" i="1"/>
  <c r="GS29" i="1"/>
  <c r="GJ29" i="1"/>
  <c r="GC29" i="1"/>
  <c r="GE29" i="1"/>
  <c r="GB29" i="1"/>
  <c r="GD29" i="1"/>
  <c r="GA29" i="1"/>
  <c r="GK28" i="1"/>
  <c r="GL28" i="1"/>
  <c r="GM28" i="1"/>
  <c r="GN28" i="1"/>
  <c r="GO28" i="1"/>
  <c r="GP28" i="1"/>
  <c r="GQ28" i="1"/>
  <c r="GR28" i="1"/>
  <c r="GS28" i="1"/>
  <c r="GJ28" i="1"/>
  <c r="GC28" i="1"/>
  <c r="GE28" i="1"/>
  <c r="GB28" i="1"/>
  <c r="GD28" i="1"/>
  <c r="GA28" i="1"/>
  <c r="GK27" i="1"/>
  <c r="GL27" i="1"/>
  <c r="GM27" i="1"/>
  <c r="GN27" i="1"/>
  <c r="GO27" i="1"/>
  <c r="GP27" i="1"/>
  <c r="GQ27" i="1"/>
  <c r="GR27" i="1"/>
  <c r="GS27" i="1"/>
  <c r="GJ27" i="1"/>
  <c r="GC27" i="1"/>
  <c r="GE27" i="1"/>
  <c r="GB27" i="1"/>
  <c r="GD27" i="1"/>
  <c r="GA27" i="1"/>
  <c r="GK26" i="1"/>
  <c r="GL26" i="1"/>
  <c r="GM26" i="1"/>
  <c r="GN26" i="1"/>
  <c r="GO26" i="1"/>
  <c r="GP26" i="1"/>
  <c r="GQ26" i="1"/>
  <c r="GR26" i="1"/>
  <c r="GS26" i="1"/>
  <c r="GJ26" i="1"/>
  <c r="GC26" i="1"/>
  <c r="GE26" i="1"/>
  <c r="GB26" i="1"/>
  <c r="GD26" i="1"/>
  <c r="GA26" i="1"/>
  <c r="GK25" i="1"/>
  <c r="GL25" i="1"/>
  <c r="GM25" i="1"/>
  <c r="GN25" i="1"/>
  <c r="GO25" i="1"/>
  <c r="GP25" i="1"/>
  <c r="GQ25" i="1"/>
  <c r="GR25" i="1"/>
  <c r="GS25" i="1"/>
  <c r="GJ25" i="1"/>
  <c r="GC25" i="1"/>
  <c r="GE25" i="1"/>
  <c r="GB25" i="1"/>
  <c r="GD25" i="1"/>
  <c r="GA25" i="1"/>
  <c r="GK24" i="1"/>
  <c r="GL24" i="1"/>
  <c r="GM24" i="1"/>
  <c r="GN24" i="1"/>
  <c r="GO24" i="1"/>
  <c r="GP24" i="1"/>
  <c r="GQ24" i="1"/>
  <c r="GR24" i="1"/>
  <c r="GS24" i="1"/>
  <c r="GJ24" i="1"/>
  <c r="GC24" i="1"/>
  <c r="GE24" i="1"/>
  <c r="GB24" i="1"/>
  <c r="GD24" i="1"/>
  <c r="GA24" i="1"/>
  <c r="GK23" i="1"/>
  <c r="GL23" i="1"/>
  <c r="GM23" i="1"/>
  <c r="GN23" i="1"/>
  <c r="GO23" i="1"/>
  <c r="GP23" i="1"/>
  <c r="GQ23" i="1"/>
  <c r="GR23" i="1"/>
  <c r="GS23" i="1"/>
  <c r="GJ23" i="1"/>
  <c r="GC23" i="1"/>
  <c r="GE23" i="1"/>
  <c r="GB23" i="1"/>
  <c r="GD23" i="1"/>
  <c r="GA23" i="1"/>
  <c r="GK22" i="1"/>
  <c r="GL22" i="1"/>
  <c r="GM22" i="1"/>
  <c r="GN22" i="1"/>
  <c r="GO22" i="1"/>
  <c r="GP22" i="1"/>
  <c r="GQ22" i="1"/>
  <c r="GR22" i="1"/>
  <c r="GS22" i="1"/>
  <c r="GJ22" i="1"/>
  <c r="GC22" i="1"/>
  <c r="GE22" i="1"/>
  <c r="GB22" i="1"/>
  <c r="GD22" i="1"/>
  <c r="GA22" i="1"/>
  <c r="GK21" i="1"/>
  <c r="GL21" i="1"/>
  <c r="GM21" i="1"/>
  <c r="GN21" i="1"/>
  <c r="GO21" i="1"/>
  <c r="GP21" i="1"/>
  <c r="GQ21" i="1"/>
  <c r="GR21" i="1"/>
  <c r="GS21" i="1"/>
  <c r="GJ21" i="1"/>
  <c r="GC21" i="1"/>
  <c r="GE21" i="1"/>
  <c r="GB21" i="1"/>
  <c r="GD21" i="1"/>
  <c r="GA21" i="1"/>
  <c r="GK20" i="1"/>
  <c r="GL20" i="1"/>
  <c r="GM20" i="1"/>
  <c r="GN20" i="1"/>
  <c r="GO20" i="1"/>
  <c r="GP20" i="1"/>
  <c r="GQ20" i="1"/>
  <c r="GR20" i="1"/>
  <c r="GS20" i="1"/>
  <c r="GJ20" i="1"/>
  <c r="GC20" i="1"/>
  <c r="GE20" i="1"/>
  <c r="GB20" i="1"/>
  <c r="GD20" i="1"/>
  <c r="GA20" i="1"/>
  <c r="GK19" i="1"/>
  <c r="GL19" i="1"/>
  <c r="GM19" i="1"/>
  <c r="GN19" i="1"/>
  <c r="GO19" i="1"/>
  <c r="GP19" i="1"/>
  <c r="GQ19" i="1"/>
  <c r="GR19" i="1"/>
  <c r="GS19" i="1"/>
  <c r="GJ19" i="1"/>
  <c r="GC19" i="1"/>
  <c r="GE19" i="1"/>
  <c r="GB19" i="1"/>
  <c r="GD19" i="1"/>
  <c r="GA19" i="1"/>
  <c r="GK18" i="1"/>
  <c r="GL18" i="1"/>
  <c r="GM18" i="1"/>
  <c r="GN18" i="1"/>
  <c r="GO18" i="1"/>
  <c r="GP18" i="1"/>
  <c r="GQ18" i="1"/>
  <c r="GR18" i="1"/>
  <c r="GS18" i="1"/>
  <c r="GJ18" i="1"/>
  <c r="GC18" i="1"/>
  <c r="GE18" i="1"/>
  <c r="GB18" i="1"/>
  <c r="GD18" i="1"/>
  <c r="GA18" i="1"/>
  <c r="GK17" i="1"/>
  <c r="GL17" i="1"/>
  <c r="GM17" i="1"/>
  <c r="GN17" i="1"/>
  <c r="GO17" i="1"/>
  <c r="GP17" i="1"/>
  <c r="GQ17" i="1"/>
  <c r="GR17" i="1"/>
  <c r="GS17" i="1"/>
  <c r="GJ17" i="1"/>
  <c r="GC17" i="1"/>
  <c r="GE17" i="1"/>
  <c r="GB17" i="1"/>
  <c r="GD17" i="1"/>
  <c r="GA17" i="1"/>
  <c r="GK16" i="1"/>
  <c r="GL16" i="1"/>
  <c r="GM16" i="1"/>
  <c r="GN16" i="1"/>
  <c r="GO16" i="1"/>
  <c r="GP16" i="1"/>
  <c r="GQ16" i="1"/>
  <c r="GR16" i="1"/>
  <c r="GS16" i="1"/>
  <c r="GJ16" i="1"/>
  <c r="GC16" i="1"/>
  <c r="GE16" i="1"/>
  <c r="GB16" i="1"/>
  <c r="GD16" i="1"/>
  <c r="GA16" i="1"/>
  <c r="GK15" i="1"/>
  <c r="GL15" i="1"/>
  <c r="GM15" i="1"/>
  <c r="GN15" i="1"/>
  <c r="GO15" i="1"/>
  <c r="GP15" i="1"/>
  <c r="GQ15" i="1"/>
  <c r="GR15" i="1"/>
  <c r="GS15" i="1"/>
  <c r="GJ15" i="1"/>
  <c r="GC15" i="1"/>
  <c r="GE15" i="1"/>
  <c r="GB15" i="1"/>
  <c r="GD15" i="1"/>
  <c r="GA15" i="1"/>
  <c r="GK14" i="1"/>
  <c r="GL14" i="1"/>
  <c r="GM14" i="1"/>
  <c r="GN14" i="1"/>
  <c r="GO14" i="1"/>
  <c r="GP14" i="1"/>
  <c r="GQ14" i="1"/>
  <c r="GR14" i="1"/>
  <c r="GS14" i="1"/>
  <c r="GJ14" i="1"/>
  <c r="GC14" i="1"/>
  <c r="GE14" i="1"/>
  <c r="GB14" i="1"/>
  <c r="GD14" i="1"/>
  <c r="GA14" i="1"/>
  <c r="GK13" i="1"/>
  <c r="GL13" i="1"/>
  <c r="GM13" i="1"/>
  <c r="GN13" i="1"/>
  <c r="GO13" i="1"/>
  <c r="GP13" i="1"/>
  <c r="GQ13" i="1"/>
  <c r="GR13" i="1"/>
  <c r="GS13" i="1"/>
  <c r="GJ13" i="1"/>
  <c r="GC13" i="1"/>
  <c r="GE13" i="1"/>
  <c r="GB13" i="1"/>
  <c r="GD13" i="1"/>
  <c r="GA13" i="1"/>
  <c r="GK12" i="1"/>
  <c r="GL12" i="1"/>
  <c r="GM12" i="1"/>
  <c r="GN12" i="1"/>
  <c r="GO12" i="1"/>
  <c r="GP12" i="1"/>
  <c r="GQ12" i="1"/>
  <c r="GR12" i="1"/>
  <c r="GS12" i="1"/>
  <c r="GJ12" i="1"/>
  <c r="GC12" i="1"/>
  <c r="GE12" i="1"/>
  <c r="GB12" i="1"/>
  <c r="GD12" i="1"/>
  <c r="GK11" i="1"/>
  <c r="GL11" i="1"/>
  <c r="GM11" i="1"/>
  <c r="GN11" i="1"/>
  <c r="GO11" i="1"/>
  <c r="GP11" i="1"/>
  <c r="GQ11" i="1"/>
  <c r="GR11" i="1"/>
  <c r="GS11" i="1"/>
  <c r="GJ11" i="1"/>
  <c r="GC11" i="1"/>
  <c r="GE11" i="1"/>
  <c r="GB11" i="1"/>
  <c r="GD11" i="1"/>
  <c r="GK10" i="1"/>
  <c r="GL10" i="1"/>
  <c r="GM10" i="1"/>
  <c r="GN10" i="1"/>
  <c r="GO10" i="1"/>
  <c r="GP10" i="1"/>
  <c r="GQ10" i="1"/>
  <c r="GR10" i="1"/>
  <c r="GS10" i="1"/>
  <c r="GJ10" i="1"/>
  <c r="GC10" i="1"/>
  <c r="GE10" i="1"/>
  <c r="GB10" i="1"/>
  <c r="GD10" i="1"/>
  <c r="GK9" i="1"/>
  <c r="GL9" i="1"/>
  <c r="GM9" i="1"/>
  <c r="GN9" i="1"/>
  <c r="GO9" i="1"/>
  <c r="GP9" i="1"/>
  <c r="GQ9" i="1"/>
  <c r="GR9" i="1"/>
  <c r="GS9" i="1"/>
  <c r="GJ9" i="1"/>
  <c r="GC9" i="1"/>
  <c r="GE9" i="1"/>
  <c r="GB9" i="1"/>
  <c r="GD9" i="1"/>
  <c r="GA9" i="1"/>
  <c r="GK8" i="1"/>
  <c r="GL8" i="1"/>
  <c r="GM8" i="1"/>
  <c r="GN8" i="1"/>
  <c r="GO8" i="1"/>
  <c r="GP8" i="1"/>
  <c r="GQ8" i="1"/>
  <c r="GR8" i="1"/>
  <c r="GS8" i="1"/>
  <c r="GJ8" i="1"/>
  <c r="GC8" i="1"/>
  <c r="GE8" i="1"/>
  <c r="GB8" i="1"/>
  <c r="GD8" i="1"/>
  <c r="GA8" i="1"/>
  <c r="GK7" i="1"/>
  <c r="GL7" i="1"/>
  <c r="GM7" i="1"/>
  <c r="GN7" i="1"/>
  <c r="GO7" i="1"/>
  <c r="GP7" i="1"/>
  <c r="GQ7" i="1"/>
  <c r="GR7" i="1"/>
  <c r="GS7" i="1"/>
  <c r="GJ7" i="1"/>
  <c r="GC7" i="1"/>
  <c r="GE7" i="1"/>
  <c r="GB7" i="1"/>
  <c r="GD7" i="1"/>
  <c r="AW7" i="1"/>
  <c r="CB7" i="1"/>
  <c r="CI7" i="1"/>
  <c r="DJ7" i="1"/>
  <c r="DK7" i="1"/>
  <c r="DL7" i="1"/>
  <c r="DM7" i="1"/>
  <c r="DO7" i="1"/>
  <c r="DP7" i="1"/>
  <c r="DQ7" i="1"/>
  <c r="DR7" i="1"/>
  <c r="DS7" i="1"/>
  <c r="DT7" i="1"/>
  <c r="DU7" i="1"/>
  <c r="DV7" i="1"/>
  <c r="DW7" i="1"/>
  <c r="DX7" i="1"/>
  <c r="DY7" i="1"/>
  <c r="DZ7" i="1"/>
  <c r="EB7" i="1"/>
  <c r="EL7" i="1"/>
  <c r="EV7" i="1"/>
  <c r="FC7" i="1"/>
  <c r="FD7" i="1"/>
  <c r="FH7" i="1"/>
  <c r="FQ7" i="1"/>
  <c r="FR7" i="1"/>
  <c r="FV7" i="1"/>
  <c r="FW7" i="1"/>
  <c r="FX7" i="1"/>
  <c r="AW8" i="1"/>
  <c r="CB8" i="1"/>
  <c r="CI8" i="1"/>
  <c r="DJ8" i="1"/>
  <c r="DK8" i="1"/>
  <c r="DL8" i="1"/>
  <c r="DM8" i="1"/>
  <c r="DO8" i="1"/>
  <c r="DP8" i="1"/>
  <c r="DQ8" i="1"/>
  <c r="DR8" i="1"/>
  <c r="DS8" i="1"/>
  <c r="DT8" i="1"/>
  <c r="DU8" i="1"/>
  <c r="DV8" i="1"/>
  <c r="DW8" i="1"/>
  <c r="DX8" i="1"/>
  <c r="DY8" i="1"/>
  <c r="DZ8" i="1"/>
  <c r="EB8" i="1"/>
  <c r="EL8" i="1"/>
  <c r="EV8" i="1"/>
  <c r="FC8" i="1"/>
  <c r="FD8" i="1"/>
  <c r="FH8" i="1"/>
  <c r="FQ8" i="1"/>
  <c r="FR8" i="1"/>
  <c r="FV8" i="1"/>
  <c r="FW8" i="1"/>
  <c r="FX8" i="1"/>
  <c r="AW9" i="1"/>
  <c r="CB9" i="1"/>
  <c r="CI9" i="1"/>
  <c r="DJ9" i="1"/>
  <c r="DK9" i="1"/>
  <c r="DL9" i="1"/>
  <c r="DM9" i="1"/>
  <c r="DO9" i="1"/>
  <c r="DP9" i="1"/>
  <c r="DQ9" i="1"/>
  <c r="DR9" i="1"/>
  <c r="DS9" i="1"/>
  <c r="DT9" i="1"/>
  <c r="DU9" i="1"/>
  <c r="DV9" i="1"/>
  <c r="DW9" i="1"/>
  <c r="DX9" i="1"/>
  <c r="DY9" i="1"/>
  <c r="DZ9" i="1"/>
  <c r="EB9" i="1"/>
  <c r="EL9" i="1"/>
  <c r="EV9" i="1"/>
  <c r="FC9" i="1"/>
  <c r="FD9" i="1"/>
  <c r="FH9" i="1"/>
  <c r="FQ9" i="1"/>
  <c r="FR9" i="1"/>
  <c r="FV9" i="1"/>
  <c r="FW9" i="1"/>
  <c r="FX9" i="1"/>
  <c r="AW10" i="1"/>
  <c r="CB10" i="1"/>
  <c r="CI10" i="1"/>
  <c r="DJ10" i="1"/>
  <c r="DK10" i="1"/>
  <c r="DL10" i="1"/>
  <c r="DM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B10" i="1"/>
  <c r="EL10" i="1"/>
  <c r="EV10" i="1"/>
  <c r="FC10" i="1"/>
  <c r="FD10" i="1"/>
  <c r="FH10" i="1"/>
  <c r="FQ10" i="1"/>
  <c r="FR10" i="1"/>
  <c r="FV10" i="1"/>
  <c r="FW10" i="1"/>
  <c r="FX10" i="1"/>
  <c r="AW11" i="1"/>
  <c r="CB11" i="1"/>
  <c r="CI11" i="1"/>
  <c r="DJ11" i="1"/>
  <c r="DK11" i="1"/>
  <c r="DL11" i="1"/>
  <c r="DM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B11" i="1"/>
  <c r="EL11" i="1"/>
  <c r="EV11" i="1"/>
  <c r="FC11" i="1"/>
  <c r="FD11" i="1"/>
  <c r="FH11" i="1"/>
  <c r="FQ11" i="1"/>
  <c r="FR11" i="1"/>
  <c r="FV11" i="1"/>
  <c r="FW11" i="1"/>
  <c r="FX11" i="1"/>
  <c r="AW12" i="1"/>
  <c r="CB12" i="1"/>
  <c r="CI12" i="1"/>
  <c r="DJ12" i="1"/>
  <c r="DK12" i="1"/>
  <c r="DL12" i="1"/>
  <c r="DM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B12" i="1"/>
  <c r="EL12" i="1"/>
  <c r="EV12" i="1"/>
  <c r="FC12" i="1"/>
  <c r="FD12" i="1"/>
  <c r="FH12" i="1"/>
  <c r="FQ12" i="1"/>
  <c r="FR12" i="1"/>
  <c r="FV12" i="1"/>
  <c r="FW12" i="1"/>
  <c r="FX12" i="1"/>
  <c r="AW13" i="1"/>
  <c r="CB13" i="1"/>
  <c r="CI13" i="1"/>
  <c r="DJ13" i="1"/>
  <c r="DK13" i="1"/>
  <c r="DL13" i="1"/>
  <c r="DM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B13" i="1"/>
  <c r="EL13" i="1"/>
  <c r="EV13" i="1"/>
  <c r="FC13" i="1"/>
  <c r="FD13" i="1"/>
  <c r="FH13" i="1"/>
  <c r="FQ13" i="1"/>
  <c r="FR13" i="1"/>
  <c r="FV13" i="1"/>
  <c r="FW13" i="1"/>
  <c r="FX13" i="1"/>
  <c r="AW14" i="1"/>
  <c r="CB14" i="1"/>
  <c r="CI14" i="1"/>
  <c r="DJ14" i="1"/>
  <c r="DK14" i="1"/>
  <c r="DL14" i="1"/>
  <c r="DM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B14" i="1"/>
  <c r="EL14" i="1"/>
  <c r="EV14" i="1"/>
  <c r="FC14" i="1"/>
  <c r="FD14" i="1"/>
  <c r="FH14" i="1"/>
  <c r="FQ14" i="1"/>
  <c r="FR14" i="1"/>
  <c r="FV14" i="1"/>
  <c r="FW14" i="1"/>
  <c r="FX14" i="1"/>
  <c r="AW15" i="1"/>
  <c r="CB15" i="1"/>
  <c r="CI15" i="1"/>
  <c r="DJ15" i="1"/>
  <c r="DK15" i="1"/>
  <c r="DL15" i="1"/>
  <c r="DM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B15" i="1"/>
  <c r="EL15" i="1"/>
  <c r="EV15" i="1"/>
  <c r="FC15" i="1"/>
  <c r="FD15" i="1"/>
  <c r="FH15" i="1"/>
  <c r="FQ15" i="1"/>
  <c r="FR15" i="1"/>
  <c r="FV15" i="1"/>
  <c r="FW15" i="1"/>
  <c r="FX15" i="1"/>
  <c r="AW16" i="1"/>
  <c r="CB16" i="1"/>
  <c r="CI16" i="1"/>
  <c r="DJ16" i="1"/>
  <c r="DK16" i="1"/>
  <c r="DL16" i="1"/>
  <c r="DM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B16" i="1"/>
  <c r="EL16" i="1"/>
  <c r="EV16" i="1"/>
  <c r="FC16" i="1"/>
  <c r="FD16" i="1"/>
  <c r="FH16" i="1"/>
  <c r="FQ16" i="1"/>
  <c r="FR16" i="1"/>
  <c r="FV16" i="1"/>
  <c r="FW16" i="1"/>
  <c r="FX16" i="1"/>
  <c r="AW17" i="1"/>
  <c r="CB17" i="1"/>
  <c r="CI17" i="1"/>
  <c r="DJ17" i="1"/>
  <c r="DK17" i="1"/>
  <c r="DL17" i="1"/>
  <c r="DM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B17" i="1"/>
  <c r="EL17" i="1"/>
  <c r="EV17" i="1"/>
  <c r="FC17" i="1"/>
  <c r="FD17" i="1"/>
  <c r="FH17" i="1"/>
  <c r="FQ17" i="1"/>
  <c r="FR17" i="1"/>
  <c r="FV17" i="1"/>
  <c r="FW17" i="1"/>
  <c r="FX17" i="1"/>
  <c r="AW18" i="1"/>
  <c r="CB18" i="1"/>
  <c r="CI18" i="1"/>
  <c r="DJ18" i="1"/>
  <c r="DK18" i="1"/>
  <c r="DL18" i="1"/>
  <c r="DM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B18" i="1"/>
  <c r="EL18" i="1"/>
  <c r="EV18" i="1"/>
  <c r="FC18" i="1"/>
  <c r="FD18" i="1"/>
  <c r="FH18" i="1"/>
  <c r="FQ18" i="1"/>
  <c r="FR18" i="1"/>
  <c r="FV18" i="1"/>
  <c r="FW18" i="1"/>
  <c r="FX18" i="1"/>
  <c r="AW19" i="1"/>
  <c r="CB19" i="1"/>
  <c r="CI19" i="1"/>
  <c r="DJ19" i="1"/>
  <c r="DK19" i="1"/>
  <c r="DL19" i="1"/>
  <c r="DM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B19" i="1"/>
  <c r="EL19" i="1"/>
  <c r="EV19" i="1"/>
  <c r="FC19" i="1"/>
  <c r="FD19" i="1"/>
  <c r="FH19" i="1"/>
  <c r="FQ19" i="1"/>
  <c r="FR19" i="1"/>
  <c r="FV19" i="1"/>
  <c r="FW19" i="1"/>
  <c r="FX19" i="1"/>
  <c r="AW20" i="1"/>
  <c r="CB20" i="1"/>
  <c r="CI20" i="1"/>
  <c r="DJ20" i="1"/>
  <c r="DK20" i="1"/>
  <c r="DL20" i="1"/>
  <c r="DM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B20" i="1"/>
  <c r="EL20" i="1"/>
  <c r="EV20" i="1"/>
  <c r="FC20" i="1"/>
  <c r="FD20" i="1"/>
  <c r="FH20" i="1"/>
  <c r="FQ20" i="1"/>
  <c r="FR20" i="1"/>
  <c r="FV20" i="1"/>
  <c r="FW20" i="1"/>
  <c r="FX20" i="1"/>
  <c r="AW21" i="1"/>
  <c r="CB21" i="1"/>
  <c r="CI21" i="1"/>
  <c r="DJ21" i="1"/>
  <c r="DK21" i="1"/>
  <c r="DL21" i="1"/>
  <c r="DM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B21" i="1"/>
  <c r="EL21" i="1"/>
  <c r="EV21" i="1"/>
  <c r="FC21" i="1"/>
  <c r="FD21" i="1"/>
  <c r="FH21" i="1"/>
  <c r="FQ21" i="1"/>
  <c r="FR21" i="1"/>
  <c r="FV21" i="1"/>
  <c r="FW21" i="1"/>
  <c r="FX21" i="1"/>
  <c r="AW22" i="1"/>
  <c r="CB22" i="1"/>
  <c r="CI22" i="1"/>
  <c r="DJ22" i="1"/>
  <c r="DK22" i="1"/>
  <c r="DL22" i="1"/>
  <c r="DM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B22" i="1"/>
  <c r="EL22" i="1"/>
  <c r="EV22" i="1"/>
  <c r="FC22" i="1"/>
  <c r="FD22" i="1"/>
  <c r="FH22" i="1"/>
  <c r="FQ22" i="1"/>
  <c r="FR22" i="1"/>
  <c r="FV22" i="1"/>
  <c r="FW22" i="1"/>
  <c r="FX22" i="1"/>
  <c r="AW23" i="1"/>
  <c r="CB23" i="1"/>
  <c r="CI23" i="1"/>
  <c r="DJ23" i="1"/>
  <c r="DK23" i="1"/>
  <c r="DL23" i="1"/>
  <c r="DM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B23" i="1"/>
  <c r="EL23" i="1"/>
  <c r="EV23" i="1"/>
  <c r="FC23" i="1"/>
  <c r="FD23" i="1"/>
  <c r="FH23" i="1"/>
  <c r="FQ23" i="1"/>
  <c r="FR23" i="1"/>
  <c r="FV23" i="1"/>
  <c r="FW23" i="1"/>
  <c r="FX23" i="1"/>
  <c r="AW24" i="1"/>
  <c r="CB24" i="1"/>
  <c r="CI24" i="1"/>
  <c r="DJ24" i="1"/>
  <c r="DK24" i="1"/>
  <c r="DL24" i="1"/>
  <c r="DM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B24" i="1"/>
  <c r="EL24" i="1"/>
  <c r="EV24" i="1"/>
  <c r="FC24" i="1"/>
  <c r="FD24" i="1"/>
  <c r="FH24" i="1"/>
  <c r="FQ24" i="1"/>
  <c r="FR24" i="1"/>
  <c r="FV24" i="1"/>
  <c r="FW24" i="1"/>
  <c r="FX24" i="1"/>
  <c r="AW25" i="1"/>
  <c r="CB25" i="1"/>
  <c r="CI25" i="1"/>
  <c r="DJ25" i="1"/>
  <c r="DK25" i="1"/>
  <c r="DL25" i="1"/>
  <c r="DM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B25" i="1"/>
  <c r="EL25" i="1"/>
  <c r="EV25" i="1"/>
  <c r="FC25" i="1"/>
  <c r="FD25" i="1"/>
  <c r="FH25" i="1"/>
  <c r="FQ25" i="1"/>
  <c r="FR25" i="1"/>
  <c r="FV25" i="1"/>
  <c r="FW25" i="1"/>
  <c r="FX25" i="1"/>
  <c r="AW26" i="1"/>
  <c r="CB26" i="1"/>
  <c r="CI26" i="1"/>
  <c r="DJ26" i="1"/>
  <c r="DK26" i="1"/>
  <c r="DL26" i="1"/>
  <c r="DM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B26" i="1"/>
  <c r="EL26" i="1"/>
  <c r="EV26" i="1"/>
  <c r="FC26" i="1"/>
  <c r="FD26" i="1"/>
  <c r="FH26" i="1"/>
  <c r="FQ26" i="1"/>
  <c r="FR26" i="1"/>
  <c r="FV26" i="1"/>
  <c r="FW26" i="1"/>
  <c r="FX26" i="1"/>
  <c r="AW27" i="1"/>
  <c r="CB27" i="1"/>
  <c r="CI27" i="1"/>
  <c r="DJ27" i="1"/>
  <c r="DK27" i="1"/>
  <c r="DL27" i="1"/>
  <c r="DM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B27" i="1"/>
  <c r="EL27" i="1"/>
  <c r="EV27" i="1"/>
  <c r="FC27" i="1"/>
  <c r="FD27" i="1"/>
  <c r="FH27" i="1"/>
  <c r="FQ27" i="1"/>
  <c r="FR27" i="1"/>
  <c r="FV27" i="1"/>
  <c r="FW27" i="1"/>
  <c r="FX27" i="1"/>
  <c r="AW28" i="1"/>
  <c r="CB28" i="1"/>
  <c r="CI28" i="1"/>
  <c r="DJ28" i="1"/>
  <c r="DK28" i="1"/>
  <c r="DL28" i="1"/>
  <c r="DM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B28" i="1"/>
  <c r="EL28" i="1"/>
  <c r="EV28" i="1"/>
  <c r="FC28" i="1"/>
  <c r="FD28" i="1"/>
  <c r="FH28" i="1"/>
  <c r="FQ28" i="1"/>
  <c r="FR28" i="1"/>
  <c r="FV28" i="1"/>
  <c r="FW28" i="1"/>
  <c r="FX28" i="1"/>
  <c r="AW29" i="1"/>
  <c r="CB29" i="1"/>
  <c r="CI29" i="1"/>
  <c r="DJ29" i="1"/>
  <c r="DK29" i="1"/>
  <c r="DL29" i="1"/>
  <c r="DM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B29" i="1"/>
  <c r="EL29" i="1"/>
  <c r="EV29" i="1"/>
  <c r="FC29" i="1"/>
  <c r="FD29" i="1"/>
  <c r="FH29" i="1"/>
  <c r="FQ29" i="1"/>
  <c r="FR29" i="1"/>
  <c r="FV29" i="1"/>
  <c r="FW29" i="1"/>
  <c r="FX29" i="1"/>
  <c r="AW30" i="1"/>
  <c r="CB30" i="1"/>
  <c r="CI30" i="1"/>
  <c r="DJ30" i="1"/>
  <c r="DK30" i="1"/>
  <c r="DL30" i="1"/>
  <c r="DM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B30" i="1"/>
  <c r="EL30" i="1"/>
  <c r="EV30" i="1"/>
  <c r="FC30" i="1"/>
  <c r="FD30" i="1"/>
  <c r="FH30" i="1"/>
  <c r="FQ30" i="1"/>
  <c r="FR30" i="1"/>
  <c r="FV30" i="1"/>
  <c r="FW30" i="1"/>
  <c r="FX30" i="1"/>
  <c r="AW31" i="1"/>
  <c r="CB31" i="1"/>
  <c r="CI31" i="1"/>
  <c r="DJ31" i="1"/>
  <c r="DK31" i="1"/>
  <c r="DL31" i="1"/>
  <c r="DM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B31" i="1"/>
  <c r="EL31" i="1"/>
  <c r="EV31" i="1"/>
  <c r="FC31" i="1"/>
  <c r="FD31" i="1"/>
  <c r="FH31" i="1"/>
  <c r="FQ31" i="1"/>
  <c r="FR31" i="1"/>
  <c r="FV31" i="1"/>
  <c r="FW31" i="1"/>
  <c r="FX31" i="1"/>
  <c r="AW32" i="1"/>
  <c r="CB32" i="1"/>
  <c r="CI32" i="1"/>
  <c r="DJ32" i="1"/>
  <c r="DK32" i="1"/>
  <c r="DL32" i="1"/>
  <c r="DM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B32" i="1"/>
  <c r="EL32" i="1"/>
  <c r="EV32" i="1"/>
  <c r="FC32" i="1"/>
  <c r="FD32" i="1"/>
  <c r="FH32" i="1"/>
  <c r="FQ32" i="1"/>
  <c r="FR32" i="1"/>
  <c r="FV32" i="1"/>
  <c r="FW32" i="1"/>
  <c r="FX32" i="1"/>
  <c r="AW33" i="1"/>
  <c r="CB33" i="1"/>
  <c r="CI33" i="1"/>
  <c r="DJ33" i="1"/>
  <c r="DK33" i="1"/>
  <c r="DL33" i="1"/>
  <c r="DM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B33" i="1"/>
  <c r="EL33" i="1"/>
  <c r="EV33" i="1"/>
  <c r="FC33" i="1"/>
  <c r="FD33" i="1"/>
  <c r="FH33" i="1"/>
  <c r="FQ33" i="1"/>
  <c r="FR33" i="1"/>
  <c r="FV33" i="1"/>
  <c r="FW33" i="1"/>
  <c r="FX33" i="1"/>
  <c r="AW34" i="1"/>
  <c r="CB34" i="1"/>
  <c r="CI34" i="1"/>
  <c r="DJ34" i="1"/>
  <c r="DK34" i="1"/>
  <c r="DL34" i="1"/>
  <c r="DM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B34" i="1"/>
  <c r="EL34" i="1"/>
  <c r="EV34" i="1"/>
  <c r="FC34" i="1"/>
  <c r="FD34" i="1"/>
  <c r="FH34" i="1"/>
  <c r="FQ34" i="1"/>
  <c r="FR34" i="1"/>
  <c r="FV34" i="1"/>
  <c r="FW34" i="1"/>
  <c r="FX34" i="1"/>
  <c r="AW35" i="1"/>
  <c r="CB35" i="1"/>
  <c r="CI35" i="1"/>
  <c r="DJ35" i="1"/>
  <c r="DK35" i="1"/>
  <c r="DL35" i="1"/>
  <c r="DM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B35" i="1"/>
  <c r="EL35" i="1"/>
  <c r="EV35" i="1"/>
  <c r="FC35" i="1"/>
  <c r="FD35" i="1"/>
  <c r="FH35" i="1"/>
  <c r="FQ35" i="1"/>
  <c r="FR35" i="1"/>
  <c r="FV35" i="1"/>
  <c r="FW35" i="1"/>
  <c r="FX35" i="1"/>
  <c r="AW36" i="1"/>
  <c r="CB36" i="1"/>
  <c r="CI36" i="1"/>
  <c r="DJ36" i="1"/>
  <c r="DK36" i="1"/>
  <c r="DL36" i="1"/>
  <c r="DM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B36" i="1"/>
  <c r="EL36" i="1"/>
  <c r="EV36" i="1"/>
  <c r="FC36" i="1"/>
  <c r="FD36" i="1"/>
  <c r="FH36" i="1"/>
  <c r="FQ36" i="1"/>
  <c r="FR36" i="1"/>
  <c r="FV36" i="1"/>
  <c r="FW36" i="1"/>
  <c r="FX36" i="1"/>
  <c r="AW37" i="1"/>
  <c r="CB37" i="1"/>
  <c r="CI37" i="1"/>
  <c r="DJ37" i="1"/>
  <c r="DK37" i="1"/>
  <c r="DL37" i="1"/>
  <c r="DM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B37" i="1"/>
  <c r="EL37" i="1"/>
  <c r="EV37" i="1"/>
  <c r="FC37" i="1"/>
  <c r="FD37" i="1"/>
  <c r="FH37" i="1"/>
  <c r="FQ37" i="1"/>
  <c r="FR37" i="1"/>
  <c r="FV37" i="1"/>
  <c r="FW37" i="1"/>
  <c r="FX37" i="1"/>
  <c r="AW38" i="1"/>
  <c r="CB38" i="1"/>
  <c r="CI38" i="1"/>
  <c r="DJ38" i="1"/>
  <c r="DK38" i="1"/>
  <c r="DL38" i="1"/>
  <c r="DM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B38" i="1"/>
  <c r="EL38" i="1"/>
  <c r="EV38" i="1"/>
  <c r="FC38" i="1"/>
  <c r="FD38" i="1"/>
  <c r="FH38" i="1"/>
  <c r="FQ38" i="1"/>
  <c r="FR38" i="1"/>
  <c r="FV38" i="1"/>
  <c r="FW38" i="1"/>
  <c r="FX38" i="1"/>
  <c r="AW39" i="1"/>
  <c r="CB39" i="1"/>
  <c r="CI39" i="1"/>
  <c r="DJ39" i="1"/>
  <c r="DK39" i="1"/>
  <c r="DL39" i="1"/>
  <c r="DM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B39" i="1"/>
  <c r="EL39" i="1"/>
  <c r="EV39" i="1"/>
  <c r="FC39" i="1"/>
  <c r="FD39" i="1"/>
  <c r="FH39" i="1"/>
  <c r="FQ39" i="1"/>
  <c r="FR39" i="1"/>
  <c r="FV39" i="1"/>
  <c r="FW39" i="1"/>
  <c r="FX39" i="1"/>
  <c r="AW40" i="1"/>
  <c r="CB40" i="1"/>
  <c r="CI40" i="1"/>
  <c r="DJ40" i="1"/>
  <c r="DK40" i="1"/>
  <c r="DL40" i="1"/>
  <c r="DM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B40" i="1"/>
  <c r="EL40" i="1"/>
  <c r="EV40" i="1"/>
  <c r="FC40" i="1"/>
  <c r="FD40" i="1"/>
  <c r="FH40" i="1"/>
  <c r="FQ40" i="1"/>
  <c r="FR40" i="1"/>
  <c r="FV40" i="1"/>
  <c r="FW40" i="1"/>
  <c r="FX40" i="1"/>
  <c r="AW41" i="1"/>
  <c r="CB41" i="1"/>
  <c r="CI41" i="1"/>
  <c r="DJ41" i="1"/>
  <c r="DK41" i="1"/>
  <c r="DL41" i="1"/>
  <c r="DM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B41" i="1"/>
  <c r="EL41" i="1"/>
  <c r="EV41" i="1"/>
  <c r="FC41" i="1"/>
  <c r="FD41" i="1"/>
  <c r="FH41" i="1"/>
  <c r="FQ41" i="1"/>
  <c r="FR41" i="1"/>
  <c r="FV41" i="1"/>
  <c r="FW41" i="1"/>
  <c r="FX41" i="1"/>
  <c r="AW42" i="1"/>
  <c r="CB42" i="1"/>
  <c r="CI42" i="1"/>
  <c r="DJ42" i="1"/>
  <c r="DK42" i="1"/>
  <c r="DL42" i="1"/>
  <c r="DM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B42" i="1"/>
  <c r="EL42" i="1"/>
  <c r="EV42" i="1"/>
  <c r="FC42" i="1"/>
  <c r="FD42" i="1"/>
  <c r="FH42" i="1"/>
  <c r="FQ42" i="1"/>
  <c r="FR42" i="1"/>
  <c r="FV42" i="1"/>
  <c r="FW42" i="1"/>
  <c r="FX42" i="1"/>
  <c r="AW43" i="1"/>
  <c r="CB43" i="1"/>
  <c r="CI43" i="1"/>
  <c r="DJ43" i="1"/>
  <c r="DK43" i="1"/>
  <c r="DL43" i="1"/>
  <c r="DM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B43" i="1"/>
  <c r="EL43" i="1"/>
  <c r="EV43" i="1"/>
  <c r="FC43" i="1"/>
  <c r="FD43" i="1"/>
  <c r="FH43" i="1"/>
  <c r="FQ43" i="1"/>
  <c r="FR43" i="1"/>
  <c r="FV43" i="1"/>
  <c r="FW43" i="1"/>
  <c r="FX43" i="1"/>
  <c r="AW44" i="1"/>
  <c r="CB44" i="1"/>
  <c r="CI44" i="1"/>
  <c r="DJ44" i="1"/>
  <c r="DK44" i="1"/>
  <c r="DL44" i="1"/>
  <c r="DM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B44" i="1"/>
  <c r="EL44" i="1"/>
  <c r="EV44" i="1"/>
  <c r="FC44" i="1"/>
  <c r="FD44" i="1"/>
  <c r="FH44" i="1"/>
  <c r="FQ44" i="1"/>
  <c r="FR44" i="1"/>
  <c r="FV44" i="1"/>
  <c r="FW44" i="1"/>
  <c r="FX44" i="1"/>
  <c r="AW45" i="1"/>
  <c r="CB45" i="1"/>
  <c r="CI45" i="1"/>
  <c r="DJ45" i="1"/>
  <c r="DK45" i="1"/>
  <c r="DL45" i="1"/>
  <c r="DM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B45" i="1"/>
  <c r="EL45" i="1"/>
  <c r="EV45" i="1"/>
  <c r="FC45" i="1"/>
  <c r="FD45" i="1"/>
  <c r="FH45" i="1"/>
  <c r="FQ45" i="1"/>
  <c r="FR45" i="1"/>
  <c r="FV45" i="1"/>
  <c r="FW45" i="1"/>
  <c r="FX45" i="1"/>
  <c r="AW46" i="1"/>
  <c r="CB46" i="1"/>
  <c r="CI46" i="1"/>
  <c r="DJ46" i="1"/>
  <c r="DK46" i="1"/>
  <c r="DL46" i="1"/>
  <c r="DM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B46" i="1"/>
  <c r="EL46" i="1"/>
  <c r="EV46" i="1"/>
  <c r="FC46" i="1"/>
  <c r="FD46" i="1"/>
  <c r="FH46" i="1"/>
  <c r="FQ46" i="1"/>
  <c r="FR46" i="1"/>
  <c r="FV46" i="1"/>
  <c r="FW46" i="1"/>
  <c r="FX46" i="1"/>
  <c r="AW47" i="1"/>
  <c r="CB47" i="1"/>
  <c r="CI47" i="1"/>
  <c r="DJ47" i="1"/>
  <c r="DK47" i="1"/>
  <c r="DL47" i="1"/>
  <c r="DM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B47" i="1"/>
  <c r="EL47" i="1"/>
  <c r="EV47" i="1"/>
  <c r="FC47" i="1"/>
  <c r="FD47" i="1"/>
  <c r="FH47" i="1"/>
  <c r="FQ47" i="1"/>
  <c r="FR47" i="1"/>
  <c r="FV47" i="1"/>
  <c r="FW47" i="1"/>
  <c r="FX47" i="1"/>
  <c r="AW48" i="1"/>
  <c r="CB48" i="1"/>
  <c r="CI48" i="1"/>
  <c r="DJ48" i="1"/>
  <c r="DK48" i="1"/>
  <c r="DL48" i="1"/>
  <c r="DM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B48" i="1"/>
  <c r="EL48" i="1"/>
  <c r="EV48" i="1"/>
  <c r="FC48" i="1"/>
  <c r="FD48" i="1"/>
  <c r="FH48" i="1"/>
  <c r="FQ48" i="1"/>
  <c r="FR48" i="1"/>
  <c r="FV48" i="1"/>
  <c r="FW48" i="1"/>
  <c r="FX48" i="1"/>
  <c r="AW49" i="1"/>
  <c r="CB49" i="1"/>
  <c r="CI49" i="1"/>
  <c r="DJ49" i="1"/>
  <c r="DK49" i="1"/>
  <c r="DL49" i="1"/>
  <c r="DM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B49" i="1"/>
  <c r="EL49" i="1"/>
  <c r="EV49" i="1"/>
  <c r="FC49" i="1"/>
  <c r="FD49" i="1"/>
  <c r="FH49" i="1"/>
  <c r="FQ49" i="1"/>
  <c r="FR49" i="1"/>
  <c r="FV49" i="1"/>
  <c r="FW49" i="1"/>
  <c r="FX49" i="1"/>
  <c r="AW50" i="1"/>
  <c r="CB50" i="1"/>
  <c r="CI50" i="1"/>
  <c r="DJ50" i="1"/>
  <c r="DK50" i="1"/>
  <c r="DL50" i="1"/>
  <c r="DM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B50" i="1"/>
  <c r="EL50" i="1"/>
  <c r="EV50" i="1"/>
  <c r="FC50" i="1"/>
  <c r="FD50" i="1"/>
  <c r="FH50" i="1"/>
  <c r="FQ50" i="1"/>
  <c r="FR50" i="1"/>
  <c r="FV50" i="1"/>
  <c r="FW50" i="1"/>
  <c r="FX50" i="1"/>
  <c r="AW51" i="1"/>
  <c r="CB51" i="1"/>
  <c r="CI51" i="1"/>
  <c r="DJ51" i="1"/>
  <c r="DK51" i="1"/>
  <c r="DL51" i="1"/>
  <c r="DM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B51" i="1"/>
  <c r="EL51" i="1"/>
  <c r="EV51" i="1"/>
  <c r="FC51" i="1"/>
  <c r="FD51" i="1"/>
  <c r="FH51" i="1"/>
  <c r="FQ51" i="1"/>
  <c r="FR51" i="1"/>
  <c r="FV51" i="1"/>
  <c r="FW51" i="1"/>
  <c r="FX51" i="1"/>
  <c r="AW52" i="1"/>
  <c r="CB52" i="1"/>
  <c r="CI52" i="1"/>
  <c r="DJ52" i="1"/>
  <c r="DK52" i="1"/>
  <c r="DL52" i="1"/>
  <c r="DM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B52" i="1"/>
  <c r="EL52" i="1"/>
  <c r="EV52" i="1"/>
  <c r="FC52" i="1"/>
  <c r="FD52" i="1"/>
  <c r="FH52" i="1"/>
  <c r="FQ52" i="1"/>
  <c r="FR52" i="1"/>
  <c r="FV52" i="1"/>
  <c r="FW52" i="1"/>
  <c r="FX52" i="1"/>
  <c r="AW53" i="1"/>
  <c r="CB53" i="1"/>
  <c r="CI53" i="1"/>
  <c r="DJ53" i="1"/>
  <c r="DK53" i="1"/>
  <c r="DL53" i="1"/>
  <c r="DM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B53" i="1"/>
  <c r="EL53" i="1"/>
  <c r="EV53" i="1"/>
  <c r="FC53" i="1"/>
  <c r="FD53" i="1"/>
  <c r="FH53" i="1"/>
  <c r="FQ53" i="1"/>
  <c r="FR53" i="1"/>
  <c r="FV53" i="1"/>
  <c r="FW53" i="1"/>
  <c r="FX53" i="1"/>
  <c r="AW54" i="1"/>
  <c r="CB54" i="1"/>
  <c r="CI54" i="1"/>
  <c r="DJ54" i="1"/>
  <c r="DK54" i="1"/>
  <c r="DL54" i="1"/>
  <c r="DM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B54" i="1"/>
  <c r="EL54" i="1"/>
  <c r="EV54" i="1"/>
  <c r="FC54" i="1"/>
  <c r="FD54" i="1"/>
  <c r="FH54" i="1"/>
  <c r="FQ54" i="1"/>
  <c r="FR54" i="1"/>
  <c r="FV54" i="1"/>
  <c r="FW54" i="1"/>
  <c r="FX54" i="1"/>
  <c r="AW55" i="1"/>
  <c r="CB55" i="1"/>
  <c r="CI55" i="1"/>
  <c r="DJ55" i="1"/>
  <c r="DK55" i="1"/>
  <c r="DL55" i="1"/>
  <c r="DM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B55" i="1"/>
  <c r="EL55" i="1"/>
  <c r="EV55" i="1"/>
  <c r="FC55" i="1"/>
  <c r="FD55" i="1"/>
  <c r="FH55" i="1"/>
  <c r="FQ55" i="1"/>
  <c r="FR55" i="1"/>
  <c r="FV55" i="1"/>
  <c r="FW55" i="1"/>
  <c r="FX55" i="1"/>
  <c r="AW56" i="1"/>
  <c r="CB56" i="1"/>
  <c r="CI56" i="1"/>
  <c r="DJ56" i="1"/>
  <c r="DK56" i="1"/>
  <c r="DL56" i="1"/>
  <c r="DM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B56" i="1"/>
  <c r="EL56" i="1"/>
  <c r="EV56" i="1"/>
  <c r="FC56" i="1"/>
  <c r="FD56" i="1"/>
  <c r="FH56" i="1"/>
  <c r="FQ56" i="1"/>
  <c r="FR56" i="1"/>
  <c r="FV56" i="1"/>
  <c r="FW56" i="1"/>
  <c r="FX56" i="1"/>
  <c r="AW57" i="1"/>
  <c r="CB57" i="1"/>
  <c r="CI57" i="1"/>
  <c r="DJ57" i="1"/>
  <c r="DK57" i="1"/>
  <c r="DL57" i="1"/>
  <c r="DM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B57" i="1"/>
  <c r="EL57" i="1"/>
  <c r="EV57" i="1"/>
  <c r="FC57" i="1"/>
  <c r="FD57" i="1"/>
  <c r="FH57" i="1"/>
  <c r="FQ57" i="1"/>
  <c r="FR57" i="1"/>
  <c r="FV57" i="1"/>
  <c r="FW57" i="1"/>
  <c r="FX57" i="1"/>
  <c r="AW58" i="1"/>
  <c r="CB58" i="1"/>
  <c r="CI58" i="1"/>
  <c r="DJ58" i="1"/>
  <c r="DK58" i="1"/>
  <c r="DL58" i="1"/>
  <c r="DM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B58" i="1"/>
  <c r="EL58" i="1"/>
  <c r="EV58" i="1"/>
  <c r="FC58" i="1"/>
  <c r="FD58" i="1"/>
  <c r="FH58" i="1"/>
  <c r="FQ58" i="1"/>
  <c r="FR58" i="1"/>
  <c r="FV58" i="1"/>
  <c r="FW58" i="1"/>
  <c r="FX58" i="1"/>
  <c r="AW59" i="1"/>
  <c r="CB59" i="1"/>
  <c r="CI59" i="1"/>
  <c r="DJ59" i="1"/>
  <c r="DK59" i="1"/>
  <c r="DL59" i="1"/>
  <c r="DM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B59" i="1"/>
  <c r="EL59" i="1"/>
  <c r="EV59" i="1"/>
  <c r="FC59" i="1"/>
  <c r="FD59" i="1"/>
  <c r="FH59" i="1"/>
  <c r="FQ59" i="1"/>
  <c r="FR59" i="1"/>
  <c r="FV59" i="1"/>
  <c r="FW59" i="1"/>
  <c r="FX59" i="1"/>
  <c r="AW60" i="1"/>
  <c r="CB60" i="1"/>
  <c r="CI60" i="1"/>
  <c r="DJ60" i="1"/>
  <c r="DK60" i="1"/>
  <c r="DL60" i="1"/>
  <c r="DM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B60" i="1"/>
  <c r="EL60" i="1"/>
  <c r="EV60" i="1"/>
  <c r="FC60" i="1"/>
  <c r="FD60" i="1"/>
  <c r="FH60" i="1"/>
  <c r="FQ60" i="1"/>
  <c r="FR60" i="1"/>
  <c r="FV60" i="1"/>
  <c r="FW60" i="1"/>
  <c r="FX60" i="1"/>
  <c r="AW61" i="1"/>
  <c r="CB61" i="1"/>
  <c r="CI61" i="1"/>
  <c r="DJ61" i="1"/>
  <c r="DK61" i="1"/>
  <c r="DL61" i="1"/>
  <c r="DM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B61" i="1"/>
  <c r="EL61" i="1"/>
  <c r="EV61" i="1"/>
  <c r="FC61" i="1"/>
  <c r="FD61" i="1"/>
  <c r="FH61" i="1"/>
  <c r="FQ61" i="1"/>
  <c r="FR61" i="1"/>
  <c r="FV61" i="1"/>
  <c r="FW61" i="1"/>
  <c r="FX61" i="1"/>
  <c r="AW62" i="1"/>
  <c r="CB62" i="1"/>
  <c r="CI62" i="1"/>
  <c r="DJ62" i="1"/>
  <c r="DK62" i="1"/>
  <c r="DL62" i="1"/>
  <c r="DM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B62" i="1"/>
  <c r="EL62" i="1"/>
  <c r="EV62" i="1"/>
  <c r="FC62" i="1"/>
  <c r="FD62" i="1"/>
  <c r="FH62" i="1"/>
  <c r="FQ62" i="1"/>
  <c r="FR62" i="1"/>
  <c r="FV62" i="1"/>
  <c r="FW62" i="1"/>
  <c r="FX62" i="1"/>
  <c r="AW63" i="1"/>
  <c r="CB63" i="1"/>
  <c r="CI63" i="1"/>
  <c r="DJ63" i="1"/>
  <c r="DK63" i="1"/>
  <c r="DL63" i="1"/>
  <c r="DM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B63" i="1"/>
  <c r="EL63" i="1"/>
  <c r="EV63" i="1"/>
  <c r="FC63" i="1"/>
  <c r="FD63" i="1"/>
  <c r="FH63" i="1"/>
  <c r="FQ63" i="1"/>
  <c r="FR63" i="1"/>
  <c r="FV63" i="1"/>
  <c r="FW63" i="1"/>
  <c r="FX63" i="1"/>
  <c r="AC8" i="2"/>
  <c r="AD8" i="2"/>
  <c r="AE8" i="2"/>
  <c r="AF8" i="2"/>
  <c r="AG8" i="2"/>
  <c r="AK8" i="2"/>
  <c r="AL8" i="2"/>
  <c r="AM8" i="2"/>
  <c r="AN8" i="2"/>
  <c r="AO8" i="2"/>
  <c r="AP8" i="2"/>
  <c r="AT8" i="2"/>
  <c r="AC9" i="2"/>
  <c r="AD9" i="2"/>
  <c r="AE9" i="2"/>
  <c r="AF9" i="2"/>
  <c r="AG9" i="2"/>
  <c r="AK9" i="2"/>
  <c r="AL9" i="2"/>
  <c r="AM9" i="2"/>
  <c r="AN9" i="2"/>
  <c r="AO9" i="2"/>
  <c r="AP9" i="2"/>
  <c r="AT9" i="2"/>
  <c r="AC10" i="2"/>
  <c r="AD10" i="2"/>
  <c r="AE10" i="2"/>
  <c r="AF10" i="2"/>
  <c r="AG10" i="2"/>
  <c r="AK10" i="2"/>
  <c r="AL10" i="2"/>
  <c r="AM10" i="2"/>
  <c r="AN10" i="2"/>
  <c r="AO10" i="2"/>
  <c r="AP10" i="2"/>
  <c r="AT10" i="2"/>
  <c r="AC11" i="2"/>
  <c r="AD11" i="2"/>
  <c r="AE11" i="2"/>
  <c r="AF11" i="2"/>
  <c r="AG11" i="2"/>
  <c r="AK11" i="2"/>
  <c r="AL11" i="2"/>
  <c r="AM11" i="2"/>
  <c r="AN11" i="2"/>
  <c r="AO11" i="2"/>
  <c r="AP11" i="2"/>
  <c r="AT11" i="2"/>
  <c r="AC12" i="2"/>
  <c r="AD12" i="2"/>
  <c r="AE12" i="2"/>
  <c r="AF12" i="2"/>
  <c r="AG12" i="2"/>
  <c r="AK12" i="2"/>
  <c r="AL12" i="2"/>
  <c r="AM12" i="2"/>
  <c r="AN12" i="2"/>
  <c r="AO12" i="2"/>
  <c r="AP12" i="2"/>
  <c r="AT12" i="2"/>
  <c r="AC13" i="2"/>
  <c r="AD13" i="2"/>
  <c r="AE13" i="2"/>
  <c r="AF13" i="2"/>
  <c r="AG13" i="2"/>
  <c r="AK13" i="2"/>
  <c r="AL13" i="2"/>
  <c r="AM13" i="2"/>
  <c r="AN13" i="2"/>
  <c r="AO13" i="2"/>
  <c r="AP13" i="2"/>
  <c r="AT13" i="2"/>
  <c r="AC14" i="2"/>
  <c r="AD14" i="2"/>
  <c r="AE14" i="2"/>
  <c r="AF14" i="2"/>
  <c r="AG14" i="2"/>
  <c r="AK14" i="2"/>
  <c r="AL14" i="2"/>
  <c r="AM14" i="2"/>
  <c r="AN14" i="2"/>
  <c r="AO14" i="2"/>
  <c r="AP14" i="2"/>
  <c r="AT14" i="2"/>
  <c r="AC15" i="2"/>
  <c r="AD15" i="2"/>
  <c r="AE15" i="2"/>
  <c r="AF15" i="2"/>
  <c r="AG15" i="2"/>
  <c r="AK15" i="2"/>
  <c r="AL15" i="2"/>
  <c r="AM15" i="2"/>
  <c r="AN15" i="2"/>
  <c r="AO15" i="2"/>
  <c r="AP15" i="2"/>
  <c r="AT15" i="2"/>
  <c r="AC16" i="2"/>
  <c r="AD16" i="2"/>
  <c r="AE16" i="2"/>
  <c r="AF16" i="2"/>
  <c r="AG16" i="2"/>
  <c r="AK16" i="2"/>
  <c r="AL16" i="2"/>
  <c r="AM16" i="2"/>
  <c r="AN16" i="2"/>
  <c r="AO16" i="2"/>
  <c r="AP16" i="2"/>
  <c r="AT16" i="2"/>
  <c r="AC17" i="2"/>
  <c r="AD17" i="2"/>
  <c r="AE17" i="2"/>
  <c r="AF17" i="2"/>
  <c r="AG17" i="2"/>
  <c r="AK17" i="2"/>
  <c r="AL17" i="2"/>
  <c r="AM17" i="2"/>
  <c r="AN17" i="2"/>
  <c r="AO17" i="2"/>
  <c r="AP17" i="2"/>
  <c r="AT17" i="2"/>
  <c r="AC18" i="2"/>
  <c r="AD18" i="2"/>
  <c r="AE18" i="2"/>
  <c r="AF18" i="2"/>
  <c r="AG18" i="2"/>
  <c r="AK18" i="2"/>
  <c r="AL18" i="2"/>
  <c r="AM18" i="2"/>
  <c r="AN18" i="2"/>
  <c r="AO18" i="2"/>
  <c r="AP18" i="2"/>
  <c r="AT18" i="2"/>
  <c r="AC19" i="2"/>
  <c r="AD19" i="2"/>
  <c r="AE19" i="2"/>
  <c r="AF19" i="2"/>
  <c r="AG19" i="2"/>
  <c r="AK19" i="2"/>
  <c r="AL19" i="2"/>
  <c r="AM19" i="2"/>
  <c r="AN19" i="2"/>
  <c r="AO19" i="2"/>
  <c r="AP19" i="2"/>
  <c r="AT19" i="2"/>
  <c r="AC20" i="2"/>
  <c r="AD20" i="2"/>
  <c r="AE20" i="2"/>
  <c r="AF20" i="2"/>
  <c r="AG20" i="2"/>
  <c r="AK20" i="2"/>
  <c r="AL20" i="2"/>
  <c r="AM20" i="2"/>
  <c r="AN20" i="2"/>
  <c r="AO20" i="2"/>
  <c r="AP20" i="2"/>
  <c r="AT20" i="2"/>
  <c r="AC21" i="2"/>
  <c r="AD21" i="2"/>
  <c r="AE21" i="2"/>
  <c r="AF21" i="2"/>
  <c r="AG21" i="2"/>
  <c r="AK21" i="2"/>
  <c r="AL21" i="2"/>
  <c r="AM21" i="2"/>
  <c r="AN21" i="2"/>
  <c r="AO21" i="2"/>
  <c r="AP21" i="2"/>
  <c r="AT21" i="2"/>
  <c r="AC22" i="2"/>
  <c r="AD22" i="2"/>
  <c r="AE22" i="2"/>
  <c r="AF22" i="2"/>
  <c r="AG22" i="2"/>
  <c r="AK22" i="2"/>
  <c r="AL22" i="2"/>
  <c r="AM22" i="2"/>
  <c r="AN22" i="2"/>
  <c r="AO22" i="2"/>
  <c r="AP22" i="2"/>
  <c r="AT22" i="2"/>
  <c r="AC23" i="2"/>
  <c r="AD23" i="2"/>
  <c r="AE23" i="2"/>
  <c r="AF23" i="2"/>
  <c r="AG23" i="2"/>
  <c r="AK23" i="2"/>
  <c r="AL23" i="2"/>
  <c r="AM23" i="2"/>
  <c r="AN23" i="2"/>
  <c r="AO23" i="2"/>
  <c r="AP23" i="2"/>
  <c r="AT23" i="2"/>
  <c r="AC24" i="2"/>
  <c r="AD24" i="2"/>
  <c r="AE24" i="2"/>
  <c r="AF24" i="2"/>
  <c r="AG24" i="2"/>
  <c r="AK24" i="2"/>
  <c r="AL24" i="2"/>
  <c r="AM24" i="2"/>
  <c r="AN24" i="2"/>
  <c r="AO24" i="2"/>
  <c r="AP24" i="2"/>
  <c r="AT24" i="2"/>
  <c r="AC25" i="2"/>
  <c r="AD25" i="2"/>
  <c r="AE25" i="2"/>
  <c r="AF25" i="2"/>
  <c r="AG25" i="2"/>
  <c r="AK25" i="2"/>
  <c r="AL25" i="2"/>
  <c r="AM25" i="2"/>
  <c r="AN25" i="2"/>
  <c r="AO25" i="2"/>
  <c r="AP25" i="2"/>
  <c r="AT25" i="2"/>
  <c r="AC26" i="2"/>
  <c r="AD26" i="2"/>
  <c r="AE26" i="2"/>
  <c r="AF26" i="2"/>
  <c r="AG26" i="2"/>
  <c r="AK26" i="2"/>
  <c r="AL26" i="2"/>
  <c r="AM26" i="2"/>
  <c r="AN26" i="2"/>
  <c r="AO26" i="2"/>
  <c r="AP26" i="2"/>
  <c r="AT26" i="2"/>
  <c r="AC27" i="2"/>
  <c r="AD27" i="2"/>
  <c r="AE27" i="2"/>
  <c r="AF27" i="2"/>
  <c r="AG27" i="2"/>
  <c r="AK27" i="2"/>
  <c r="AL27" i="2"/>
  <c r="AM27" i="2"/>
  <c r="AN27" i="2"/>
  <c r="AO27" i="2"/>
  <c r="AP27" i="2"/>
  <c r="AT27" i="2"/>
  <c r="AC28" i="2"/>
  <c r="AD28" i="2"/>
  <c r="AE28" i="2"/>
  <c r="AF28" i="2"/>
  <c r="AG28" i="2"/>
  <c r="AK28" i="2"/>
  <c r="AL28" i="2"/>
  <c r="AM28" i="2"/>
  <c r="AN28" i="2"/>
  <c r="AO28" i="2"/>
  <c r="AP28" i="2"/>
  <c r="AT28" i="2"/>
  <c r="AC29" i="2"/>
  <c r="AD29" i="2"/>
  <c r="AE29" i="2"/>
  <c r="AF29" i="2"/>
  <c r="AG29" i="2"/>
  <c r="AK29" i="2"/>
  <c r="AL29" i="2"/>
  <c r="AM29" i="2"/>
  <c r="AN29" i="2"/>
  <c r="AO29" i="2"/>
  <c r="AP29" i="2"/>
  <c r="AT29" i="2"/>
  <c r="AC30" i="2"/>
  <c r="AD30" i="2"/>
  <c r="AE30" i="2"/>
  <c r="AF30" i="2"/>
  <c r="AG30" i="2"/>
  <c r="AK30" i="2"/>
  <c r="AL30" i="2"/>
  <c r="AM30" i="2"/>
  <c r="AN30" i="2"/>
  <c r="AO30" i="2"/>
  <c r="AP30" i="2"/>
  <c r="AT30" i="2"/>
  <c r="AC31" i="2"/>
  <c r="AD31" i="2"/>
  <c r="AE31" i="2"/>
  <c r="AF31" i="2"/>
  <c r="AG31" i="2"/>
  <c r="AK31" i="2"/>
  <c r="AL31" i="2"/>
  <c r="AM31" i="2"/>
  <c r="AN31" i="2"/>
  <c r="AO31" i="2"/>
  <c r="AP31" i="2"/>
  <c r="AT31" i="2"/>
  <c r="AC32" i="2"/>
  <c r="AD32" i="2"/>
  <c r="AE32" i="2"/>
  <c r="AF32" i="2"/>
  <c r="AG32" i="2"/>
  <c r="AK32" i="2"/>
  <c r="AL32" i="2"/>
  <c r="AM32" i="2"/>
  <c r="AN32" i="2"/>
  <c r="AO32" i="2"/>
  <c r="AP32" i="2"/>
  <c r="AT32" i="2"/>
  <c r="AC33" i="2"/>
  <c r="AD33" i="2"/>
  <c r="AE33" i="2"/>
  <c r="AF33" i="2"/>
  <c r="AG33" i="2"/>
  <c r="AK33" i="2"/>
  <c r="AL33" i="2"/>
  <c r="AM33" i="2"/>
  <c r="AN33" i="2"/>
  <c r="AO33" i="2"/>
  <c r="AP33" i="2"/>
  <c r="AT33" i="2"/>
  <c r="AC34" i="2"/>
  <c r="AD34" i="2"/>
  <c r="AE34" i="2"/>
  <c r="AF34" i="2"/>
  <c r="AG34" i="2"/>
  <c r="AK34" i="2"/>
  <c r="AL34" i="2"/>
  <c r="AM34" i="2"/>
  <c r="AN34" i="2"/>
  <c r="AO34" i="2"/>
  <c r="AP34" i="2"/>
  <c r="AT34" i="2"/>
  <c r="AC35" i="2"/>
  <c r="AD35" i="2"/>
  <c r="AE35" i="2"/>
  <c r="AF35" i="2"/>
  <c r="AG35" i="2"/>
  <c r="AK35" i="2"/>
  <c r="AL35" i="2"/>
  <c r="AM35" i="2"/>
  <c r="AN35" i="2"/>
  <c r="AO35" i="2"/>
  <c r="AP35" i="2"/>
  <c r="AT35" i="2"/>
  <c r="AC36" i="2"/>
  <c r="AD36" i="2"/>
  <c r="AE36" i="2"/>
  <c r="AF36" i="2"/>
  <c r="AG36" i="2"/>
  <c r="AK36" i="2"/>
  <c r="AL36" i="2"/>
  <c r="AM36" i="2"/>
  <c r="AN36" i="2"/>
  <c r="AO36" i="2"/>
  <c r="AP36" i="2"/>
  <c r="AT36" i="2"/>
  <c r="AC37" i="2"/>
  <c r="AD37" i="2"/>
  <c r="AE37" i="2"/>
  <c r="AF37" i="2"/>
  <c r="AG37" i="2"/>
  <c r="AK37" i="2"/>
  <c r="AL37" i="2"/>
  <c r="AM37" i="2"/>
  <c r="AN37" i="2"/>
  <c r="AO37" i="2"/>
  <c r="AP37" i="2"/>
  <c r="AT37" i="2"/>
  <c r="AC38" i="2"/>
  <c r="AD38" i="2"/>
  <c r="AE38" i="2"/>
  <c r="AF38" i="2"/>
  <c r="AG38" i="2"/>
  <c r="AK38" i="2"/>
  <c r="AL38" i="2"/>
  <c r="AM38" i="2"/>
  <c r="AN38" i="2"/>
  <c r="AO38" i="2"/>
  <c r="AP38" i="2"/>
  <c r="AT38" i="2"/>
  <c r="AC39" i="2"/>
  <c r="AD39" i="2"/>
  <c r="AE39" i="2"/>
  <c r="AF39" i="2"/>
  <c r="AG39" i="2"/>
  <c r="AK39" i="2"/>
  <c r="AL39" i="2"/>
  <c r="AM39" i="2"/>
  <c r="AN39" i="2"/>
  <c r="AO39" i="2"/>
  <c r="AP39" i="2"/>
  <c r="AT39" i="2"/>
  <c r="AC40" i="2"/>
  <c r="AD40" i="2"/>
  <c r="AE40" i="2"/>
  <c r="AF40" i="2"/>
  <c r="AG40" i="2"/>
  <c r="AK40" i="2"/>
  <c r="AL40" i="2"/>
  <c r="AM40" i="2"/>
  <c r="AN40" i="2"/>
  <c r="AO40" i="2"/>
  <c r="AP40" i="2"/>
  <c r="AT40" i="2"/>
  <c r="AC41" i="2"/>
  <c r="AD41" i="2"/>
  <c r="AE41" i="2"/>
  <c r="AF41" i="2"/>
  <c r="AG41" i="2"/>
  <c r="AK41" i="2"/>
  <c r="AL41" i="2"/>
  <c r="AM41" i="2"/>
  <c r="AN41" i="2"/>
  <c r="AO41" i="2"/>
  <c r="AP41" i="2"/>
  <c r="AT41" i="2"/>
  <c r="AC42" i="2"/>
  <c r="AD42" i="2"/>
  <c r="AE42" i="2"/>
  <c r="AF42" i="2"/>
  <c r="AG42" i="2"/>
  <c r="AK42" i="2"/>
  <c r="AL42" i="2"/>
  <c r="AM42" i="2"/>
  <c r="AN42" i="2"/>
  <c r="AO42" i="2"/>
  <c r="AP42" i="2"/>
  <c r="AT42" i="2"/>
  <c r="AC43" i="2"/>
  <c r="AD43" i="2"/>
  <c r="AE43" i="2"/>
  <c r="AF43" i="2"/>
  <c r="AG43" i="2"/>
  <c r="AK43" i="2"/>
  <c r="AL43" i="2"/>
  <c r="AM43" i="2"/>
  <c r="AN43" i="2"/>
  <c r="AO43" i="2"/>
  <c r="AP43" i="2"/>
  <c r="AT43" i="2"/>
  <c r="AC44" i="2"/>
  <c r="AD44" i="2"/>
  <c r="AE44" i="2"/>
  <c r="AF44" i="2"/>
  <c r="AG44" i="2"/>
  <c r="AK44" i="2"/>
  <c r="AL44" i="2"/>
  <c r="AM44" i="2"/>
  <c r="AN44" i="2"/>
  <c r="AO44" i="2"/>
  <c r="AP44" i="2"/>
  <c r="AT44" i="2"/>
  <c r="AC45" i="2"/>
  <c r="AD45" i="2"/>
  <c r="AE45" i="2"/>
  <c r="AF45" i="2"/>
  <c r="AG45" i="2"/>
  <c r="AK45" i="2"/>
  <c r="AL45" i="2"/>
  <c r="AM45" i="2"/>
  <c r="AN45" i="2"/>
  <c r="AO45" i="2"/>
  <c r="AP45" i="2"/>
  <c r="AT45" i="2"/>
  <c r="AF7" i="2"/>
  <c r="AO7" i="2"/>
  <c r="AG7" i="2"/>
  <c r="AP7" i="2"/>
  <c r="AE7" i="2"/>
  <c r="AN7" i="2"/>
  <c r="AD7" i="2"/>
  <c r="AM7" i="2"/>
  <c r="AC7" i="2"/>
  <c r="AL7" i="2"/>
  <c r="A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7" i="2"/>
  <c r="AT7" i="2"/>
</calcChain>
</file>

<file path=xl/sharedStrings.xml><?xml version="1.0" encoding="utf-8"?>
<sst xmlns="http://schemas.openxmlformats.org/spreadsheetml/2006/main" count="502" uniqueCount="238">
  <si>
    <t>FeO</t>
  </si>
  <si>
    <t>MgO</t>
  </si>
  <si>
    <t>CaO</t>
  </si>
  <si>
    <t>MnO</t>
  </si>
  <si>
    <t>F</t>
  </si>
  <si>
    <t>Cl</t>
  </si>
  <si>
    <t>Analysis</t>
  </si>
  <si>
    <t>Sample Name</t>
  </si>
  <si>
    <r>
      <t>SiO</t>
    </r>
    <r>
      <rPr>
        <vertAlign val="subscript"/>
        <sz val="10"/>
        <color theme="1"/>
        <rFont val="Arial"/>
        <charset val="204"/>
      </rPr>
      <t>2</t>
    </r>
  </si>
  <si>
    <r>
      <t>Na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</si>
  <si>
    <r>
      <t>K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</si>
  <si>
    <r>
      <t>TiO</t>
    </r>
    <r>
      <rPr>
        <vertAlign val="subscript"/>
        <sz val="10"/>
        <color theme="1"/>
        <rFont val="Arial"/>
        <charset val="204"/>
      </rPr>
      <t>2</t>
    </r>
  </si>
  <si>
    <r>
      <t>Al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  <r>
      <rPr>
        <vertAlign val="subscript"/>
        <sz val="10"/>
        <color theme="1"/>
        <rFont val="Arial"/>
        <charset val="204"/>
      </rPr>
      <t>3</t>
    </r>
  </si>
  <si>
    <r>
      <t>Cr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  <r>
      <rPr>
        <vertAlign val="subscript"/>
        <sz val="10"/>
        <color theme="1"/>
        <rFont val="Arial"/>
        <charset val="204"/>
      </rPr>
      <t>3</t>
    </r>
  </si>
  <si>
    <t>Total</t>
  </si>
  <si>
    <t>Oxide Wt %</t>
  </si>
  <si>
    <t>Oxide Fromula weights (g/mol)</t>
  </si>
  <si>
    <t>Molar proportions of Oxides</t>
  </si>
  <si>
    <t>Oxygen proportions contributed by oxides</t>
  </si>
  <si>
    <t>Oxygen proportions normalized to Mineral formula basis</t>
  </si>
  <si>
    <t>Oxygens in mineral formula basis</t>
  </si>
  <si>
    <t>Corresponding number of cations contributed to formula</t>
  </si>
  <si>
    <t>Si</t>
  </si>
  <si>
    <t>Ti</t>
  </si>
  <si>
    <t>Al</t>
  </si>
  <si>
    <t>Cr</t>
  </si>
  <si>
    <t>Fe</t>
  </si>
  <si>
    <t>Mg</t>
  </si>
  <si>
    <t>Ca</t>
  </si>
  <si>
    <t>Mn</t>
  </si>
  <si>
    <t>Na</t>
  </si>
  <si>
    <t>K</t>
  </si>
  <si>
    <t>S</t>
  </si>
  <si>
    <t>Holland and Blundy (1994) Criteria</t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</si>
  <si>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1</t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</si>
  <si>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2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</si>
  <si>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3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</si>
  <si>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4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</si>
  <si>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5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</si>
  <si>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6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</si>
  <si>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7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</si>
  <si>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8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</si>
  <si>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9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</si>
  <si>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10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</si>
  <si>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A</t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</si>
  <si>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B</t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</si>
  <si>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AV</t>
    </r>
  </si>
  <si>
    <r>
      <t>Fe</t>
    </r>
    <r>
      <rPr>
        <vertAlign val="superscript"/>
        <sz val="10"/>
        <color theme="1"/>
        <rFont val="Arial"/>
        <charset val="204"/>
      </rPr>
      <t>3+</t>
    </r>
  </si>
  <si>
    <r>
      <t>Fe</t>
    </r>
    <r>
      <rPr>
        <vertAlign val="superscript"/>
        <sz val="10"/>
        <color theme="1"/>
        <rFont val="Arial"/>
        <charset val="204"/>
      </rPr>
      <t>2+</t>
    </r>
  </si>
  <si>
    <t>cm</t>
  </si>
  <si>
    <t>X T1 Si</t>
  </si>
  <si>
    <t>X T1 Al</t>
  </si>
  <si>
    <t>X M2 Al</t>
  </si>
  <si>
    <t>X A K</t>
  </si>
  <si>
    <r>
      <t xml:space="preserve">X A </t>
    </r>
    <r>
      <rPr>
        <sz val="10"/>
        <color theme="1"/>
        <rFont val="ＭＳ ゴシック"/>
        <charset val="204"/>
      </rPr>
      <t>☐</t>
    </r>
  </si>
  <si>
    <t>X A Na</t>
  </si>
  <si>
    <t>X M4 Na</t>
  </si>
  <si>
    <t>X M4 Ca</t>
  </si>
  <si>
    <r>
      <t>Renormalized cations based on f</t>
    </r>
    <r>
      <rPr>
        <b/>
        <vertAlign val="subscript"/>
        <sz val="10"/>
        <color theme="1"/>
        <rFont val="Arial"/>
        <charset val="204"/>
      </rPr>
      <t>AV</t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</si>
  <si>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AV</t>
    </r>
    <r>
      <rPr>
        <sz val="10"/>
        <color theme="1"/>
        <rFont val="Symbol"/>
      </rPr>
      <t>S</t>
    </r>
  </si>
  <si>
    <t>SrO</t>
  </si>
  <si>
    <t>BaO</t>
  </si>
  <si>
    <t>Sr</t>
  </si>
  <si>
    <t>Ba</t>
  </si>
  <si>
    <t>Xan</t>
  </si>
  <si>
    <t>Xab</t>
  </si>
  <si>
    <t>Lookup Table for thermometer calculation inputs</t>
  </si>
  <si>
    <t>Y ab-an</t>
  </si>
  <si>
    <t>Y ab</t>
  </si>
  <si>
    <t>Oxide Formula weights (g/mol)</t>
  </si>
  <si>
    <t>Plagioclase data input sheet</t>
  </si>
  <si>
    <t>Amphibole</t>
  </si>
  <si>
    <t>Plagioclase</t>
  </si>
  <si>
    <t>X Ab</t>
  </si>
  <si>
    <t>Y Ab</t>
  </si>
  <si>
    <t>Holland and Blundy (1994)</t>
  </si>
  <si>
    <t>Edenite-Tremolite thermometer</t>
  </si>
  <si>
    <t>P (kbar)</t>
  </si>
  <si>
    <t>R (kJ/(molK)</t>
  </si>
  <si>
    <t>(for assemblages with quartz)</t>
  </si>
  <si>
    <t>X An</t>
  </si>
  <si>
    <t>Y Ab-An</t>
  </si>
  <si>
    <t>Sort Criteria</t>
  </si>
  <si>
    <t>Lookup Table for thermometer calc.</t>
  </si>
  <si>
    <t>Sort</t>
  </si>
  <si>
    <t>Leake et al. (1997) Recalculations</t>
  </si>
  <si>
    <t>Normallized to S Si, Al, Cr, Ti, Fe, Mg, Mn = 13</t>
  </si>
  <si>
    <t>Corresponding number of atoms contributed to formula</t>
  </si>
  <si>
    <t>OH</t>
  </si>
  <si>
    <r>
      <t xml:space="preserve">S </t>
    </r>
    <r>
      <rPr>
        <sz val="10"/>
        <color theme="1"/>
        <rFont val="Arial"/>
        <charset val="204"/>
      </rPr>
      <t>cations</t>
    </r>
  </si>
  <si>
    <r>
      <rPr>
        <sz val="10"/>
        <color theme="1"/>
        <rFont val="Arial"/>
        <charset val="204"/>
      </rPr>
      <t>new</t>
    </r>
    <r>
      <rPr>
        <sz val="10"/>
        <color theme="1"/>
        <rFont val="Symbol"/>
      </rPr>
      <t xml:space="preserve"> S</t>
    </r>
  </si>
  <si>
    <t>Normallized to S Si, Al, Cr, Ti, Fe, Mg, Mn, Ca = 15</t>
  </si>
  <si>
    <t>Charges +</t>
  </si>
  <si>
    <t>Fe3+</t>
  </si>
  <si>
    <t>Fe2+</t>
  </si>
  <si>
    <t>Recalculated cations</t>
  </si>
  <si>
    <t>Amphibole Formula</t>
  </si>
  <si>
    <t>Al(IV)</t>
  </si>
  <si>
    <t>Ti(IV)</t>
  </si>
  <si>
    <t>M1, M2, M3 sites</t>
  </si>
  <si>
    <t>Tetrahedral site</t>
  </si>
  <si>
    <t>Al(VI)</t>
  </si>
  <si>
    <t>M4 site</t>
  </si>
  <si>
    <t>A site</t>
  </si>
  <si>
    <t>Recalc. Wt%</t>
  </si>
  <si>
    <r>
      <t>Fe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  <r>
      <rPr>
        <vertAlign val="subscript"/>
        <sz val="10"/>
        <color theme="1"/>
        <rFont val="Arial"/>
        <charset val="204"/>
      </rPr>
      <t>3</t>
    </r>
  </si>
  <si>
    <t>New Total</t>
  </si>
  <si>
    <r>
      <t>H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</si>
  <si>
    <t>Ridolfi et al. (2010) and Ridolfi&amp; Renzulli (2012) Thermometry Calculations for Comparision ----&gt;</t>
  </si>
  <si>
    <t>Totals Check</t>
  </si>
  <si>
    <t>Si*</t>
  </si>
  <si>
    <t>Mg*</t>
  </si>
  <si>
    <r>
      <rPr>
        <vertAlign val="superscript"/>
        <sz val="10"/>
        <color theme="1"/>
        <rFont val="Arial"/>
        <charset val="204"/>
      </rPr>
      <t>[6]</t>
    </r>
    <r>
      <rPr>
        <sz val="10"/>
        <color theme="1"/>
        <rFont val="Arial"/>
        <charset val="204"/>
      </rPr>
      <t>Al*</t>
    </r>
  </si>
  <si>
    <r>
      <rPr>
        <sz val="10"/>
        <color theme="1"/>
        <rFont val="Symbol"/>
      </rPr>
      <t>D</t>
    </r>
    <r>
      <rPr>
        <sz val="10"/>
        <color theme="1"/>
        <rFont val="Arial"/>
        <charset val="204"/>
      </rPr>
      <t>NNO</t>
    </r>
  </si>
  <si>
    <r>
      <t>fO</t>
    </r>
    <r>
      <rPr>
        <vertAlign val="subscript"/>
        <sz val="10"/>
        <color theme="1"/>
        <rFont val="Arial"/>
        <charset val="204"/>
      </rPr>
      <t>2</t>
    </r>
  </si>
  <si>
    <r>
      <t>Wt% H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  <r>
      <rPr>
        <vertAlign val="subscript"/>
        <sz val="10"/>
        <color theme="1"/>
        <rFont val="Arial"/>
        <charset val="204"/>
      </rPr>
      <t>melt</t>
    </r>
  </si>
  <si>
    <t>T (°C)</t>
  </si>
  <si>
    <t>P (MPa)</t>
  </si>
  <si>
    <t>Ridolfi et al. (2010) Thermobarometry Outputs</t>
  </si>
  <si>
    <t>Species</t>
  </si>
  <si>
    <t>Al #</t>
  </si>
  <si>
    <t>Use for</t>
  </si>
  <si>
    <t>Calculations?</t>
  </si>
  <si>
    <r>
      <t>Al</t>
    </r>
    <r>
      <rPr>
        <vertAlign val="subscript"/>
        <sz val="10"/>
        <color theme="1"/>
        <rFont val="Arial"/>
        <charset val="204"/>
      </rPr>
      <t>T</t>
    </r>
  </si>
  <si>
    <t>Ridolfi et al. (2010) inputs</t>
  </si>
  <si>
    <t>Ridolfi &amp; Renzulli (2012) Calculations</t>
  </si>
  <si>
    <t>P1a</t>
  </si>
  <si>
    <t>P1b</t>
  </si>
  <si>
    <t>P1c</t>
  </si>
  <si>
    <t>P1d</t>
  </si>
  <si>
    <t>P1e</t>
  </si>
  <si>
    <r>
      <rPr>
        <sz val="10"/>
        <color theme="1"/>
        <rFont val="Symbol"/>
      </rPr>
      <t>D</t>
    </r>
    <r>
      <rPr>
        <sz val="10"/>
        <color theme="1"/>
        <rFont val="Arial"/>
        <charset val="204"/>
      </rPr>
      <t>Pdb</t>
    </r>
  </si>
  <si>
    <t>Xpae</t>
  </si>
  <si>
    <t>P2</t>
  </si>
  <si>
    <t>APE</t>
  </si>
  <si>
    <t>Calculated equilibrium melt composition (Wt%)</t>
  </si>
  <si>
    <t>Ridolfi Lookup Table</t>
  </si>
  <si>
    <t>Ridolfi et al. (2010)</t>
  </si>
  <si>
    <t>P (Mpa)</t>
  </si>
  <si>
    <t>Ridolfi &amp; Renzulli (2012)</t>
  </si>
  <si>
    <t>Ridolfi et al. (2010) --&gt;</t>
  </si>
  <si>
    <t>Ridolfi &amp; Renzulli (2012) --&gt;</t>
  </si>
  <si>
    <t>26hHP04.10</t>
  </si>
  <si>
    <t>26hHP04.3</t>
  </si>
  <si>
    <t>26hHP04.4</t>
  </si>
  <si>
    <t>26hHP04.5</t>
  </si>
  <si>
    <t>26hHP04.6</t>
  </si>
  <si>
    <t>26hHP04.7</t>
  </si>
  <si>
    <t>26hHP04.8</t>
  </si>
  <si>
    <t>26hHP04.9</t>
  </si>
  <si>
    <t>26hHP06.1</t>
  </si>
  <si>
    <t>26hHP06.10</t>
  </si>
  <si>
    <t>26hHP06.4</t>
  </si>
  <si>
    <t>26hHP06.5</t>
  </si>
  <si>
    <t>26hHP06.6</t>
  </si>
  <si>
    <t>26hHP06.7</t>
  </si>
  <si>
    <t>26hHP06.8</t>
  </si>
  <si>
    <t>26hHP06.9</t>
  </si>
  <si>
    <t>26eHP01.7</t>
  </si>
  <si>
    <t>26eHP01.8</t>
  </si>
  <si>
    <t>26eHP01.9</t>
  </si>
  <si>
    <t>26eHP01.10</t>
  </si>
  <si>
    <t>26eHP01.11</t>
  </si>
  <si>
    <t>26eHP01.12</t>
  </si>
  <si>
    <t>26hHP01.2</t>
  </si>
  <si>
    <t>26hHP02.5</t>
  </si>
  <si>
    <t>26hHP02.6</t>
  </si>
  <si>
    <t>26hHP02.7</t>
  </si>
  <si>
    <t>26hHP02.8</t>
  </si>
  <si>
    <t>26hHP04.11</t>
  </si>
  <si>
    <t>26hHP04.12</t>
  </si>
  <si>
    <t>26hHP08.6</t>
  </si>
  <si>
    <t>26hHP08.7</t>
  </si>
  <si>
    <t>26hHP08.8</t>
  </si>
  <si>
    <t>26hHP08.9</t>
  </si>
  <si>
    <t>18aHP01.2</t>
  </si>
  <si>
    <t>18aHP01.4</t>
  </si>
  <si>
    <t>18aHP01.6</t>
  </si>
  <si>
    <t>18aHP01.8</t>
  </si>
  <si>
    <t>18aHP01.10</t>
  </si>
  <si>
    <t>18aHP01.12</t>
  </si>
  <si>
    <t>18aHP02.1</t>
  </si>
  <si>
    <t>18aHP02.3</t>
  </si>
  <si>
    <t>18aHP02.5</t>
  </si>
  <si>
    <t>18aHP02.6</t>
  </si>
  <si>
    <t>18aHP03.2</t>
  </si>
  <si>
    <t>18aHP03.4</t>
  </si>
  <si>
    <t>18eHP02.1</t>
  </si>
  <si>
    <t>18eHP02.4</t>
  </si>
  <si>
    <t>18eHP02.6</t>
  </si>
  <si>
    <t>18eHP03.1</t>
  </si>
  <si>
    <t>18eHP03.3</t>
  </si>
  <si>
    <t>18eHP03.5</t>
  </si>
  <si>
    <t>18eHP03.7</t>
  </si>
  <si>
    <t>18eHP04.1</t>
  </si>
  <si>
    <t>18eHP04.5</t>
  </si>
  <si>
    <t>18eHP04.6</t>
  </si>
  <si>
    <t>18eHP04.7</t>
  </si>
  <si>
    <t>18eHP04.9</t>
  </si>
  <si>
    <t>18eHP05.1</t>
  </si>
  <si>
    <t>18eHP06.1</t>
  </si>
  <si>
    <t>18eHP06.3</t>
  </si>
  <si>
    <t>26dHP01.1</t>
  </si>
  <si>
    <t>26dHP01.2</t>
  </si>
  <si>
    <t>26dHP01.5</t>
  </si>
  <si>
    <t>26dHP02.1</t>
  </si>
  <si>
    <t>26eHP01.1</t>
  </si>
  <si>
    <t>26eHP01.2</t>
  </si>
  <si>
    <t>26eHP01.3</t>
  </si>
  <si>
    <t>26eHP01.4</t>
  </si>
  <si>
    <t>26eHP01.5</t>
  </si>
  <si>
    <t>26eHP01.6</t>
  </si>
  <si>
    <t>26hHP01.1</t>
  </si>
  <si>
    <t>26hHP02.1</t>
  </si>
  <si>
    <t>26hHP02.2</t>
  </si>
  <si>
    <t>26hHP02.3</t>
  </si>
  <si>
    <t>26hHP02.4</t>
  </si>
  <si>
    <t>26hHP08.1</t>
  </si>
  <si>
    <t>26hHP08.3</t>
  </si>
  <si>
    <t>26hHP08.4</t>
  </si>
  <si>
    <t>26hHP08.5</t>
  </si>
  <si>
    <t>18aHP03.1</t>
  </si>
  <si>
    <t>18aHP03.3</t>
  </si>
  <si>
    <t>18eHP02.2</t>
  </si>
  <si>
    <t>18eHP02.3</t>
  </si>
  <si>
    <t>18eHP02.7</t>
  </si>
  <si>
    <t>18eHP03.6</t>
  </si>
  <si>
    <t>18eHP03.8</t>
  </si>
  <si>
    <t>18eHP04.2</t>
  </si>
  <si>
    <t>18eHP04.3</t>
  </si>
  <si>
    <t>18eHP04.4</t>
  </si>
  <si>
    <t>18eHP05.2</t>
  </si>
  <si>
    <t>18eHP06.2</t>
  </si>
  <si>
    <t>18eHP06.4</t>
  </si>
  <si>
    <t>26dHP01.3</t>
  </si>
  <si>
    <t>26dHP01.4</t>
  </si>
  <si>
    <t>26dHP01.6</t>
  </si>
  <si>
    <t>26dHP02.2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</si>
</sst>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charset val="204"/>
    </font>
    <font>
      <vertAlign val="subscript"/>
      <sz val="10"/>
      <color theme="1"/>
      <name val="Arial"/>
      <charset val="204"/>
    </font>
    <font>
      <b/>
      <sz val="10"/>
      <color theme="1"/>
      <name val="Arial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Symbol"/>
    </font>
    <font>
      <i/>
      <sz val="10"/>
      <color theme="1"/>
      <name val="Arial"/>
      <charset val="204"/>
    </font>
    <font>
      <vertAlign val="superscript"/>
      <sz val="10"/>
      <color theme="1"/>
      <name val="Arial"/>
      <charset val="204"/>
    </font>
    <font>
      <sz val="10"/>
      <color theme="1"/>
      <name val="ＭＳ ゴシック"/>
      <charset val="204"/>
    </font>
    <font>
      <b/>
      <vertAlign val="subscript"/>
      <sz val="10"/>
      <color theme="1"/>
      <name val="Arial"/>
      <charset val="204"/>
    </font>
    <font>
      <sz val="10"/>
      <name val="Arial"/>
      <charset val="204"/>
    </font>
    <font>
      <b/>
      <sz val="12"/>
      <color theme="1"/>
      <name val="Arial"/>
      <charset val="204"/>
    </font>
    <font>
      <sz val="10"/>
      <color theme="0"/>
      <name val="Arial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2" fillId="3" borderId="0" xfId="0" applyFont="1" applyFill="1"/>
    <xf numFmtId="0" fontId="2" fillId="2" borderId="1" xfId="0" applyFont="1" applyFill="1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4" fontId="12" fillId="0" borderId="0" xfId="0" applyNumberFormat="1" applyFont="1" applyAlignment="1">
      <alignment horizontal="right"/>
    </xf>
    <xf numFmtId="164" fontId="12" fillId="0" borderId="0" xfId="0" applyNumberFormat="1" applyFont="1" applyAlignment="1"/>
    <xf numFmtId="0" fontId="2" fillId="0" borderId="0" xfId="0" applyFont="1" applyProtection="1">
      <protection locked="0"/>
    </xf>
    <xf numFmtId="0" fontId="2" fillId="0" borderId="0" xfId="0" applyFont="1" applyProtection="1"/>
    <xf numFmtId="0" fontId="4" fillId="0" borderId="0" xfId="0" applyFont="1" applyProtection="1"/>
    <xf numFmtId="0" fontId="2" fillId="2" borderId="1" xfId="0" applyFont="1" applyFill="1" applyBorder="1" applyProtection="1"/>
    <xf numFmtId="0" fontId="2" fillId="2" borderId="0" xfId="0" applyFont="1" applyFill="1" applyProtection="1"/>
    <xf numFmtId="0" fontId="4" fillId="3" borderId="0" xfId="0" applyFont="1" applyFill="1" applyProtection="1"/>
    <xf numFmtId="0" fontId="2" fillId="3" borderId="0" xfId="0" applyFont="1" applyFill="1" applyProtection="1"/>
    <xf numFmtId="0" fontId="4" fillId="2" borderId="0" xfId="0" applyFont="1" applyFill="1" applyProtection="1"/>
    <xf numFmtId="0" fontId="2" fillId="0" borderId="0" xfId="0" applyFont="1" applyFill="1" applyProtection="1"/>
    <xf numFmtId="0" fontId="2" fillId="0" borderId="0" xfId="0" applyFont="1" applyAlignment="1" applyProtection="1">
      <alignment horizontal="center"/>
    </xf>
    <xf numFmtId="0" fontId="7" fillId="0" borderId="0" xfId="0" applyFont="1" applyProtection="1"/>
    <xf numFmtId="2" fontId="2" fillId="0" borderId="0" xfId="0" applyNumberFormat="1" applyFont="1" applyProtection="1"/>
    <xf numFmtId="164" fontId="2" fillId="0" borderId="0" xfId="0" applyNumberFormat="1" applyFont="1" applyProtection="1"/>
    <xf numFmtId="0" fontId="13" fillId="0" borderId="0" xfId="0" applyFont="1" applyAlignment="1">
      <alignment textRotation="90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1" fontId="14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Protection="1"/>
    <xf numFmtId="164" fontId="2" fillId="0" borderId="0" xfId="0" quotePrefix="1" applyNumberFormat="1" applyFont="1"/>
    <xf numFmtId="1" fontId="2" fillId="2" borderId="0" xfId="0" applyNumberFormat="1" applyFont="1" applyFill="1"/>
    <xf numFmtId="2" fontId="2" fillId="2" borderId="0" xfId="0" applyNumberFormat="1" applyFont="1" applyFill="1"/>
    <xf numFmtId="1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2" fontId="2" fillId="2" borderId="0" xfId="0" applyNumberFormat="1" applyFont="1" applyFill="1" applyProtection="1">
      <protection locked="0"/>
    </xf>
    <xf numFmtId="0" fontId="2" fillId="5" borderId="0" xfId="0" applyFont="1" applyFill="1"/>
    <xf numFmtId="0" fontId="2" fillId="6" borderId="0" xfId="0" applyFont="1" applyFill="1"/>
    <xf numFmtId="0" fontId="7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164" fontId="2" fillId="7" borderId="0" xfId="0" applyNumberFormat="1" applyFont="1" applyFill="1"/>
    <xf numFmtId="0" fontId="13" fillId="0" borderId="0" xfId="0" applyFont="1" applyAlignment="1">
      <alignment horizontal="center" textRotation="90"/>
    </xf>
    <xf numFmtId="165" fontId="2" fillId="0" borderId="0" xfId="0" applyNumberFormat="1" applyFont="1"/>
    <xf numFmtId="165" fontId="2" fillId="0" borderId="0" xfId="0" quotePrefix="1" applyNumberFormat="1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" fontId="12" fillId="0" borderId="0" xfId="0" applyNumberFormat="1" applyFont="1"/>
    <xf numFmtId="0" fontId="13" fillId="0" borderId="0" xfId="0" applyFont="1" applyAlignment="1">
      <alignment horizontal="center"/>
    </xf>
    <xf numFmtId="11" fontId="2" fillId="0" borderId="0" xfId="0" applyNumberFormat="1" applyFont="1"/>
    <xf numFmtId="0" fontId="2" fillId="0" borderId="0" xfId="0" applyFont="1" applyFill="1"/>
    <xf numFmtId="0" fontId="13" fillId="0" borderId="0" xfId="0" applyFont="1" applyAlignment="1">
      <alignment textRotation="90"/>
    </xf>
  </cellXfs>
  <cellStyles count="3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Normal" xfId="0" builtinId="0"/>
    <cellStyle name="Normal 2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65"/>
  <sheetViews>
    <sheetView tabSelected="1" topLeftCell="BT1" workbookViewId="0">
      <selection activeCell="CW70" sqref="CW70"/>
    </sheetView>
  </sheetViews>
  <sheetFormatPr baseColWidth="10" defaultRowHeight="12" x14ac:dyDescent="0"/>
  <cols>
    <col min="1" max="1" width="7.5" style="1" customWidth="1"/>
    <col min="2" max="2" width="11.83203125" style="1" bestFit="1" customWidth="1"/>
    <col min="3" max="3" width="6.6640625" style="1" customWidth="1"/>
    <col min="4" max="4" width="6" style="1" bestFit="1" customWidth="1"/>
    <col min="5" max="5" width="7.33203125" style="1" bestFit="1" customWidth="1"/>
    <col min="6" max="6" width="6.5" style="1" bestFit="1" customWidth="1"/>
    <col min="7" max="7" width="5.6640625" style="1" bestFit="1" customWidth="1"/>
    <col min="8" max="9" width="7.33203125" style="1" bestFit="1" customWidth="1"/>
    <col min="10" max="14" width="6" style="1" bestFit="1" customWidth="1"/>
    <col min="15" max="15" width="7.33203125" style="1" bestFit="1" customWidth="1"/>
    <col min="16" max="16" width="5.83203125" style="1" customWidth="1"/>
    <col min="17" max="27" width="7.33203125" style="1" bestFit="1" customWidth="1"/>
    <col min="28" max="28" width="7.33203125" style="1" customWidth="1"/>
    <col min="29" max="37" width="7.33203125" style="1" bestFit="1" customWidth="1"/>
    <col min="38" max="38" width="7.1640625" style="1" customWidth="1"/>
    <col min="39" max="39" width="6.5" style="1" customWidth="1"/>
    <col min="40" max="48" width="6" style="1" bestFit="1" customWidth="1"/>
    <col min="49" max="49" width="7.33203125" style="1" bestFit="1" customWidth="1"/>
    <col min="50" max="50" width="5.83203125" style="1" customWidth="1"/>
    <col min="51" max="59" width="5.6640625" style="1" bestFit="1" customWidth="1"/>
    <col min="60" max="62" width="5.5" style="1" customWidth="1"/>
    <col min="63" max="63" width="8.1640625" style="1" bestFit="1" customWidth="1"/>
    <col min="64" max="64" width="6.1640625" style="1" customWidth="1"/>
    <col min="65" max="69" width="7.33203125" style="1" bestFit="1" customWidth="1"/>
    <col min="70" max="70" width="7.1640625" style="1" bestFit="1" customWidth="1"/>
    <col min="71" max="74" width="7.33203125" style="1" bestFit="1" customWidth="1"/>
    <col min="75" max="76" width="7.1640625" style="1" bestFit="1" customWidth="1"/>
    <col min="77" max="87" width="7.1640625" style="1" customWidth="1"/>
    <col min="88" max="90" width="7.1640625" style="1" bestFit="1" customWidth="1"/>
    <col min="91" max="91" width="10.83203125" style="1" customWidth="1"/>
    <col min="92" max="100" width="8.33203125" style="1" customWidth="1"/>
    <col min="101" max="102" width="10.83203125" style="1"/>
    <col min="103" max="103" width="6.1640625" style="1" customWidth="1"/>
    <col min="104" max="116" width="5.6640625" style="1" bestFit="1" customWidth="1"/>
    <col min="117" max="117" width="8.1640625" style="1" bestFit="1" customWidth="1"/>
    <col min="118" max="118" width="6.5" style="1" customWidth="1"/>
    <col min="119" max="131" width="5.6640625" style="1" bestFit="1" customWidth="1"/>
    <col min="132" max="132" width="6.5" style="1" bestFit="1" customWidth="1"/>
    <col min="133" max="133" width="9.1640625" style="1" bestFit="1" customWidth="1"/>
    <col min="134" max="134" width="6.33203125" style="1" customWidth="1"/>
    <col min="135" max="144" width="5.6640625" style="1" bestFit="1" customWidth="1"/>
    <col min="145" max="145" width="6.5" style="1" customWidth="1"/>
    <col min="146" max="146" width="6.33203125" style="1" bestFit="1" customWidth="1"/>
    <col min="147" max="147" width="5.5" style="1" customWidth="1"/>
    <col min="148" max="148" width="8.83203125" style="1" bestFit="1" customWidth="1"/>
    <col min="149" max="149" width="6.33203125" style="1" customWidth="1"/>
    <col min="150" max="152" width="5.6640625" style="1" bestFit="1" customWidth="1"/>
    <col min="153" max="153" width="5.83203125" style="1" customWidth="1"/>
    <col min="154" max="160" width="5.6640625" style="1" bestFit="1" customWidth="1"/>
    <col min="161" max="161" width="6.83203125" style="1" bestFit="1" customWidth="1"/>
    <col min="162" max="167" width="5.6640625" style="1" bestFit="1" customWidth="1"/>
    <col min="168" max="168" width="10.83203125" style="1"/>
    <col min="169" max="169" width="5.6640625" style="1" bestFit="1" customWidth="1"/>
    <col min="170" max="170" width="7.1640625" style="1" bestFit="1" customWidth="1"/>
    <col min="171" max="171" width="6" style="1" customWidth="1"/>
    <col min="172" max="173" width="5.6640625" style="1" bestFit="1" customWidth="1"/>
    <col min="174" max="174" width="8.1640625" style="1" bestFit="1" customWidth="1"/>
    <col min="175" max="175" width="10.83203125" style="1"/>
    <col min="176" max="176" width="6.5" style="1" customWidth="1"/>
    <col min="177" max="177" width="7.33203125" style="1" bestFit="1" customWidth="1"/>
    <col min="178" max="178" width="6.1640625" style="1" bestFit="1" customWidth="1"/>
    <col min="179" max="179" width="6.6640625" style="1" bestFit="1" customWidth="1"/>
    <col min="180" max="180" width="10.5" style="1" bestFit="1" customWidth="1"/>
    <col min="181" max="181" width="4.83203125" style="1" customWidth="1"/>
    <col min="182" max="184" width="5" style="1" bestFit="1" customWidth="1"/>
    <col min="185" max="185" width="4.33203125" style="1" bestFit="1" customWidth="1"/>
    <col min="186" max="186" width="5.5" style="1" bestFit="1" customWidth="1"/>
    <col min="187" max="187" width="5.33203125" style="1" bestFit="1" customWidth="1"/>
    <col min="188" max="188" width="4" style="1" bestFit="1" customWidth="1"/>
    <col min="189" max="190" width="7.1640625" style="1" bestFit="1" customWidth="1"/>
    <col min="191" max="191" width="5.83203125" style="1" bestFit="1" customWidth="1"/>
    <col min="192" max="192" width="6.33203125" style="1" bestFit="1" customWidth="1"/>
    <col min="193" max="193" width="4.5" style="1" customWidth="1"/>
    <col min="194" max="194" width="4.6640625" style="1" bestFit="1" customWidth="1"/>
    <col min="195" max="195" width="6" style="1" bestFit="1" customWidth="1"/>
    <col min="196" max="196" width="4.6640625" style="1" bestFit="1" customWidth="1"/>
    <col min="197" max="197" width="4.83203125" style="1" bestFit="1" customWidth="1"/>
    <col min="198" max="198" width="5" style="1" bestFit="1" customWidth="1"/>
    <col min="199" max="200" width="4.6640625" style="1" bestFit="1" customWidth="1"/>
    <col min="201" max="201" width="5.5" style="1" bestFit="1" customWidth="1"/>
    <col min="202" max="202" width="3" style="1" customWidth="1"/>
    <col min="203" max="203" width="8.33203125" style="1" customWidth="1"/>
    <col min="204" max="205" width="7.6640625" style="1" customWidth="1"/>
    <col min="206" max="206" width="9.1640625" style="1" customWidth="1"/>
    <col min="207" max="207" width="9.5" style="1" customWidth="1"/>
    <col min="208" max="16384" width="10.83203125" style="1"/>
  </cols>
  <sheetData>
    <row r="1" spans="1:207">
      <c r="C1" s="1" t="s">
        <v>16</v>
      </c>
      <c r="CY1" s="7" t="s">
        <v>108</v>
      </c>
    </row>
    <row r="2" spans="1:207" ht="13" thickBot="1">
      <c r="C2" s="6" t="s">
        <v>8</v>
      </c>
      <c r="D2" s="6" t="s">
        <v>11</v>
      </c>
      <c r="E2" s="6" t="s">
        <v>12</v>
      </c>
      <c r="F2" s="6" t="s">
        <v>13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9</v>
      </c>
      <c r="L2" s="6" t="s">
        <v>10</v>
      </c>
      <c r="M2" s="6" t="s">
        <v>4</v>
      </c>
      <c r="N2" s="6" t="s">
        <v>5</v>
      </c>
      <c r="O2" s="6" t="s">
        <v>105</v>
      </c>
      <c r="P2" s="1" t="s">
        <v>107</v>
      </c>
      <c r="AM2" s="7" t="s">
        <v>20</v>
      </c>
    </row>
    <row r="3" spans="1:207" ht="13" thickBot="1">
      <c r="C3" s="4">
        <f>28.0855+2*15.9994</f>
        <v>60.084299999999999</v>
      </c>
      <c r="D3" s="4">
        <f>47.867+2*15.9994</f>
        <v>79.865799999999993</v>
      </c>
      <c r="E3" s="4">
        <f>26.981538*2+3*15.9994</f>
        <v>101.961276</v>
      </c>
      <c r="F3" s="4">
        <f>2*51.9961+3*15.9994</f>
        <v>151.99039999999999</v>
      </c>
      <c r="G3" s="4">
        <f>55.845+15.9994</f>
        <v>71.844399999999993</v>
      </c>
      <c r="H3" s="4">
        <f>24.305+15.9994</f>
        <v>40.304400000000001</v>
      </c>
      <c r="I3" s="4">
        <f>40.078+15.9994</f>
        <v>56.077400000000004</v>
      </c>
      <c r="J3" s="4">
        <f>54.938049+15.9994</f>
        <v>70.937449000000001</v>
      </c>
      <c r="K3" s="4">
        <f>2*22.98977+15.9994</f>
        <v>61.978940000000001</v>
      </c>
      <c r="L3" s="4">
        <f>2*39.0983+15.9994</f>
        <v>94.195999999999998</v>
      </c>
      <c r="M3" s="4">
        <f>18.9984032</f>
        <v>18.998403199999998</v>
      </c>
      <c r="N3" s="4">
        <v>35.4527</v>
      </c>
      <c r="O3" s="1">
        <f>2*55.845+3*15.9994</f>
        <v>159.68819999999999</v>
      </c>
      <c r="P3" s="1">
        <f>15.9994+2*1.00794</f>
        <v>18.015280000000001</v>
      </c>
      <c r="AM3" s="10">
        <v>23</v>
      </c>
      <c r="CY3" s="1" t="s">
        <v>85</v>
      </c>
    </row>
    <row r="4" spans="1:207">
      <c r="ES4" s="1" t="s">
        <v>96</v>
      </c>
      <c r="GU4" s="1" t="s">
        <v>136</v>
      </c>
    </row>
    <row r="5" spans="1:207">
      <c r="C5" s="3" t="s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 t="s">
        <v>17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3" t="s">
        <v>18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8" t="s">
        <v>19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3" t="s">
        <v>87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8" t="s">
        <v>33</v>
      </c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3" t="s">
        <v>58</v>
      </c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N5" s="7" t="s">
        <v>66</v>
      </c>
      <c r="CY5" s="2" t="s">
        <v>86</v>
      </c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9" t="s">
        <v>91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D5" s="2" t="s">
        <v>95</v>
      </c>
      <c r="EE5" s="2"/>
      <c r="EF5" s="2"/>
      <c r="EG5" s="2"/>
      <c r="EH5" s="2"/>
      <c r="EI5" s="2"/>
      <c r="EJ5" s="2"/>
      <c r="EK5" s="2"/>
      <c r="EL5" s="2"/>
      <c r="EM5" s="2"/>
      <c r="EN5" s="2"/>
      <c r="EO5" s="9" t="s">
        <v>104</v>
      </c>
      <c r="EP5" s="9"/>
      <c r="EQ5" s="9"/>
      <c r="ER5" s="9"/>
      <c r="ES5" s="40" t="s">
        <v>100</v>
      </c>
      <c r="ET5" s="40"/>
      <c r="EU5" s="40"/>
      <c r="EV5" s="40"/>
      <c r="EW5" s="41" t="s">
        <v>99</v>
      </c>
      <c r="EX5" s="41"/>
      <c r="EY5" s="41"/>
      <c r="EZ5" s="41"/>
      <c r="FA5" s="41"/>
      <c r="FB5" s="41"/>
      <c r="FC5" s="41"/>
      <c r="FD5" s="41"/>
      <c r="FE5" s="40" t="s">
        <v>102</v>
      </c>
      <c r="FF5" s="40"/>
      <c r="FG5" s="40"/>
      <c r="FH5" s="40"/>
      <c r="FI5" s="41" t="s">
        <v>103</v>
      </c>
      <c r="FJ5" s="41"/>
      <c r="FK5" s="41"/>
      <c r="FL5" s="1" t="s">
        <v>109</v>
      </c>
      <c r="FM5" s="1" t="s">
        <v>120</v>
      </c>
      <c r="FN5" s="1" t="s">
        <v>119</v>
      </c>
      <c r="FO5" s="2" t="s">
        <v>124</v>
      </c>
      <c r="FP5" s="2"/>
      <c r="FQ5" s="2"/>
      <c r="FR5" s="2"/>
      <c r="FS5" s="1" t="s">
        <v>121</v>
      </c>
      <c r="FT5" s="9" t="s">
        <v>118</v>
      </c>
      <c r="FU5" s="9"/>
      <c r="FV5" s="9"/>
      <c r="FW5" s="9"/>
      <c r="FX5" s="9"/>
      <c r="FY5" s="2" t="s">
        <v>125</v>
      </c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 t="s">
        <v>135</v>
      </c>
      <c r="GL5" s="2"/>
      <c r="GM5" s="2"/>
      <c r="GN5" s="2"/>
      <c r="GO5" s="2"/>
      <c r="GP5" s="2"/>
      <c r="GQ5" s="2"/>
      <c r="GR5" s="2"/>
      <c r="GS5" s="2"/>
      <c r="GV5" s="2" t="s">
        <v>137</v>
      </c>
      <c r="GW5" s="2"/>
      <c r="GX5" s="9" t="s">
        <v>139</v>
      </c>
      <c r="GY5" s="9"/>
    </row>
    <row r="6" spans="1:207" s="6" customFormat="1" ht="15">
      <c r="A6" s="6" t="s">
        <v>6</v>
      </c>
      <c r="B6" s="6" t="s">
        <v>7</v>
      </c>
      <c r="C6" s="6" t="s">
        <v>8</v>
      </c>
      <c r="D6" s="6" t="s">
        <v>11</v>
      </c>
      <c r="E6" s="6" t="s">
        <v>12</v>
      </c>
      <c r="F6" s="6" t="s">
        <v>13</v>
      </c>
      <c r="G6" s="6" t="s">
        <v>0</v>
      </c>
      <c r="H6" s="6" t="s">
        <v>1</v>
      </c>
      <c r="I6" s="6" t="s">
        <v>2</v>
      </c>
      <c r="J6" s="6" t="s">
        <v>3</v>
      </c>
      <c r="K6" s="6" t="s">
        <v>9</v>
      </c>
      <c r="L6" s="6" t="s">
        <v>10</v>
      </c>
      <c r="M6" s="6" t="s">
        <v>4</v>
      </c>
      <c r="N6" s="6" t="s">
        <v>5</v>
      </c>
      <c r="O6" s="6" t="s">
        <v>14</v>
      </c>
      <c r="P6" s="6" t="s">
        <v>8</v>
      </c>
      <c r="Q6" s="6" t="s">
        <v>11</v>
      </c>
      <c r="R6" s="6" t="s">
        <v>12</v>
      </c>
      <c r="S6" s="6" t="s">
        <v>13</v>
      </c>
      <c r="T6" s="6" t="s">
        <v>0</v>
      </c>
      <c r="U6" s="6" t="s">
        <v>1</v>
      </c>
      <c r="V6" s="6" t="s">
        <v>2</v>
      </c>
      <c r="W6" s="6" t="s">
        <v>3</v>
      </c>
      <c r="X6" s="6" t="s">
        <v>9</v>
      </c>
      <c r="Y6" s="6" t="s">
        <v>10</v>
      </c>
      <c r="Z6" s="6" t="s">
        <v>4</v>
      </c>
      <c r="AA6" s="6" t="s">
        <v>5</v>
      </c>
      <c r="AB6" s="6" t="s">
        <v>8</v>
      </c>
      <c r="AC6" s="6" t="s">
        <v>11</v>
      </c>
      <c r="AD6" s="6" t="s">
        <v>12</v>
      </c>
      <c r="AE6" s="6" t="s">
        <v>13</v>
      </c>
      <c r="AF6" s="6" t="s">
        <v>0</v>
      </c>
      <c r="AG6" s="6" t="s">
        <v>1</v>
      </c>
      <c r="AH6" s="6" t="s">
        <v>2</v>
      </c>
      <c r="AI6" s="6" t="s">
        <v>3</v>
      </c>
      <c r="AJ6" s="6" t="s">
        <v>9</v>
      </c>
      <c r="AK6" s="6" t="s">
        <v>10</v>
      </c>
      <c r="AL6" s="6" t="s">
        <v>14</v>
      </c>
      <c r="AM6" s="6" t="s">
        <v>8</v>
      </c>
      <c r="AN6" s="6" t="s">
        <v>11</v>
      </c>
      <c r="AO6" s="6" t="s">
        <v>12</v>
      </c>
      <c r="AP6" s="6" t="s">
        <v>13</v>
      </c>
      <c r="AQ6" s="6" t="s">
        <v>0</v>
      </c>
      <c r="AR6" s="6" t="s">
        <v>1</v>
      </c>
      <c r="AS6" s="6" t="s">
        <v>2</v>
      </c>
      <c r="AT6" s="6" t="s">
        <v>3</v>
      </c>
      <c r="AU6" s="6" t="s">
        <v>9</v>
      </c>
      <c r="AV6" s="6" t="s">
        <v>10</v>
      </c>
      <c r="AW6" s="6" t="s">
        <v>14</v>
      </c>
      <c r="AX6" s="6" t="s">
        <v>22</v>
      </c>
      <c r="AY6" s="6" t="s">
        <v>23</v>
      </c>
      <c r="AZ6" s="6" t="s">
        <v>24</v>
      </c>
      <c r="BA6" s="6" t="s">
        <v>25</v>
      </c>
      <c r="BB6" s="6" t="s">
        <v>26</v>
      </c>
      <c r="BC6" s="6" t="s">
        <v>27</v>
      </c>
      <c r="BD6" s="6" t="s">
        <v>28</v>
      </c>
      <c r="BE6" s="6" t="s">
        <v>29</v>
      </c>
      <c r="BF6" s="6" t="s">
        <v>30</v>
      </c>
      <c r="BG6" s="6" t="s">
        <v>31</v>
      </c>
      <c r="BH6" s="6" t="s">
        <v>4</v>
      </c>
      <c r="BI6" s="6" t="s">
        <v>5</v>
      </c>
      <c r="BJ6" s="6" t="s">
        <v>88</v>
      </c>
      <c r="BK6" s="42" t="s">
        <v>89</v>
      </c>
      <c r="BL6" s="6" t="s">
        <v>34</v>
      </c>
      <c r="BM6" s="6" t="s">
        <v>35</v>
      </c>
      <c r="BN6" s="6" t="s">
        <v>36</v>
      </c>
      <c r="BO6" s="6" t="s">
        <v>37</v>
      </c>
      <c r="BP6" s="6" t="s">
        <v>38</v>
      </c>
      <c r="BQ6" s="6" t="s">
        <v>39</v>
      </c>
      <c r="BR6" s="6" t="s">
        <v>40</v>
      </c>
      <c r="BS6" s="6" t="s">
        <v>41</v>
      </c>
      <c r="BT6" s="6" t="s">
        <v>42</v>
      </c>
      <c r="BU6" s="6" t="s">
        <v>43</v>
      </c>
      <c r="BV6" s="6" t="s">
        <v>44</v>
      </c>
      <c r="BW6" s="6" t="s">
        <v>45</v>
      </c>
      <c r="BX6" s="6" t="s">
        <v>46</v>
      </c>
      <c r="BY6" s="6" t="s">
        <v>22</v>
      </c>
      <c r="BZ6" s="6" t="s">
        <v>23</v>
      </c>
      <c r="CA6" s="6" t="s">
        <v>24</v>
      </c>
      <c r="CB6" s="6" t="s">
        <v>25</v>
      </c>
      <c r="CC6" s="6" t="s">
        <v>26</v>
      </c>
      <c r="CD6" s="6" t="s">
        <v>27</v>
      </c>
      <c r="CE6" s="6" t="s">
        <v>28</v>
      </c>
      <c r="CF6" s="6" t="s">
        <v>29</v>
      </c>
      <c r="CG6" s="6" t="s">
        <v>30</v>
      </c>
      <c r="CH6" s="6" t="s">
        <v>31</v>
      </c>
      <c r="CI6" s="6" t="s">
        <v>59</v>
      </c>
      <c r="CJ6" s="6" t="s">
        <v>47</v>
      </c>
      <c r="CK6" s="6" t="s">
        <v>48</v>
      </c>
      <c r="CL6" s="6" t="s">
        <v>49</v>
      </c>
      <c r="CN6" s="6" t="s">
        <v>6</v>
      </c>
      <c r="CO6" s="6" t="s">
        <v>50</v>
      </c>
      <c r="CP6" s="6" t="s">
        <v>51</v>
      </c>
      <c r="CQ6" s="6" t="s">
        <v>52</v>
      </c>
      <c r="CR6" s="6" t="s">
        <v>53</v>
      </c>
      <c r="CS6" s="6" t="s">
        <v>54</v>
      </c>
      <c r="CT6" s="6" t="s">
        <v>55</v>
      </c>
      <c r="CU6" s="6" t="s">
        <v>56</v>
      </c>
      <c r="CV6" s="6" t="s">
        <v>57</v>
      </c>
      <c r="CW6" s="6" t="s">
        <v>82</v>
      </c>
      <c r="CY6" s="42" t="s">
        <v>32</v>
      </c>
      <c r="CZ6" s="6" t="s">
        <v>22</v>
      </c>
      <c r="DA6" s="6" t="s">
        <v>23</v>
      </c>
      <c r="DB6" s="6" t="s">
        <v>24</v>
      </c>
      <c r="DC6" s="6" t="s">
        <v>25</v>
      </c>
      <c r="DD6" s="6" t="s">
        <v>26</v>
      </c>
      <c r="DE6" s="6" t="s">
        <v>27</v>
      </c>
      <c r="DF6" s="6" t="s">
        <v>28</v>
      </c>
      <c r="DG6" s="6" t="s">
        <v>29</v>
      </c>
      <c r="DH6" s="6" t="s">
        <v>30</v>
      </c>
      <c r="DI6" s="6" t="s">
        <v>31</v>
      </c>
      <c r="DJ6" s="6" t="s">
        <v>4</v>
      </c>
      <c r="DK6" s="6" t="s">
        <v>5</v>
      </c>
      <c r="DL6" s="6" t="s">
        <v>88</v>
      </c>
      <c r="DM6" s="42" t="s">
        <v>90</v>
      </c>
      <c r="DN6" s="42" t="s">
        <v>32</v>
      </c>
      <c r="DO6" s="6" t="s">
        <v>22</v>
      </c>
      <c r="DP6" s="6" t="s">
        <v>23</v>
      </c>
      <c r="DQ6" s="6" t="s">
        <v>24</v>
      </c>
      <c r="DR6" s="6" t="s">
        <v>25</v>
      </c>
      <c r="DS6" s="6" t="s">
        <v>26</v>
      </c>
      <c r="DT6" s="6" t="s">
        <v>27</v>
      </c>
      <c r="DU6" s="6" t="s">
        <v>28</v>
      </c>
      <c r="DV6" s="6" t="s">
        <v>29</v>
      </c>
      <c r="DW6" s="6" t="s">
        <v>30</v>
      </c>
      <c r="DX6" s="6" t="s">
        <v>31</v>
      </c>
      <c r="DY6" s="6" t="s">
        <v>4</v>
      </c>
      <c r="DZ6" s="6" t="s">
        <v>5</v>
      </c>
      <c r="EA6" s="6" t="s">
        <v>88</v>
      </c>
      <c r="EB6" s="42" t="s">
        <v>90</v>
      </c>
      <c r="EC6" s="6" t="s">
        <v>92</v>
      </c>
      <c r="ED6" s="6" t="s">
        <v>22</v>
      </c>
      <c r="EE6" s="6" t="s">
        <v>23</v>
      </c>
      <c r="EF6" s="6" t="s">
        <v>24</v>
      </c>
      <c r="EG6" s="6" t="s">
        <v>25</v>
      </c>
      <c r="EH6" s="6" t="s">
        <v>93</v>
      </c>
      <c r="EI6" s="6" t="s">
        <v>94</v>
      </c>
      <c r="EJ6" s="6" t="s">
        <v>27</v>
      </c>
      <c r="EK6" s="6" t="s">
        <v>28</v>
      </c>
      <c r="EL6" s="6" t="s">
        <v>29</v>
      </c>
      <c r="EM6" s="6" t="s">
        <v>30</v>
      </c>
      <c r="EN6" s="6" t="s">
        <v>31</v>
      </c>
      <c r="EO6" s="6" t="s">
        <v>105</v>
      </c>
      <c r="EP6" s="6" t="s">
        <v>0</v>
      </c>
      <c r="EQ6" s="1" t="s">
        <v>107</v>
      </c>
      <c r="ER6" s="6" t="s">
        <v>106</v>
      </c>
      <c r="ES6" s="6" t="s">
        <v>22</v>
      </c>
      <c r="ET6" s="6" t="s">
        <v>97</v>
      </c>
      <c r="EU6" s="6" t="s">
        <v>98</v>
      </c>
      <c r="EV6" s="43" t="s">
        <v>14</v>
      </c>
      <c r="EW6" s="6" t="s">
        <v>101</v>
      </c>
      <c r="EX6" s="6" t="s">
        <v>23</v>
      </c>
      <c r="EY6" s="6" t="s">
        <v>25</v>
      </c>
      <c r="EZ6" s="6" t="s">
        <v>93</v>
      </c>
      <c r="FA6" s="6" t="s">
        <v>27</v>
      </c>
      <c r="FB6" s="6" t="s">
        <v>94</v>
      </c>
      <c r="FC6" s="6" t="s">
        <v>29</v>
      </c>
      <c r="FD6" s="43" t="s">
        <v>14</v>
      </c>
      <c r="FE6" s="6" t="s">
        <v>94</v>
      </c>
      <c r="FF6" s="6" t="s">
        <v>28</v>
      </c>
      <c r="FG6" s="6" t="s">
        <v>30</v>
      </c>
      <c r="FH6" s="43" t="s">
        <v>14</v>
      </c>
      <c r="FI6" s="6" t="s">
        <v>30</v>
      </c>
      <c r="FJ6" s="6" t="s">
        <v>31</v>
      </c>
      <c r="FK6" s="43" t="s">
        <v>14</v>
      </c>
      <c r="FO6" s="6" t="s">
        <v>110</v>
      </c>
      <c r="FP6" s="6" t="s">
        <v>123</v>
      </c>
      <c r="FQ6" s="6" t="s">
        <v>111</v>
      </c>
      <c r="FR6" s="6" t="s">
        <v>112</v>
      </c>
      <c r="FS6" s="6" t="s">
        <v>122</v>
      </c>
      <c r="FT6" s="6" t="s">
        <v>116</v>
      </c>
      <c r="FU6" s="6" t="s">
        <v>117</v>
      </c>
      <c r="FV6" s="6" t="s">
        <v>113</v>
      </c>
      <c r="FW6" s="6" t="s">
        <v>114</v>
      </c>
      <c r="FX6" s="6" t="s">
        <v>115</v>
      </c>
      <c r="FY6" s="6" t="s">
        <v>126</v>
      </c>
      <c r="FZ6" s="6" t="s">
        <v>127</v>
      </c>
      <c r="GA6" s="6" t="s">
        <v>128</v>
      </c>
      <c r="GB6" s="6" t="s">
        <v>129</v>
      </c>
      <c r="GC6" s="6" t="s">
        <v>130</v>
      </c>
      <c r="GD6" s="6" t="s">
        <v>131</v>
      </c>
      <c r="GE6" s="6" t="s">
        <v>132</v>
      </c>
      <c r="GF6" s="6" t="s">
        <v>133</v>
      </c>
      <c r="GG6" s="6" t="s">
        <v>134</v>
      </c>
      <c r="GH6" s="6" t="s">
        <v>117</v>
      </c>
      <c r="GI6" s="6" t="s">
        <v>116</v>
      </c>
      <c r="GJ6" s="6" t="s">
        <v>113</v>
      </c>
      <c r="GK6" s="6" t="s">
        <v>8</v>
      </c>
      <c r="GL6" s="6" t="s">
        <v>11</v>
      </c>
      <c r="GM6" s="6" t="s">
        <v>12</v>
      </c>
      <c r="GN6" s="6" t="s">
        <v>0</v>
      </c>
      <c r="GO6" s="6" t="s">
        <v>1</v>
      </c>
      <c r="GP6" s="6" t="s">
        <v>2</v>
      </c>
      <c r="GQ6" s="6" t="s">
        <v>10</v>
      </c>
      <c r="GR6" s="6" t="s">
        <v>107</v>
      </c>
      <c r="GS6" s="6" t="s">
        <v>14</v>
      </c>
      <c r="GU6" s="6" t="s">
        <v>6</v>
      </c>
      <c r="GV6" s="48" t="s">
        <v>138</v>
      </c>
      <c r="GW6" s="48" t="s">
        <v>116</v>
      </c>
      <c r="GX6" s="49" t="s">
        <v>138</v>
      </c>
      <c r="GY6" s="49" t="s">
        <v>116</v>
      </c>
    </row>
    <row r="7" spans="1:207">
      <c r="A7" s="35">
        <v>15211</v>
      </c>
      <c r="B7" s="2" t="s">
        <v>158</v>
      </c>
      <c r="C7" s="36">
        <v>42.12</v>
      </c>
      <c r="D7" s="36">
        <v>3.49</v>
      </c>
      <c r="E7" s="36">
        <v>11.6</v>
      </c>
      <c r="F7" s="36"/>
      <c r="G7" s="36">
        <v>12.56</v>
      </c>
      <c r="H7" s="36">
        <v>13.4</v>
      </c>
      <c r="I7" s="36">
        <v>11.33</v>
      </c>
      <c r="J7" s="36">
        <v>0.2097</v>
      </c>
      <c r="K7" s="36">
        <v>2.2599999999999998</v>
      </c>
      <c r="L7" s="36">
        <v>0.87290000000000001</v>
      </c>
      <c r="M7" s="36"/>
      <c r="N7" s="36">
        <v>5.1499999999999997E-2</v>
      </c>
      <c r="O7" s="4">
        <f t="shared" ref="O7:O41" si="0">SUM(C7:N7)</f>
        <v>97.894100000000009</v>
      </c>
      <c r="P7" s="5">
        <f t="shared" ref="P7:P41" si="1">C7/C$3</f>
        <v>0.70101507382128103</v>
      </c>
      <c r="Q7" s="5">
        <f t="shared" ref="Q7:Q41" si="2">D7/D$3</f>
        <v>4.3698303904800312E-2</v>
      </c>
      <c r="R7" s="5">
        <f t="shared" ref="R7:R41" si="3">E7/E$3</f>
        <v>0.11376868214163974</v>
      </c>
      <c r="S7" s="5">
        <f t="shared" ref="S7:S41" si="4">F7/F$3</f>
        <v>0</v>
      </c>
      <c r="T7" s="5">
        <f t="shared" ref="T7:T41" si="5">G7/G$3</f>
        <v>0.17482225476167942</v>
      </c>
      <c r="U7" s="5">
        <f t="shared" ref="U7:U41" si="6">H7/H$3</f>
        <v>0.33246990403032922</v>
      </c>
      <c r="V7" s="5">
        <f t="shared" ref="V7:V41" si="7">I7/I$3</f>
        <v>0.20204217741906721</v>
      </c>
      <c r="W7" s="5">
        <f t="shared" ref="W7:W41" si="8">J7/J$3</f>
        <v>2.956125473302543E-3</v>
      </c>
      <c r="X7" s="5">
        <f t="shared" ref="X7:X41" si="9">K7/K$3</f>
        <v>3.6463998900271605E-2</v>
      </c>
      <c r="Y7" s="5">
        <f t="shared" ref="Y7:Y41" si="10">L7/L$3</f>
        <v>9.2668478491655694E-3</v>
      </c>
      <c r="Z7" s="5">
        <f t="shared" ref="Z7:Z41" si="11">M7/M$3</f>
        <v>0</v>
      </c>
      <c r="AA7" s="5">
        <f t="shared" ref="AA7:AA41" si="12">N7/N$3</f>
        <v>1.4526397143235915E-3</v>
      </c>
      <c r="AB7" s="5">
        <f t="shared" ref="AB7:AB41" si="13">P7*2</f>
        <v>1.4020301476425621</v>
      </c>
      <c r="AC7" s="5">
        <f t="shared" ref="AC7:AC41" si="14">Q7*2</f>
        <v>8.7396607809600624E-2</v>
      </c>
      <c r="AD7" s="5">
        <f t="shared" ref="AD7:AD41" si="15">R7*3</f>
        <v>0.34130604642491924</v>
      </c>
      <c r="AE7" s="5">
        <f t="shared" ref="AE7:AE41" si="16">S7*3</f>
        <v>0</v>
      </c>
      <c r="AF7" s="5">
        <f t="shared" ref="AF7:AF41" si="17">T7</f>
        <v>0.17482225476167942</v>
      </c>
      <c r="AG7" s="5">
        <f t="shared" ref="AG7:AG41" si="18">U7</f>
        <v>0.33246990403032922</v>
      </c>
      <c r="AH7" s="5">
        <f t="shared" ref="AH7:AH41" si="19">V7</f>
        <v>0.20204217741906721</v>
      </c>
      <c r="AI7" s="5">
        <f t="shared" ref="AI7:AI41" si="20">W7</f>
        <v>2.956125473302543E-3</v>
      </c>
      <c r="AJ7" s="5">
        <f t="shared" ref="AJ7:AJ41" si="21">X7</f>
        <v>3.6463998900271605E-2</v>
      </c>
      <c r="AK7" s="5">
        <f t="shared" ref="AK7:AK41" si="22">Y7</f>
        <v>9.2668478491655694E-3</v>
      </c>
      <c r="AL7" s="5">
        <f t="shared" ref="AL7:AL41" si="23">SUM(AB7:AK7)</f>
        <v>2.588754110310898</v>
      </c>
      <c r="AM7" s="4">
        <f t="shared" ref="AM7:AM41" si="24">AB7*$AM$3/$AL7</f>
        <v>12.456452803818529</v>
      </c>
      <c r="AN7" s="4">
        <f t="shared" ref="AN7:AN41" si="25">AC7*$AM$3/$AL7</f>
        <v>0.77648239035703848</v>
      </c>
      <c r="AO7" s="4">
        <f t="shared" ref="AO7:AO41" si="26">AD7*$AM$3/$AL7</f>
        <v>3.0323617977106321</v>
      </c>
      <c r="AP7" s="4">
        <f t="shared" ref="AP7:AP41" si="27">AE7*$AM$3/$AL7</f>
        <v>0</v>
      </c>
      <c r="AQ7" s="4">
        <f t="shared" ref="AQ7:AQ41" si="28">AF7*$AM$3/$AL7</f>
        <v>1.5532227813771518</v>
      </c>
      <c r="AR7" s="4">
        <f t="shared" ref="AR7:AR41" si="29">AG7*$AM$3/$AL7</f>
        <v>2.9538563597989707</v>
      </c>
      <c r="AS7" s="4">
        <f t="shared" ref="AS7:AS41" si="30">AH7*$AM$3/$AL7</f>
        <v>1.7950604354928346</v>
      </c>
      <c r="AT7" s="4">
        <f t="shared" ref="AT7:AT41" si="31">AI7*$AM$3/$AL7</f>
        <v>2.6263941258520333E-2</v>
      </c>
      <c r="AU7" s="4">
        <f t="shared" ref="AU7:AU41" si="32">AJ7*$AM$3/$AL7</f>
        <v>0.32396741404131507</v>
      </c>
      <c r="AV7" s="4">
        <f t="shared" ref="AV7:AV41" si="33">AK7*$AM$3/$AL7</f>
        <v>8.233207614500368E-2</v>
      </c>
      <c r="AW7" s="4">
        <f t="shared" ref="AW7:AW41" si="34">SUM(AM7:AV7)</f>
        <v>22.999999999999996</v>
      </c>
      <c r="AX7" s="5">
        <f t="shared" ref="AX7:AX41" si="35">AM7/2</f>
        <v>6.2282264019092644</v>
      </c>
      <c r="AY7" s="5">
        <f t="shared" ref="AY7:AY41" si="36">AN7/2</f>
        <v>0.38824119517851924</v>
      </c>
      <c r="AZ7" s="5">
        <f t="shared" ref="AZ7:AZ41" si="37">AO7*2/3</f>
        <v>2.0215745318070879</v>
      </c>
      <c r="BA7" s="5">
        <f t="shared" ref="BA7:BA41" si="38">AP7*2/3</f>
        <v>0</v>
      </c>
      <c r="BB7" s="5">
        <f t="shared" ref="BB7:BB41" si="39">AQ7</f>
        <v>1.5532227813771518</v>
      </c>
      <c r="BC7" s="5">
        <f t="shared" ref="BC7:BC41" si="40">AR7</f>
        <v>2.9538563597989707</v>
      </c>
      <c r="BD7" s="5">
        <f t="shared" ref="BD7:BD41" si="41">AS7</f>
        <v>1.7950604354928346</v>
      </c>
      <c r="BE7" s="5">
        <f t="shared" ref="BE7:BE41" si="42">AT7</f>
        <v>2.6263941258520333E-2</v>
      </c>
      <c r="BF7" s="5">
        <f t="shared" ref="BF7:BF41" si="43">AU7*2</f>
        <v>0.64793482808263014</v>
      </c>
      <c r="BG7" s="5">
        <f t="shared" ref="BG7:BG41" si="44">AV7*2</f>
        <v>0.16466415229000736</v>
      </c>
      <c r="BH7" s="5">
        <f t="shared" ref="BH7:BH41" si="45">Z7*$AM$3/$AL7</f>
        <v>0</v>
      </c>
      <c r="BI7" s="5">
        <f t="shared" ref="BI7:BI41" si="46">AA7*$AM$3/$AL7</f>
        <v>1.2906097684739215E-2</v>
      </c>
      <c r="BJ7" s="5">
        <f t="shared" ref="BJ7:BJ41" si="47">2-BH7-BI7</f>
        <v>1.9870939023152607</v>
      </c>
      <c r="BK7" s="5">
        <f t="shared" ref="BK7:BK41" si="48">SUM(AX7:BG7)</f>
        <v>15.779044627194985</v>
      </c>
      <c r="BL7" s="11">
        <f t="shared" ref="BL7:BL41" si="49">IF(16/BK7&gt;1,1,16/BK7)</f>
        <v>1</v>
      </c>
      <c r="BM7" s="11">
        <f t="shared" ref="BM7:BM41" si="50">IF(8/AX7&gt;1,1,8/AX7)</f>
        <v>1</v>
      </c>
      <c r="BN7" s="11">
        <f t="shared" ref="BN7:BN41" si="51">IF(15/(BK7-BF7-BG7)&gt;1,1,15/(BK7-BF7-BG7))</f>
        <v>1</v>
      </c>
      <c r="BO7" s="11">
        <f t="shared" ref="BO7:BO41" si="52">IF(2/BD7&gt;1,1,2/BD7)</f>
        <v>1</v>
      </c>
      <c r="BP7" s="11">
        <f>1</f>
        <v>1</v>
      </c>
      <c r="BQ7" s="11">
        <f t="shared" ref="BQ7:BQ41" si="53">IF(8/(AX7+AZ7)&gt;1,"FAIL",8/(AX7+AZ7))</f>
        <v>0.96972036831877551</v>
      </c>
      <c r="BR7" s="11">
        <f t="shared" ref="BR7:BR41" si="54">IF(15/(BK7-BG7)&gt;1,"FAIL",15/(BK7-BG7))</f>
        <v>0.96065290737007503</v>
      </c>
      <c r="BS7" s="11">
        <f t="shared" ref="BS7:BS41" si="55">IF(12.9/(BK7-BF7-BG7-BD7)&gt;1,"FAIL",12.9/(BK7-BF7-BG7-BD7))</f>
        <v>0.97939584888185649</v>
      </c>
      <c r="BT7" s="11">
        <f t="shared" ref="BT7:BT41" si="56">IF(36/(46+AZ7+AX7+AY7)&gt;1,"FAIL",36/(46+AZ7+AX7+AY7))</f>
        <v>0.65888158867540569</v>
      </c>
      <c r="BU7" s="11">
        <f t="shared" ref="BU7:BU41" si="57">IF(1-BB7/46&gt;1,"FAIL",1-BB7/46)</f>
        <v>0.9662342873613663</v>
      </c>
      <c r="BV7" s="5">
        <f t="shared" ref="BV7:BV41" si="58">MIN(BL7:BP7)</f>
        <v>1</v>
      </c>
      <c r="BW7" s="11">
        <f t="shared" ref="BW7:BW41" si="59">IF(OR(BQ7="FAIL",BR7="FAIL",BS7="FAIL",BT7="FAIL",BU7="FAIL"),"FAIL",MAX(BQ7:BU7))</f>
        <v>0.97939584888185649</v>
      </c>
      <c r="BX7" s="11">
        <f t="shared" ref="BX7:BX41" si="60">IF(BW7="FAIL","FAIL",AVERAGE(BV7:BW7))</f>
        <v>0.9896979244409283</v>
      </c>
      <c r="BY7" s="11">
        <f t="shared" ref="BY7:BY41" si="61">IF($BX7="FAIL","",AX7*$BX7)</f>
        <v>6.1640627429177899</v>
      </c>
      <c r="BZ7" s="11">
        <f t="shared" ref="BZ7:BZ41" si="62">IF($BX7="FAIL","",AY7*$BX7)</f>
        <v>0.3842415050506458</v>
      </c>
      <c r="CA7" s="11">
        <f t="shared" ref="CA7:CA41" si="63">IF($BX7="FAIL","",AZ7*$BX7)</f>
        <v>2.0007481182321163</v>
      </c>
      <c r="CB7" s="11">
        <f t="shared" ref="CB7:CB41" si="64">IF($BX7="FAIL","",BA7*$BX7)</f>
        <v>0</v>
      </c>
      <c r="CC7" s="11">
        <f t="shared" ref="CC7:CC41" si="65">IF($BX7="FAIL","",BB7*$BX7)</f>
        <v>1.5372213629233329</v>
      </c>
      <c r="CD7" s="11">
        <f t="shared" ref="CD7:CD41" si="66">IF($BX7="FAIL","",BC7*$BX7)</f>
        <v>2.923425508389677</v>
      </c>
      <c r="CE7" s="11">
        <f t="shared" ref="CE7:CE41" si="67">IF($BX7="FAIL","",BD7*$BX7)</f>
        <v>1.7765675872532873</v>
      </c>
      <c r="CF7" s="11">
        <f t="shared" ref="CF7:CF41" si="68">IF($BX7="FAIL","",BE7*$BX7)</f>
        <v>2.5993368151196034E-2</v>
      </c>
      <c r="CG7" s="11">
        <f t="shared" ref="CG7:CG41" si="69">IF($BX7="FAIL","",BF7*$BX7)</f>
        <v>0.64125975452636874</v>
      </c>
      <c r="CH7" s="11">
        <f t="shared" ref="CH7:CH41" si="70">IF($BX7="FAIL","",BG7*$BX7)</f>
        <v>0.16296776975124522</v>
      </c>
      <c r="CI7" s="11">
        <f t="shared" ref="CI7:CI41" si="71">IF(BX7="FAIL","",BX7*BK7)</f>
        <v>15.616487717195657</v>
      </c>
      <c r="CJ7" s="11">
        <f t="shared" ref="CJ7:CJ41" si="72">IF($BX7="FAIL","",46*(1-BX7))</f>
        <v>0.47389547571729818</v>
      </c>
      <c r="CK7" s="11">
        <f t="shared" ref="CK7:CK41" si="73">IF($BX7="FAIL","",CC7-CJ7)</f>
        <v>1.0633258872060347</v>
      </c>
      <c r="CL7" s="13">
        <f t="shared" ref="CL7:CL41" si="74">IF($BX7="FAIL","",BY7+BZ7+CA7+CJ7+CD7+CF7+CK7-13)</f>
        <v>3.569260566476018E-2</v>
      </c>
      <c r="CN7" s="32">
        <f t="shared" ref="CN7:CN41" si="75">IF(BX7="FAIL","",A7)</f>
        <v>15211</v>
      </c>
      <c r="CO7" s="12">
        <f t="shared" ref="CO7:CO41" si="76">IF($CN7="","",(BY7-4)/4)</f>
        <v>0.54101568572944747</v>
      </c>
      <c r="CP7" s="12">
        <f t="shared" ref="CP7:CP41" si="77">IF($CN7="","",(8-BY7)/4)</f>
        <v>0.45898431427055253</v>
      </c>
      <c r="CQ7" s="12">
        <f t="shared" ref="CQ7:CQ41" si="78">IF($CN7="","",(CA7+BY7-8)/2)</f>
        <v>8.2405430574953087E-2</v>
      </c>
      <c r="CR7" s="12">
        <f t="shared" ref="CR7:CR41" si="79">IF($CN7="","",CH7)</f>
        <v>0.16296776975124522</v>
      </c>
      <c r="CS7" s="14">
        <f t="shared" ref="CS7:CS41" si="80">IF($CN7="","",3-CE7-CG7-CH7-CL7)</f>
        <v>0.38351228280433852</v>
      </c>
      <c r="CT7" s="14">
        <f t="shared" ref="CT7:CT41" si="81">IF($CN7="","",CE7+CG7+CL7-2)</f>
        <v>0.45351994744441626</v>
      </c>
      <c r="CU7" s="14">
        <f t="shared" ref="CU7:CU41" si="82">IF($CN7="","",(2-CE7-CL7)/2)</f>
        <v>9.3869903540976241E-2</v>
      </c>
      <c r="CV7" s="12">
        <f t="shared" ref="CV7:CV41" si="83">IF($CN7="","",CE7/2)</f>
        <v>0.88828379362664367</v>
      </c>
      <c r="CW7" s="2" t="str">
        <f t="shared" ref="CW7:CW51" si="84">B7</f>
        <v>26eHP01.7</v>
      </c>
      <c r="CY7" s="5">
        <f t="shared" ref="CY7:CY41" si="85">SUM(AX7:BC7,BE7)</f>
        <v>13.171385211329515</v>
      </c>
      <c r="CZ7" s="5">
        <f t="shared" ref="CZ7:CZ41" si="86">AX7*13/$CY7</f>
        <v>6.1471851233365964</v>
      </c>
      <c r="DA7" s="5">
        <f t="shared" ref="DA7:DA41" si="87">AY7*13/$CY7</f>
        <v>0.38318942589116595</v>
      </c>
      <c r="DB7" s="5">
        <f t="shared" ref="DB7:DB41" si="88">AZ7*13/$CY7</f>
        <v>1.9952699349258045</v>
      </c>
      <c r="DC7" s="5">
        <f t="shared" ref="DC7:DC41" si="89">BA7*13/$CY7</f>
        <v>0</v>
      </c>
      <c r="DD7" s="5">
        <f t="shared" ref="DD7:DD41" si="90">BB7*13/$CY7</f>
        <v>1.53301234713982</v>
      </c>
      <c r="DE7" s="5">
        <f t="shared" ref="DE7:DE41" si="91">BC7*13/$CY7</f>
        <v>2.9154209721507733</v>
      </c>
      <c r="DF7" s="5">
        <f t="shared" ref="DF7:DF41" si="92">BD7*13/$CY7</f>
        <v>1.7717032253626832</v>
      </c>
      <c r="DG7" s="5">
        <f t="shared" ref="DG7:DG41" si="93">BE7*13/$CY7</f>
        <v>2.5922196555839733E-2</v>
      </c>
      <c r="DH7" s="5">
        <f t="shared" ref="DH7:DH41" si="94">BF7*13/$CY7</f>
        <v>0.63950394206289884</v>
      </c>
      <c r="DI7" s="5">
        <f t="shared" ref="DI7:DI41" si="95">BG7*13/$CY7</f>
        <v>0.16252155300482785</v>
      </c>
      <c r="DJ7" s="5">
        <f t="shared" ref="DJ7:DJ41" si="96">BH7*13/$CY7</f>
        <v>0</v>
      </c>
      <c r="DK7" s="5">
        <f t="shared" ref="DK7:DK41" si="97">BI7*13/$CY7</f>
        <v>1.2738164377524437E-2</v>
      </c>
      <c r="DL7" s="5">
        <f t="shared" ref="DL7:DL41" si="98">BJ7*13/$CY7</f>
        <v>1.9612379651517984</v>
      </c>
      <c r="DM7" s="5">
        <f t="shared" ref="DM7:DM41" si="99">SUM(DG7,CZ7:DE7)</f>
        <v>13</v>
      </c>
      <c r="DN7" s="5">
        <f t="shared" ref="DN7:DN41" si="100">SUM(AX7:BE7)</f>
        <v>14.966445646822349</v>
      </c>
      <c r="DO7" s="5">
        <f t="shared" ref="DO7:DO41" si="101">AX7*15/$DN7</f>
        <v>6.2421899115689143</v>
      </c>
      <c r="DP7" s="5">
        <f t="shared" ref="DP7:DP41" si="102">AY7*15/$DN7</f>
        <v>0.38911162109583775</v>
      </c>
      <c r="DQ7" s="5">
        <f t="shared" ref="DQ7:DQ41" si="103">AZ7*15/$DN7</f>
        <v>2.0261068454516176</v>
      </c>
      <c r="DR7" s="5">
        <f t="shared" ref="DR7:DR41" si="104">BA7*15/$DN7</f>
        <v>0</v>
      </c>
      <c r="DS7" s="5">
        <f t="shared" ref="DS7:DS41" si="105">BB7*15/$DN7</f>
        <v>1.5567050634767075</v>
      </c>
      <c r="DT7" s="5">
        <f t="shared" ref="DT7:DT41" si="106">BC7*15/$DN7</f>
        <v>2.9604788232663597</v>
      </c>
      <c r="DU7" s="5">
        <f t="shared" ref="DU7:DU41" si="107">BD7*15/$DN7</f>
        <v>1.7990849108592046</v>
      </c>
      <c r="DV7" s="5">
        <f t="shared" ref="DV7:DV41" si="108">BE7*15/$DN7</f>
        <v>2.6322824281358331E-2</v>
      </c>
      <c r="DW7" s="5">
        <f t="shared" ref="DW7:DW41" si="109">BF7*15/$DN7</f>
        <v>0.64938747987254941</v>
      </c>
      <c r="DX7" s="5">
        <f t="shared" ref="DX7:DX41" si="110">BG7*15/$DN7</f>
        <v>0.16503332472092522</v>
      </c>
      <c r="DY7" s="5">
        <f t="shared" ref="DY7:DY41" si="111">BH7*15/$DN7</f>
        <v>0</v>
      </c>
      <c r="DZ7" s="5">
        <f t="shared" ref="DZ7:DZ41" si="112">BI7*15/$DN7</f>
        <v>1.293503279532447E-2</v>
      </c>
      <c r="EA7" s="5">
        <f t="shared" ref="EA7:EA41" si="113">BJ7*15/$DN7</f>
        <v>1.9915489113513973</v>
      </c>
      <c r="EB7" s="5">
        <f t="shared" ref="EB7:EB41" si="114">SUM(DO7:DV7)</f>
        <v>15</v>
      </c>
      <c r="EC7" s="5">
        <f t="shared" ref="EC7:EC41" si="115">IF(DF7&lt;1.5, DO7*4+DP7*4+DQ7*3+DR7*3+DS7*2+DT7*2+DU7*2+DV7*2+DW7+DX7, CZ7*4+DA7*4+DB7*3+DC7*3+DD7*2+DE7*2+DF7*2+DG7*2+DH7+DI7)</f>
        <v>45.40145097917442</v>
      </c>
      <c r="ED7" s="1">
        <f t="shared" ref="ED7:ED41" si="116">IF($CZ7+$DA7+$DB7&lt;8, DO7, CZ7)</f>
        <v>6.1471851233365964</v>
      </c>
      <c r="EE7" s="5">
        <f t="shared" ref="EE7:EE41" si="117">IF($CZ7+$DA7+$DB7&lt;8, DP7, DA7)</f>
        <v>0.38318942589116595</v>
      </c>
      <c r="EF7" s="5">
        <f t="shared" ref="EF7:EF41" si="118">IF($CZ7+$DA7+$DB7&lt;8, DQ7, DB7)</f>
        <v>1.9952699349258045</v>
      </c>
      <c r="EG7" s="5">
        <f t="shared" ref="EG7:EG41" si="119">IF($CZ7+$DA7+$DB7&lt;8, DR7, DC7)</f>
        <v>0</v>
      </c>
      <c r="EH7" s="5">
        <f t="shared" ref="EH7:EH41" si="120">IF($EC7&gt;46, 0, 46-$EC7)</f>
        <v>0.5985490208255797</v>
      </c>
      <c r="EI7" s="5">
        <f t="shared" ref="EI7:EI41" si="121">IF($CZ7+$DA7+$DB7&lt;8, $DS7-$EH7, $DD7-$EH7)</f>
        <v>0.93446332631424034</v>
      </c>
      <c r="EJ7" s="5">
        <f t="shared" ref="EJ7:EJ41" si="122">IF($CZ7+$DA7+$DB7&lt;8, DT7, DE7)</f>
        <v>2.9154209721507733</v>
      </c>
      <c r="EK7" s="5">
        <f t="shared" ref="EK7:EK41" si="123">IF($CZ7+$DA7+$DB7&lt;8, DU7, DF7)</f>
        <v>1.7717032253626832</v>
      </c>
      <c r="EL7" s="5">
        <f t="shared" ref="EL7:EL41" si="124">IF($CZ7+$DA7+$DB7&lt;8, DV7, DG7)</f>
        <v>2.5922196555839733E-2</v>
      </c>
      <c r="EM7" s="5">
        <f t="shared" ref="EM7:EM41" si="125">IF($CZ7+$DA7+$DB7&lt;8, DW7, DH7)</f>
        <v>0.63950394206289884</v>
      </c>
      <c r="EN7" s="5">
        <f t="shared" ref="EN7:EN41" si="126">IF($CZ7+$DA7+$DB7&lt;8, DX7, DI7)</f>
        <v>0.16252155300482785</v>
      </c>
      <c r="EO7" s="5">
        <f t="shared" ref="EO7:EO41" si="127">($EH7/($EH7+$EI7))*$G7*$O$3/($G$3*2)</f>
        <v>5.4499638182949557</v>
      </c>
      <c r="EP7" s="5">
        <f t="shared" ref="EP7:EP41" si="128">($EI7/($EH7+$EI7))*$G7</f>
        <v>7.6560762216981582</v>
      </c>
      <c r="EQ7" s="5">
        <f t="shared" ref="EQ7:EQ41" si="129">$EA7*$AL7*$P$3/(23*2)</f>
        <v>2.0191331690348453</v>
      </c>
      <c r="ER7" s="5">
        <f t="shared" ref="ER7:ER41" si="130">SUM(EO7:EQ7,C7:F7,H7:N7)</f>
        <v>100.45927320902797</v>
      </c>
      <c r="ES7" s="5">
        <f t="shared" ref="ES7:ES41" si="131">ED7</f>
        <v>6.1471851233365964</v>
      </c>
      <c r="ET7" s="5">
        <f t="shared" ref="ET7:ET41" si="132">IF(8-$ES7&lt;$EF7, 8-$ES7, $EF7)</f>
        <v>1.8528148766634036</v>
      </c>
      <c r="EU7" s="5">
        <f t="shared" ref="EU7:EU41" si="133">IF(8-$ES7-$ET7&lt;$EE7, 8-$ES7-$ET7, $EE7)</f>
        <v>0</v>
      </c>
      <c r="EV7" s="44">
        <f t="shared" ref="EV7:EV41" si="134">SUM(ES7:EU7)</f>
        <v>8</v>
      </c>
      <c r="EW7" s="5">
        <f t="shared" ref="EW7:EW41" si="135">EF7-ET7</f>
        <v>0.1424550582624009</v>
      </c>
      <c r="EX7" s="5">
        <f t="shared" ref="EX7:EX41" si="136">EE7-EU7</f>
        <v>0.38318942589116595</v>
      </c>
      <c r="EY7" s="5">
        <f t="shared" ref="EY7:EY41" si="137">EG7</f>
        <v>0</v>
      </c>
      <c r="EZ7" s="5">
        <f t="shared" ref="EZ7:EZ41" si="138">EH7</f>
        <v>0.5985490208255797</v>
      </c>
      <c r="FA7" s="5">
        <f t="shared" ref="FA7:FA41" si="139">EJ7</f>
        <v>2.9154209721507733</v>
      </c>
      <c r="FB7" s="5">
        <f t="shared" ref="FB7:FB41" si="140">IF(5-EW7-EX7-EY7-EZ7-FA7&lt;EI7, 5-EW7-EX7-EY7-EZ7-FA7, EI7)</f>
        <v>0.93446332631424034</v>
      </c>
      <c r="FC7" s="5">
        <f t="shared" ref="FC7:FC41" si="141">EL7</f>
        <v>2.5922196555839733E-2</v>
      </c>
      <c r="FD7" s="44">
        <f t="shared" ref="FD7:FD41" si="142">SUM(EW7:FC7)</f>
        <v>5</v>
      </c>
      <c r="FE7" s="5">
        <f t="shared" ref="FE7:FE41" si="143">EH7+EI7-EZ7-FB7</f>
        <v>0</v>
      </c>
      <c r="FF7" s="5">
        <f t="shared" ref="FF7:FF41" si="144">EK7</f>
        <v>1.7717032253626832</v>
      </c>
      <c r="FG7" s="5">
        <f t="shared" ref="FG7:FG41" si="145">IF(2-FE7-FF7&lt;EM7, 2-FE7-FF7, EM7)</f>
        <v>0.22829677463731679</v>
      </c>
      <c r="FH7" s="44">
        <f t="shared" ref="FH7:FH41" si="146">SUM(FE7:FG7)</f>
        <v>2</v>
      </c>
      <c r="FI7" s="5">
        <f t="shared" ref="FI7:FI41" si="147">EM7-FG7</f>
        <v>0.41120716742558205</v>
      </c>
      <c r="FJ7" s="5">
        <f t="shared" ref="FJ7:FJ41" si="148">EN7</f>
        <v>0.16252155300482785</v>
      </c>
      <c r="FK7" s="44">
        <f t="shared" ref="FK7:FK41" si="149">SUM(FI7:FJ7)</f>
        <v>0.5737287204304099</v>
      </c>
      <c r="FL7" s="1" t="str">
        <f t="shared" ref="FL7:FL41" si="150">IF(OR(ER7&lt;98, EZ7&lt;0, FB7&lt;0, FI7&lt;0, FK7&gt;1, FA7/(FA7+FB7+FE7)&lt;0.5), "Fail", "Pass")</f>
        <v>Pass</v>
      </c>
      <c r="FM7" s="5">
        <f t="shared" ref="FM7:FM41" si="151">EW7/(ET7+EW7)</f>
        <v>7.1396383902160188E-2</v>
      </c>
      <c r="FN7" s="1" t="str">
        <f t="shared" ref="FN7:FN41" si="152">IF(FF7&lt;1.5, "Low-Ca", IF(FL7="Fail", "Invalid",IF(FM7&gt;0.21, "Xenocryst", IF(ES7&gt;=6.5, "Mg-Hbl", IF(FK7&gt;0.5, "Mg-Hst", "Tsch-Prg")))))</f>
        <v>Mg-Hst</v>
      </c>
      <c r="FO7" s="5">
        <f t="shared" ref="FO7:FO41" si="153">ES7+ET7/15-2*EU7-EW7/2-EX7/1.8+EZ7/9+FB7/3.3+FA7/26+FF7/5+FG7/1.3-FI7/15+(1-FK7)/2.3</f>
        <v>7.1362783755743333</v>
      </c>
      <c r="FP7" s="5">
        <f t="shared" ref="FP7:FP41" si="154">EF7</f>
        <v>1.9952699349258045</v>
      </c>
      <c r="FQ7" s="5">
        <f t="shared" ref="FQ7:FQ41" si="155">FA7+ES7/47-EW7/9-1.3*EX7+EZ7/3.7+FB7/5.2-FF7/20-FI7/2.8+(1-FK7)/9.5</f>
        <v>2.6831378400676669</v>
      </c>
      <c r="FR7" s="5">
        <f t="shared" ref="FR7:FR41" si="156">EW7+ET7/13.9-(ES7+EX7)/5-FB7/3-FA7/1.7+(FF7+(1-FK7))/1.2+FI7/2.7-1.56*FJ7-(EZ7/(EZ7+FA7+FB7+FC7))/1.6</f>
        <v>-1.4099626298935264</v>
      </c>
      <c r="FS7" s="1" t="str">
        <f t="shared" ref="FS7:FS41" si="157">IF(OR(FL7="Fail", FN7="Low-Ca"), "NO", "YES")</f>
        <v>YES</v>
      </c>
      <c r="FT7" s="32">
        <f t="shared" ref="FT7:FT41" si="158">IF($FS7="yes", -151.487*FO7+2041, "")</f>
        <v>959.94659771937108</v>
      </c>
      <c r="FU7" s="32">
        <f t="shared" ref="FU7:FU41" si="159">IF($FS7="yes", 19.209*EXP(1.438*FP7), "")</f>
        <v>338.51793869915298</v>
      </c>
      <c r="FV7" s="46">
        <f t="shared" ref="FV7:FV41" si="160">IF($FS7="yes", 1.644*FQ7-4.01, "")</f>
        <v>0.40107860907124415</v>
      </c>
      <c r="FW7" s="47">
        <f t="shared" ref="FW7:FW41" si="161">IF($FS7="yes", (-25018.7/(FT7+273.15))+(12.981)+(0.046*(FU7*10-1)/(FT7+273.15))-(0.5117*LN(FT7+273.15))+(FV7), "")</f>
        <v>-10.422917480623592</v>
      </c>
      <c r="FX7" s="46">
        <f t="shared" ref="FX7:FX41" si="162">IF($FS7="yes", 5.215*FR7+12.28, "")</f>
        <v>4.9270448851052597</v>
      </c>
      <c r="FY7" s="50">
        <f t="shared" ref="FY7:FY24" si="163">IF(FS7="yes", EXP(125.93-9.5876*$ED7-10.116*$EE7-8.1735*$EF7-9.2261*($EH7+$EI7)-8.7934*$EJ7-1.6659*$EK7+2.4835*$EM7+2.5192*$EN7), "")</f>
        <v>434.64465270600198</v>
      </c>
      <c r="FZ7" s="32">
        <f t="shared" ref="FZ7:FZ24" si="164">IF(FS7="yes", EXP(38.723-2.6957*$ED7-2.3565*$EE7-1.3006*$EF7-2.778*($EH7+$EI7)-2.4838*$EJ7-0.6614*$EK7-0.2705*$EM7+0.1117*$EN7), "")</f>
        <v>339.45164962988054</v>
      </c>
      <c r="GA7" s="32">
        <f t="shared" ref="GA7:GA24" si="165">IF(FS7="yes", 24023-1925.3*$ED7-1720.6*$EE7-1478.5*$EF7-1843.2*($EH7+$EI7)-1746.9*$EJ7-158.28*$EK7-40.444*$EM7+253.52*$EN7, "")</f>
        <v>394.81808274019153</v>
      </c>
      <c r="GB7" s="32">
        <f t="shared" ref="GB7:GB24" si="166">IF(FS7="yes", 26106-1991.9*$ED7-3035*$EE7-1472.2*$EF7-2454.8*($EH7+$EI7)-2125.8*$EJ7-830.64*$EK7+2708.8*$EM7+2204.1*$EN7, "")</f>
        <v>419.01950081409171</v>
      </c>
      <c r="GC7" s="32">
        <f t="shared" ref="GC7:GC24" si="167">IF(FS7="yes", EXP(26.543-1.2085*$ED7-3.8593*$EE7-1.1054*$EF7-2.9068*($EH7+$EI7)-2.6483*$EJ7+0.5134*$EK7+2.9752*$EM7+1.8147*$EN7), "")</f>
        <v>578.13951581639139</v>
      </c>
      <c r="GD7" s="32">
        <f t="shared" ref="GD7:GD24" si="168">IF(FS7="yes", GB7-FZ7, "")</f>
        <v>79.567851184211179</v>
      </c>
      <c r="GE7" s="4">
        <f t="shared" ref="GE7:GE24" si="169">IF(FS7="yes", (FY7-GC7)/FY7, "")</f>
        <v>-0.33014293910444309</v>
      </c>
      <c r="GF7" s="32">
        <f t="shared" ref="GF7:GF24" si="170">IF(FZ7&lt;335,FZ7,IF(GA7&lt;415,GA7,IF(GB7&lt;470,GA7,IF(GD7&gt;500,GC7,IF(GD7&gt;250,GB7,IF(GD7&lt;100,GA7,IF(GE7&lt;-0.45,GA7,AVERAGE(FZ7,GA7,GC7))))))))</f>
        <v>394.81808274019153</v>
      </c>
      <c r="GG7" s="1">
        <f t="shared" ref="GG7:GG24" si="171">IF(FS7="yes", ABS((FY7-GF7*200/(FY7+GF7))), "")</f>
        <v>339.44614266617316</v>
      </c>
      <c r="GH7" s="32">
        <f t="shared" ref="GH7:GH24" si="172">IF(FS7="yes", IF(GG7&lt;50, GF7, AVERAGE(FY7, GF7)), "")</f>
        <v>414.73136772309675</v>
      </c>
      <c r="GI7" s="32">
        <f t="shared" ref="GI7:GI24" si="173">IF(FS7="yes", 17098-1322.3*$ED7-1035.1*$EE7-1208.2*$EF7-1230.4*($EH7+$EI7)-1152.9*$EJ7-130.4*$EK7+200.54*$EM7+29.408*$EN7+24.41*LN(GH7), "")</f>
        <v>963.97529717234011</v>
      </c>
      <c r="GJ7" s="46">
        <f t="shared" ref="GJ7:GJ24" si="174">IF(FS7="yes", 214.39-17.042*$ED7-26.08*$EE7-16.389*$EF7-18.397*($EH7+$EI7)-15.152*$EJ7+0.2162*$EK7+6.1987*$EM7+14.389*$EN7, "")</f>
        <v>1.2439831661724674</v>
      </c>
      <c r="GK7" s="46">
        <f t="shared" ref="GK7:GK24" si="175">IF(FS7="yes", -142.31+22.008*$ED7-15.306*$EE7+2.188*$EF7+16.455*($EH7+$EI7)+12.868*$EJ7+0.4085*$EK7+6.71*$EM7+20.98*$EN7-9.6423*(10^8*GH7^-4), "")</f>
        <v>62.611080944987748</v>
      </c>
      <c r="GL7" s="46">
        <f t="shared" ref="GL7:GL24" si="176">IF(FS7="yes", EXP(97.954-9.0415*$ED7-4.2383*$EE7-4.4955*$EF7-8.4409*($EH7+$EI7)-7.2865*$EJ7-1.9255*$EK7-0.5651*$EM7+0.1928*$EN7+42.139*(GH7^(-1/3))), "")</f>
        <v>0.61039080969855353</v>
      </c>
      <c r="GM7" s="46">
        <f t="shared" ref="GM7:GM24" si="177">IF(FS7="yes", -52.839+3.3116*$ED7+6.8641*$EE7+8.64*$EF7+6.076*($EH7+$EI7)+6.9081*$EJ7-0.3402*$EK7+1.9713*$EM7-0.7151*$EN7+4.8816*(10^28*GH7^-14), "")</f>
        <v>17.383705201523121</v>
      </c>
      <c r="GN7" s="46">
        <f t="shared" ref="GN7:GN24" si="178">IF(FS7="yes", EXP(-8.6576+0.007*$ED7+4.5518*$EE7+1.8145*$EF7+1.1984*($EH7+$EI7)+1.2713*$EJ7+0.3236*$EK7-0.803*$EM7-5.3301*$EN7), "")</f>
        <v>4.4243849252061898</v>
      </c>
      <c r="GO7" s="46">
        <f t="shared" ref="GO7:GO24" si="179">IF(FS7="yes", 73.818-6.2053*$ED7-0.32*$EE7-3.9986*$EF7-6.2767*($EH7+$EI7)-5.3359*$EJ7+1.1256*$EK7-2.8936*$EM7-5.5058*$EN7+8.6765*(10^-62*GH7^20), "")</f>
        <v>1.6422611906355962</v>
      </c>
      <c r="GP7" s="46">
        <f t="shared" ref="GP7:GP24" si="180">IF(FS7="yes", 130.54-12.941*$ED7-2.2341*$EE7+3.0863*$EF7-12.813*($EH7+$EI7)-10.362*$EJ7-4.016*$EK7-7.4515*$EM7-13.561*$EN7+224.48*GH7^-0.5, "")</f>
        <v>3.3775955216828422</v>
      </c>
      <c r="GQ7" s="46">
        <f t="shared" ref="GQ7:GQ24" si="181">IF(FS7="yes", EXP(7.1059-0.1302*$ED7-2.1327*$EE7-1.0459*$EF7-0.5768*($EH7+$EI7)-0.5424*$EJ7-0.9955*$EK7+1.0093*$EM7+9.231*$EN7-0.00051*GH7), "")</f>
        <v>3.0232546579878377</v>
      </c>
      <c r="GR7" s="46">
        <f t="shared" ref="GR7:GR24" si="182">IF(FS7="yes", EXP(-65.907+5.0981*$ED7+3.1308*$EE7+4.9211*$EF7+4.9744*($EH7+$EI7)+4.6536*$EJ7+1.0018*$EK7-0.789*$EM7-0.539*$EN7+0.4642*LN(GH7)), "")</f>
        <v>5.0751056380052866</v>
      </c>
      <c r="GS7" s="46">
        <f t="shared" ref="GS7:GS24" si="183">IF(FS7="yes", SUM(GK7:GR7), "")</f>
        <v>98.147778889727149</v>
      </c>
      <c r="GU7" s="32">
        <f t="shared" ref="GU7:GU41" si="184">A7</f>
        <v>15211</v>
      </c>
      <c r="GV7" s="32">
        <f t="shared" ref="GV7:GV41" si="185">FU7</f>
        <v>338.51793869915298</v>
      </c>
      <c r="GW7" s="32">
        <f t="shared" ref="GW7:GW41" si="186">FT7</f>
        <v>959.94659771937108</v>
      </c>
      <c r="GX7" s="32">
        <f t="shared" ref="GX7:GX41" si="187">GH7</f>
        <v>414.73136772309675</v>
      </c>
      <c r="GY7" s="32">
        <f t="shared" ref="GY7:GY41" si="188">GI7</f>
        <v>963.97529717234011</v>
      </c>
    </row>
    <row r="8" spans="1:207">
      <c r="A8" s="35">
        <v>15212</v>
      </c>
      <c r="B8" s="2" t="s">
        <v>159</v>
      </c>
      <c r="C8" s="36">
        <v>42.67</v>
      </c>
      <c r="D8" s="36">
        <v>3.04</v>
      </c>
      <c r="E8" s="36">
        <v>11.21</v>
      </c>
      <c r="F8" s="36"/>
      <c r="G8" s="36">
        <v>11.93</v>
      </c>
      <c r="H8" s="36">
        <v>13.74</v>
      </c>
      <c r="I8" s="36">
        <v>11.43</v>
      </c>
      <c r="J8" s="36">
        <v>0.20430000000000001</v>
      </c>
      <c r="K8" s="36">
        <v>2.29</v>
      </c>
      <c r="L8" s="36">
        <v>0.80969999999999998</v>
      </c>
      <c r="M8" s="36"/>
      <c r="N8" s="36">
        <v>3.2899999999999999E-2</v>
      </c>
      <c r="O8" s="4">
        <f t="shared" si="0"/>
        <v>97.356899999999996</v>
      </c>
      <c r="P8" s="5">
        <f t="shared" si="1"/>
        <v>0.71016887939112217</v>
      </c>
      <c r="Q8" s="5">
        <f t="shared" si="2"/>
        <v>3.8063852111917748E-2</v>
      </c>
      <c r="R8" s="5">
        <f t="shared" si="3"/>
        <v>0.10994370058687772</v>
      </c>
      <c r="S8" s="5">
        <f t="shared" si="4"/>
        <v>0</v>
      </c>
      <c r="T8" s="5">
        <f t="shared" si="5"/>
        <v>0.16605330408493912</v>
      </c>
      <c r="U8" s="5">
        <f t="shared" si="6"/>
        <v>0.3409057075654271</v>
      </c>
      <c r="V8" s="5">
        <f t="shared" si="7"/>
        <v>0.20382542699911191</v>
      </c>
      <c r="W8" s="5">
        <f t="shared" si="8"/>
        <v>2.880002070556555E-3</v>
      </c>
      <c r="X8" s="5">
        <f t="shared" si="9"/>
        <v>3.694803428390353E-2</v>
      </c>
      <c r="Y8" s="5">
        <f t="shared" si="10"/>
        <v>8.5959064079154102E-3</v>
      </c>
      <c r="Z8" s="5">
        <f t="shared" si="11"/>
        <v>0</v>
      </c>
      <c r="AA8" s="5">
        <f t="shared" si="12"/>
        <v>9.2799702138342071E-4</v>
      </c>
      <c r="AB8" s="5">
        <f t="shared" si="13"/>
        <v>1.4203377587822443</v>
      </c>
      <c r="AC8" s="5">
        <f t="shared" si="14"/>
        <v>7.6127704223835496E-2</v>
      </c>
      <c r="AD8" s="5">
        <f t="shared" si="15"/>
        <v>0.32983110176063313</v>
      </c>
      <c r="AE8" s="5">
        <f t="shared" si="16"/>
        <v>0</v>
      </c>
      <c r="AF8" s="5">
        <f t="shared" si="17"/>
        <v>0.16605330408493912</v>
      </c>
      <c r="AG8" s="5">
        <f t="shared" si="18"/>
        <v>0.3409057075654271</v>
      </c>
      <c r="AH8" s="5">
        <f t="shared" si="19"/>
        <v>0.20382542699911191</v>
      </c>
      <c r="AI8" s="5">
        <f t="shared" si="20"/>
        <v>2.880002070556555E-3</v>
      </c>
      <c r="AJ8" s="5">
        <f t="shared" si="21"/>
        <v>3.694803428390353E-2</v>
      </c>
      <c r="AK8" s="5">
        <f t="shared" si="22"/>
        <v>8.5959064079154102E-3</v>
      </c>
      <c r="AL8" s="5">
        <f t="shared" si="23"/>
        <v>2.5855049461785664</v>
      </c>
      <c r="AM8" s="4">
        <f t="shared" si="24"/>
        <v>12.634966527631404</v>
      </c>
      <c r="AN8" s="4">
        <f t="shared" si="25"/>
        <v>0.67721285922741725</v>
      </c>
      <c r="AO8" s="4">
        <f t="shared" si="26"/>
        <v>2.9340943059138249</v>
      </c>
      <c r="AP8" s="4">
        <f t="shared" si="27"/>
        <v>0</v>
      </c>
      <c r="AQ8" s="4">
        <f t="shared" si="28"/>
        <v>1.4771683185516626</v>
      </c>
      <c r="AR8" s="4">
        <f t="shared" si="29"/>
        <v>3.0326112064081507</v>
      </c>
      <c r="AS8" s="4">
        <f t="shared" si="30"/>
        <v>1.8131795987892112</v>
      </c>
      <c r="AT8" s="4">
        <f t="shared" si="31"/>
        <v>2.5619772153483992E-2</v>
      </c>
      <c r="AU8" s="4">
        <f t="shared" si="32"/>
        <v>0.32868039559770001</v>
      </c>
      <c r="AV8" s="4">
        <f t="shared" si="33"/>
        <v>7.6467015727147633E-2</v>
      </c>
      <c r="AW8" s="4">
        <f t="shared" si="34"/>
        <v>23.000000000000004</v>
      </c>
      <c r="AX8" s="5">
        <f t="shared" si="35"/>
        <v>6.3174832638157019</v>
      </c>
      <c r="AY8" s="5">
        <f t="shared" si="36"/>
        <v>0.33860642961370863</v>
      </c>
      <c r="AZ8" s="5">
        <f t="shared" si="37"/>
        <v>1.9560628706092167</v>
      </c>
      <c r="BA8" s="5">
        <f t="shared" si="38"/>
        <v>0</v>
      </c>
      <c r="BB8" s="5">
        <f t="shared" si="39"/>
        <v>1.4771683185516626</v>
      </c>
      <c r="BC8" s="5">
        <f t="shared" si="40"/>
        <v>3.0326112064081507</v>
      </c>
      <c r="BD8" s="5">
        <f t="shared" si="41"/>
        <v>1.8131795987892112</v>
      </c>
      <c r="BE8" s="5">
        <f t="shared" si="42"/>
        <v>2.5619772153483992E-2</v>
      </c>
      <c r="BF8" s="5">
        <f t="shared" si="43"/>
        <v>0.65736079119540003</v>
      </c>
      <c r="BG8" s="5">
        <f t="shared" si="44"/>
        <v>0.15293403145429527</v>
      </c>
      <c r="BH8" s="5">
        <f t="shared" si="45"/>
        <v>0</v>
      </c>
      <c r="BI8" s="5">
        <f t="shared" si="46"/>
        <v>8.255227484041552E-3</v>
      </c>
      <c r="BJ8" s="5">
        <f t="shared" si="47"/>
        <v>1.9917447725159585</v>
      </c>
      <c r="BK8" s="5">
        <f t="shared" si="48"/>
        <v>15.77102628259083</v>
      </c>
      <c r="BL8" s="11">
        <f t="shared" si="49"/>
        <v>1</v>
      </c>
      <c r="BM8" s="11">
        <f t="shared" si="50"/>
        <v>1</v>
      </c>
      <c r="BN8" s="11">
        <f t="shared" si="51"/>
        <v>1</v>
      </c>
      <c r="BO8" s="11">
        <f t="shared" si="52"/>
        <v>1</v>
      </c>
      <c r="BP8" s="11">
        <f>1</f>
        <v>1</v>
      </c>
      <c r="BQ8" s="11">
        <f t="shared" si="53"/>
        <v>0.96693725640971084</v>
      </c>
      <c r="BR8" s="11">
        <f t="shared" si="54"/>
        <v>0.9604245998040154</v>
      </c>
      <c r="BS8" s="11">
        <f t="shared" si="55"/>
        <v>0.98117125805881911</v>
      </c>
      <c r="BT8" s="11">
        <f t="shared" si="56"/>
        <v>0.65919393962334893</v>
      </c>
      <c r="BU8" s="11">
        <f t="shared" si="57"/>
        <v>0.96788764524887694</v>
      </c>
      <c r="BV8" s="5">
        <f t="shared" si="58"/>
        <v>1</v>
      </c>
      <c r="BW8" s="11">
        <f t="shared" si="59"/>
        <v>0.98117125805881911</v>
      </c>
      <c r="BX8" s="11">
        <f t="shared" si="60"/>
        <v>0.9905856290294095</v>
      </c>
      <c r="BY8" s="11">
        <f t="shared" si="61"/>
        <v>6.2580081327696444</v>
      </c>
      <c r="BZ8" s="11">
        <f t="shared" si="62"/>
        <v>0.33541866307229801</v>
      </c>
      <c r="CA8" s="11">
        <f t="shared" si="63"/>
        <v>1.9376477691035034</v>
      </c>
      <c r="CB8" s="11">
        <f t="shared" si="64"/>
        <v>0</v>
      </c>
      <c r="CC8" s="11">
        <f t="shared" si="65"/>
        <v>1.4632617080148138</v>
      </c>
      <c r="CD8" s="11">
        <f t="shared" si="66"/>
        <v>3.0040610795014544</v>
      </c>
      <c r="CE8" s="11">
        <f t="shared" si="67"/>
        <v>1.796109653409903</v>
      </c>
      <c r="CF8" s="11">
        <f t="shared" si="68"/>
        <v>2.5378578114249088E-2</v>
      </c>
      <c r="CG8" s="11">
        <f t="shared" si="69"/>
        <v>0.65117215284556562</v>
      </c>
      <c r="CH8" s="11">
        <f t="shared" si="70"/>
        <v>0.15149425374815659</v>
      </c>
      <c r="CI8" s="11">
        <f t="shared" si="71"/>
        <v>15.622551990579588</v>
      </c>
      <c r="CJ8" s="11">
        <f t="shared" si="72"/>
        <v>0.4330610646471631</v>
      </c>
      <c r="CK8" s="11">
        <f t="shared" si="73"/>
        <v>1.0302006433676507</v>
      </c>
      <c r="CL8" s="13">
        <f t="shared" si="74"/>
        <v>2.37759305759635E-2</v>
      </c>
      <c r="CN8" s="32">
        <f t="shared" si="75"/>
        <v>15212</v>
      </c>
      <c r="CO8" s="12">
        <f t="shared" si="76"/>
        <v>0.5645020331924111</v>
      </c>
      <c r="CP8" s="12">
        <f t="shared" si="77"/>
        <v>0.4354979668075889</v>
      </c>
      <c r="CQ8" s="12">
        <f t="shared" si="78"/>
        <v>9.7827950936573593E-2</v>
      </c>
      <c r="CR8" s="12">
        <f t="shared" si="79"/>
        <v>0.15149425374815659</v>
      </c>
      <c r="CS8" s="14">
        <f t="shared" si="80"/>
        <v>0.37744800942041123</v>
      </c>
      <c r="CT8" s="14">
        <f t="shared" si="81"/>
        <v>0.47105773683143237</v>
      </c>
      <c r="CU8" s="14">
        <f t="shared" si="82"/>
        <v>9.0057208007066736E-2</v>
      </c>
      <c r="CV8" s="12">
        <f t="shared" si="83"/>
        <v>0.89805482670495151</v>
      </c>
      <c r="CW8" s="2" t="str">
        <f t="shared" si="84"/>
        <v>26eHP01.8</v>
      </c>
      <c r="CY8" s="5">
        <f t="shared" si="85"/>
        <v>13.147551861151923</v>
      </c>
      <c r="CZ8" s="5">
        <f t="shared" si="86"/>
        <v>6.2465836451478003</v>
      </c>
      <c r="DA8" s="5">
        <f t="shared" si="87"/>
        <v>0.33480632983732844</v>
      </c>
      <c r="DB8" s="5">
        <f t="shared" si="88"/>
        <v>1.934110440214827</v>
      </c>
      <c r="DC8" s="5">
        <f t="shared" si="89"/>
        <v>0</v>
      </c>
      <c r="DD8" s="5">
        <f t="shared" si="90"/>
        <v>1.4605904083111279</v>
      </c>
      <c r="DE8" s="5">
        <f t="shared" si="91"/>
        <v>2.9985769289714619</v>
      </c>
      <c r="DF8" s="5">
        <f t="shared" si="92"/>
        <v>1.7928307135192045</v>
      </c>
      <c r="DG8" s="5">
        <f t="shared" si="93"/>
        <v>2.533224751745616E-2</v>
      </c>
      <c r="DH8" s="5">
        <f t="shared" si="94"/>
        <v>0.64998338670112454</v>
      </c>
      <c r="DI8" s="5">
        <f t="shared" si="95"/>
        <v>0.15121768903459165</v>
      </c>
      <c r="DJ8" s="5">
        <f t="shared" si="96"/>
        <v>0</v>
      </c>
      <c r="DK8" s="5">
        <f t="shared" si="97"/>
        <v>8.1625810208545944E-3</v>
      </c>
      <c r="DL8" s="5">
        <f t="shared" si="98"/>
        <v>1.9693918925860674</v>
      </c>
      <c r="DM8" s="5">
        <f t="shared" si="99"/>
        <v>13.000000000000002</v>
      </c>
      <c r="DN8" s="5">
        <f t="shared" si="100"/>
        <v>14.960731459941135</v>
      </c>
      <c r="DO8" s="5">
        <f t="shared" si="101"/>
        <v>6.3340652300972708</v>
      </c>
      <c r="DP8" s="5">
        <f t="shared" si="102"/>
        <v>0.33949519499132924</v>
      </c>
      <c r="DQ8" s="5">
        <f t="shared" si="103"/>
        <v>1.9611970937184176</v>
      </c>
      <c r="DR8" s="5">
        <f t="shared" si="104"/>
        <v>0</v>
      </c>
      <c r="DS8" s="5">
        <f t="shared" si="105"/>
        <v>1.4810455516566114</v>
      </c>
      <c r="DT8" s="5">
        <f t="shared" si="106"/>
        <v>3.0405711256781855</v>
      </c>
      <c r="DU8" s="5">
        <f t="shared" si="107"/>
        <v>1.8179387855909808</v>
      </c>
      <c r="DV8" s="5">
        <f t="shared" si="108"/>
        <v>2.5687018267205229E-2</v>
      </c>
      <c r="DW8" s="5">
        <f t="shared" si="109"/>
        <v>0.65908621475716256</v>
      </c>
      <c r="DX8" s="5">
        <f t="shared" si="110"/>
        <v>0.15333544873503499</v>
      </c>
      <c r="DY8" s="5">
        <f t="shared" si="111"/>
        <v>0</v>
      </c>
      <c r="DZ8" s="5">
        <f t="shared" si="112"/>
        <v>8.276895591113732E-3</v>
      </c>
      <c r="EA8" s="5">
        <f t="shared" si="113"/>
        <v>1.9969726525561826</v>
      </c>
      <c r="EB8" s="5">
        <f t="shared" si="114"/>
        <v>15.000000000000002</v>
      </c>
      <c r="EC8" s="5">
        <f t="shared" si="115"/>
        <v>45.483752892959217</v>
      </c>
      <c r="ED8" s="1">
        <f t="shared" si="116"/>
        <v>6.2465836451478003</v>
      </c>
      <c r="EE8" s="5">
        <f t="shared" si="117"/>
        <v>0.33480632983732844</v>
      </c>
      <c r="EF8" s="5">
        <f t="shared" si="118"/>
        <v>1.934110440214827</v>
      </c>
      <c r="EG8" s="5">
        <f t="shared" si="119"/>
        <v>0</v>
      </c>
      <c r="EH8" s="5">
        <f t="shared" si="120"/>
        <v>0.51624710704078325</v>
      </c>
      <c r="EI8" s="5">
        <f t="shared" si="121"/>
        <v>0.9443433012703446</v>
      </c>
      <c r="EJ8" s="5">
        <f t="shared" si="122"/>
        <v>2.9985769289714619</v>
      </c>
      <c r="EK8" s="5">
        <f t="shared" si="123"/>
        <v>1.7928307135192045</v>
      </c>
      <c r="EL8" s="5">
        <f t="shared" si="124"/>
        <v>2.533224751745616E-2</v>
      </c>
      <c r="EM8" s="5">
        <f t="shared" si="125"/>
        <v>0.64998338670112454</v>
      </c>
      <c r="EN8" s="5">
        <f t="shared" si="126"/>
        <v>0.15121768903459165</v>
      </c>
      <c r="EO8" s="5">
        <f t="shared" si="127"/>
        <v>4.6861861706574297</v>
      </c>
      <c r="EP8" s="5">
        <f t="shared" si="128"/>
        <v>7.7133298425408929</v>
      </c>
      <c r="EQ8" s="5">
        <f t="shared" si="129"/>
        <v>2.0220909022047486</v>
      </c>
      <c r="ER8" s="5">
        <f t="shared" si="130"/>
        <v>99.848506915403078</v>
      </c>
      <c r="ES8" s="5">
        <f t="shared" si="131"/>
        <v>6.2465836451478003</v>
      </c>
      <c r="ET8" s="5">
        <f t="shared" si="132"/>
        <v>1.7534163548521997</v>
      </c>
      <c r="EU8" s="5">
        <f t="shared" si="133"/>
        <v>0</v>
      </c>
      <c r="EV8" s="44">
        <f t="shared" si="134"/>
        <v>8</v>
      </c>
      <c r="EW8" s="5">
        <f t="shared" si="135"/>
        <v>0.18069408536262732</v>
      </c>
      <c r="EX8" s="5">
        <f t="shared" si="136"/>
        <v>0.33480632983732844</v>
      </c>
      <c r="EY8" s="5">
        <f t="shared" si="137"/>
        <v>0</v>
      </c>
      <c r="EZ8" s="5">
        <f t="shared" si="138"/>
        <v>0.51624710704078325</v>
      </c>
      <c r="FA8" s="5">
        <f t="shared" si="139"/>
        <v>2.9985769289714619</v>
      </c>
      <c r="FB8" s="5">
        <f t="shared" si="140"/>
        <v>0.9443433012703446</v>
      </c>
      <c r="FC8" s="5">
        <f t="shared" si="141"/>
        <v>2.533224751745616E-2</v>
      </c>
      <c r="FD8" s="44">
        <f t="shared" si="142"/>
        <v>5.0000000000000018</v>
      </c>
      <c r="FE8" s="5">
        <f t="shared" si="143"/>
        <v>0</v>
      </c>
      <c r="FF8" s="5">
        <f t="shared" si="144"/>
        <v>1.7928307135192045</v>
      </c>
      <c r="FG8" s="5">
        <f t="shared" si="145"/>
        <v>0.20716928648079547</v>
      </c>
      <c r="FH8" s="44">
        <f t="shared" si="146"/>
        <v>2</v>
      </c>
      <c r="FI8" s="5">
        <f t="shared" si="147"/>
        <v>0.44281410022032908</v>
      </c>
      <c r="FJ8" s="5">
        <f t="shared" si="148"/>
        <v>0.15121768903459165</v>
      </c>
      <c r="FK8" s="44">
        <f t="shared" si="149"/>
        <v>0.59403178925492073</v>
      </c>
      <c r="FL8" s="1" t="str">
        <f t="shared" si="150"/>
        <v>Pass</v>
      </c>
      <c r="FM8" s="5">
        <f t="shared" si="151"/>
        <v>9.3424905633908442E-2</v>
      </c>
      <c r="FN8" s="1" t="str">
        <f t="shared" si="152"/>
        <v>Mg-Hst</v>
      </c>
      <c r="FO8" s="5">
        <f t="shared" si="153"/>
        <v>7.2108969278553268</v>
      </c>
      <c r="FP8" s="5">
        <f t="shared" si="154"/>
        <v>1.934110440214827</v>
      </c>
      <c r="FQ8" s="5">
        <f t="shared" si="155"/>
        <v>2.7922324080060279</v>
      </c>
      <c r="FR8" s="5">
        <f t="shared" si="156"/>
        <v>-1.3995994834408036</v>
      </c>
      <c r="FS8" s="1" t="str">
        <f t="shared" si="157"/>
        <v>YES</v>
      </c>
      <c r="FT8" s="32">
        <f t="shared" si="158"/>
        <v>948.64285708998023</v>
      </c>
      <c r="FU8" s="32">
        <f t="shared" si="159"/>
        <v>310.01780528521243</v>
      </c>
      <c r="FV8" s="46">
        <f t="shared" si="160"/>
        <v>0.58043007876190966</v>
      </c>
      <c r="FW8" s="47">
        <f t="shared" si="161"/>
        <v>-10.436127931168471</v>
      </c>
      <c r="FX8" s="46">
        <f t="shared" si="162"/>
        <v>4.9810886938562087</v>
      </c>
      <c r="FY8" s="50">
        <f t="shared" si="163"/>
        <v>407.55147843504454</v>
      </c>
      <c r="FZ8" s="32">
        <f t="shared" si="164"/>
        <v>307.8202652767668</v>
      </c>
      <c r="GA8" s="32">
        <f t="shared" si="165"/>
        <v>358.70770829838506</v>
      </c>
      <c r="GB8" s="32">
        <f t="shared" si="166"/>
        <v>444.84026857940432</v>
      </c>
      <c r="GC8" s="32">
        <f t="shared" si="167"/>
        <v>669.03008975920136</v>
      </c>
      <c r="GD8" s="32">
        <f t="shared" si="168"/>
        <v>137.02000330263752</v>
      </c>
      <c r="GE8" s="4">
        <f t="shared" si="169"/>
        <v>-0.64158425416148068</v>
      </c>
      <c r="GF8" s="32">
        <f t="shared" si="170"/>
        <v>307.8202652767668</v>
      </c>
      <c r="GG8" s="1">
        <f t="shared" si="171"/>
        <v>321.49265154328162</v>
      </c>
      <c r="GH8" s="32">
        <f t="shared" si="172"/>
        <v>357.6858718559057</v>
      </c>
      <c r="GI8" s="32">
        <f t="shared" si="173"/>
        <v>945.154335636881</v>
      </c>
      <c r="GJ8" s="46">
        <f t="shared" si="174"/>
        <v>1.7934504100032997</v>
      </c>
      <c r="GK8" s="46">
        <f t="shared" si="175"/>
        <v>65.099203005432457</v>
      </c>
      <c r="GL8" s="46">
        <f t="shared" si="176"/>
        <v>0.51168371586685724</v>
      </c>
      <c r="GM8" s="46">
        <f t="shared" si="177"/>
        <v>17.008316894329788</v>
      </c>
      <c r="GN8" s="46">
        <f t="shared" si="178"/>
        <v>3.4357020343738958</v>
      </c>
      <c r="GO8" s="46">
        <f t="shared" si="179"/>
        <v>1.3520519950222549</v>
      </c>
      <c r="GP8" s="46">
        <f t="shared" si="180"/>
        <v>2.9137389988046234</v>
      </c>
      <c r="GQ8" s="46">
        <f t="shared" si="181"/>
        <v>3.2268502809999098</v>
      </c>
      <c r="GR8" s="46">
        <f t="shared" si="182"/>
        <v>5.2365330728095563</v>
      </c>
      <c r="GS8" s="46">
        <f t="shared" si="183"/>
        <v>98.78407999763931</v>
      </c>
      <c r="GU8" s="32">
        <f t="shared" si="184"/>
        <v>15212</v>
      </c>
      <c r="GV8" s="32">
        <f t="shared" si="185"/>
        <v>310.01780528521243</v>
      </c>
      <c r="GW8" s="32">
        <f t="shared" si="186"/>
        <v>948.64285708998023</v>
      </c>
      <c r="GX8" s="32">
        <f t="shared" si="187"/>
        <v>357.6858718559057</v>
      </c>
      <c r="GY8" s="32">
        <f t="shared" si="188"/>
        <v>945.154335636881</v>
      </c>
    </row>
    <row r="9" spans="1:207">
      <c r="A9" s="35">
        <v>15213</v>
      </c>
      <c r="B9" s="2" t="s">
        <v>160</v>
      </c>
      <c r="C9" s="36">
        <v>41.48</v>
      </c>
      <c r="D9" s="36">
        <v>3.49</v>
      </c>
      <c r="E9" s="36">
        <v>11.7</v>
      </c>
      <c r="F9" s="36"/>
      <c r="G9" s="36">
        <v>12.52</v>
      </c>
      <c r="H9" s="36">
        <v>13.14</v>
      </c>
      <c r="I9" s="36">
        <v>11.67</v>
      </c>
      <c r="J9" s="36">
        <v>0.16400000000000001</v>
      </c>
      <c r="K9" s="36">
        <v>2.2999999999999998</v>
      </c>
      <c r="L9" s="36">
        <v>0.8659</v>
      </c>
      <c r="M9" s="36"/>
      <c r="N9" s="36">
        <v>4.2099999999999999E-2</v>
      </c>
      <c r="O9" s="4">
        <f t="shared" si="0"/>
        <v>97.372</v>
      </c>
      <c r="P9" s="5">
        <f t="shared" si="1"/>
        <v>0.69036337279455695</v>
      </c>
      <c r="Q9" s="5">
        <f t="shared" si="2"/>
        <v>4.3698303904800312E-2</v>
      </c>
      <c r="R9" s="5">
        <f t="shared" si="3"/>
        <v>0.11474944664286076</v>
      </c>
      <c r="S9" s="5">
        <f t="shared" si="4"/>
        <v>0</v>
      </c>
      <c r="T9" s="5">
        <f t="shared" si="5"/>
        <v>0.17426549598855304</v>
      </c>
      <c r="U9" s="5">
        <f t="shared" si="6"/>
        <v>0.32601899544466612</v>
      </c>
      <c r="V9" s="5">
        <f t="shared" si="7"/>
        <v>0.20810522599121925</v>
      </c>
      <c r="W9" s="5">
        <f t="shared" si="8"/>
        <v>2.3118959352485314E-3</v>
      </c>
      <c r="X9" s="5">
        <f t="shared" si="9"/>
        <v>3.7109379411780836E-2</v>
      </c>
      <c r="Y9" s="5">
        <f t="shared" si="10"/>
        <v>9.1925347148498881E-3</v>
      </c>
      <c r="Z9" s="5">
        <f t="shared" si="11"/>
        <v>0</v>
      </c>
      <c r="AA9" s="5">
        <f t="shared" si="12"/>
        <v>1.187497708214043E-3</v>
      </c>
      <c r="AB9" s="5">
        <f t="shared" si="13"/>
        <v>1.3807267455891139</v>
      </c>
      <c r="AC9" s="5">
        <f t="shared" si="14"/>
        <v>8.7396607809600624E-2</v>
      </c>
      <c r="AD9" s="5">
        <f t="shared" si="15"/>
        <v>0.34424833992858228</v>
      </c>
      <c r="AE9" s="5">
        <f t="shared" si="16"/>
        <v>0</v>
      </c>
      <c r="AF9" s="5">
        <f t="shared" si="17"/>
        <v>0.17426549598855304</v>
      </c>
      <c r="AG9" s="5">
        <f t="shared" si="18"/>
        <v>0.32601899544466612</v>
      </c>
      <c r="AH9" s="5">
        <f t="shared" si="19"/>
        <v>0.20810522599121925</v>
      </c>
      <c r="AI9" s="5">
        <f t="shared" si="20"/>
        <v>2.3118959352485314E-3</v>
      </c>
      <c r="AJ9" s="5">
        <f t="shared" si="21"/>
        <v>3.7109379411780836E-2</v>
      </c>
      <c r="AK9" s="5">
        <f t="shared" si="22"/>
        <v>9.1925347148498881E-3</v>
      </c>
      <c r="AL9" s="5">
        <f t="shared" si="23"/>
        <v>2.569375220813614</v>
      </c>
      <c r="AM9" s="4">
        <f t="shared" si="24"/>
        <v>12.359703203837077</v>
      </c>
      <c r="AN9" s="4">
        <f t="shared" si="25"/>
        <v>0.78233882047959213</v>
      </c>
      <c r="AO9" s="4">
        <f t="shared" si="26"/>
        <v>3.0815708636943198</v>
      </c>
      <c r="AP9" s="4">
        <f t="shared" si="27"/>
        <v>0</v>
      </c>
      <c r="AQ9" s="4">
        <f t="shared" si="28"/>
        <v>1.5599537098623997</v>
      </c>
      <c r="AR9" s="4">
        <f t="shared" si="29"/>
        <v>2.9183892000222835</v>
      </c>
      <c r="AS9" s="4">
        <f t="shared" si="30"/>
        <v>1.8628731837315622</v>
      </c>
      <c r="AT9" s="4">
        <f t="shared" si="31"/>
        <v>2.069515035405314E-2</v>
      </c>
      <c r="AU9" s="4">
        <f t="shared" si="32"/>
        <v>0.33218804305300581</v>
      </c>
      <c r="AV9" s="4">
        <f t="shared" si="33"/>
        <v>8.2287824965711659E-2</v>
      </c>
      <c r="AW9" s="4">
        <f t="shared" si="34"/>
        <v>23.000000000000004</v>
      </c>
      <c r="AX9" s="5">
        <f t="shared" si="35"/>
        <v>6.1798516019185383</v>
      </c>
      <c r="AY9" s="5">
        <f t="shared" si="36"/>
        <v>0.39116941023979607</v>
      </c>
      <c r="AZ9" s="5">
        <f t="shared" si="37"/>
        <v>2.054380575796213</v>
      </c>
      <c r="BA9" s="5">
        <f t="shared" si="38"/>
        <v>0</v>
      </c>
      <c r="BB9" s="5">
        <f t="shared" si="39"/>
        <v>1.5599537098623997</v>
      </c>
      <c r="BC9" s="5">
        <f t="shared" si="40"/>
        <v>2.9183892000222835</v>
      </c>
      <c r="BD9" s="5">
        <f t="shared" si="41"/>
        <v>1.8628731837315622</v>
      </c>
      <c r="BE9" s="5">
        <f t="shared" si="42"/>
        <v>2.069515035405314E-2</v>
      </c>
      <c r="BF9" s="5">
        <f t="shared" si="43"/>
        <v>0.66437608610601162</v>
      </c>
      <c r="BG9" s="5">
        <f t="shared" si="44"/>
        <v>0.16457564993142332</v>
      </c>
      <c r="BH9" s="5">
        <f t="shared" si="45"/>
        <v>0</v>
      </c>
      <c r="BI9" s="5">
        <f t="shared" si="46"/>
        <v>1.0629995598803305E-2</v>
      </c>
      <c r="BJ9" s="5">
        <f t="shared" si="47"/>
        <v>1.9893700044011966</v>
      </c>
      <c r="BK9" s="5">
        <f t="shared" si="48"/>
        <v>15.81626456796228</v>
      </c>
      <c r="BL9" s="11">
        <f t="shared" si="49"/>
        <v>1</v>
      </c>
      <c r="BM9" s="11">
        <f t="shared" si="50"/>
        <v>1</v>
      </c>
      <c r="BN9" s="11">
        <f t="shared" si="51"/>
        <v>1</v>
      </c>
      <c r="BO9" s="11">
        <f t="shared" si="52"/>
        <v>1</v>
      </c>
      <c r="BP9" s="11">
        <f>1</f>
        <v>1</v>
      </c>
      <c r="BQ9" s="11">
        <f t="shared" si="53"/>
        <v>0.97155385315115583</v>
      </c>
      <c r="BR9" s="11">
        <f t="shared" si="54"/>
        <v>0.95836302897126291</v>
      </c>
      <c r="BS9" s="11">
        <f t="shared" si="55"/>
        <v>0.98289910623161891</v>
      </c>
      <c r="BT9" s="11">
        <f t="shared" si="56"/>
        <v>0.65903405656496561</v>
      </c>
      <c r="BU9" s="11">
        <f t="shared" si="57"/>
        <v>0.96608796282907827</v>
      </c>
      <c r="BV9" s="5">
        <f t="shared" si="58"/>
        <v>1</v>
      </c>
      <c r="BW9" s="11">
        <f t="shared" si="59"/>
        <v>0.98289910623161891</v>
      </c>
      <c r="BX9" s="11">
        <f t="shared" si="60"/>
        <v>0.9914495531158094</v>
      </c>
      <c r="BY9" s="11">
        <f t="shared" si="61"/>
        <v>6.1270111090441537</v>
      </c>
      <c r="BZ9" s="11">
        <f t="shared" si="62"/>
        <v>0.38782473697482051</v>
      </c>
      <c r="CA9" s="11">
        <f t="shared" si="63"/>
        <v>2.0368147038029547</v>
      </c>
      <c r="CB9" s="11">
        <f t="shared" si="64"/>
        <v>0</v>
      </c>
      <c r="CC9" s="11">
        <f t="shared" si="65"/>
        <v>1.5466154085244253</v>
      </c>
      <c r="CD9" s="11">
        <f t="shared" si="66"/>
        <v>2.8934356681800977</v>
      </c>
      <c r="CE9" s="11">
        <f t="shared" si="67"/>
        <v>1.8469447855220824</v>
      </c>
      <c r="CF9" s="11">
        <f t="shared" si="68"/>
        <v>2.051819757019047E-2</v>
      </c>
      <c r="CG9" s="11">
        <f t="shared" si="69"/>
        <v>0.65869537367063569</v>
      </c>
      <c r="CH9" s="11">
        <f t="shared" si="70"/>
        <v>0.16316845457825355</v>
      </c>
      <c r="CI9" s="11">
        <f t="shared" si="71"/>
        <v>15.681028437867614</v>
      </c>
      <c r="CJ9" s="11">
        <f t="shared" si="72"/>
        <v>0.39332055667276755</v>
      </c>
      <c r="CK9" s="11">
        <f t="shared" si="73"/>
        <v>1.1532948518516577</v>
      </c>
      <c r="CL9" s="13">
        <f t="shared" si="74"/>
        <v>1.221982409664335E-2</v>
      </c>
      <c r="CN9" s="32">
        <f t="shared" si="75"/>
        <v>15213</v>
      </c>
      <c r="CO9" s="12">
        <f t="shared" si="76"/>
        <v>0.53175277726103842</v>
      </c>
      <c r="CP9" s="12">
        <f t="shared" si="77"/>
        <v>0.46824722273896158</v>
      </c>
      <c r="CQ9" s="12">
        <f t="shared" si="78"/>
        <v>8.1912906423553977E-2</v>
      </c>
      <c r="CR9" s="12">
        <f t="shared" si="79"/>
        <v>0.16316845457825355</v>
      </c>
      <c r="CS9" s="14">
        <f t="shared" si="80"/>
        <v>0.31897156213238498</v>
      </c>
      <c r="CT9" s="14">
        <f t="shared" si="81"/>
        <v>0.51785998328936156</v>
      </c>
      <c r="CU9" s="14">
        <f t="shared" si="82"/>
        <v>7.041769519063712E-2</v>
      </c>
      <c r="CV9" s="12">
        <f t="shared" si="83"/>
        <v>0.92347239276104121</v>
      </c>
      <c r="CW9" s="2" t="str">
        <f t="shared" si="84"/>
        <v>26eHP01.9</v>
      </c>
      <c r="CY9" s="5">
        <f t="shared" si="85"/>
        <v>13.124439648193283</v>
      </c>
      <c r="CZ9" s="5">
        <f t="shared" si="86"/>
        <v>6.1212572100935665</v>
      </c>
      <c r="DA9" s="5">
        <f t="shared" si="87"/>
        <v>0.38746052931999886</v>
      </c>
      <c r="DB9" s="5">
        <f t="shared" si="88"/>
        <v>2.0349019235291514</v>
      </c>
      <c r="DC9" s="5">
        <f t="shared" si="89"/>
        <v>0</v>
      </c>
      <c r="DD9" s="5">
        <f t="shared" si="90"/>
        <v>1.5451629762344077</v>
      </c>
      <c r="DE9" s="5">
        <f t="shared" si="91"/>
        <v>2.8907184319684385</v>
      </c>
      <c r="DF9" s="5">
        <f t="shared" si="92"/>
        <v>1.8452103127956463</v>
      </c>
      <c r="DG9" s="5">
        <f t="shared" si="93"/>
        <v>2.049892885443887E-2</v>
      </c>
      <c r="DH9" s="5">
        <f t="shared" si="94"/>
        <v>0.65807679039212241</v>
      </c>
      <c r="DI9" s="5">
        <f t="shared" si="95"/>
        <v>0.16301522247489061</v>
      </c>
      <c r="DJ9" s="5">
        <f t="shared" si="96"/>
        <v>0</v>
      </c>
      <c r="DK9" s="5">
        <f t="shared" si="97"/>
        <v>1.0529207073878104E-2</v>
      </c>
      <c r="DL9" s="5">
        <f t="shared" si="98"/>
        <v>1.9705077512224081</v>
      </c>
      <c r="DM9" s="5">
        <f t="shared" si="99"/>
        <v>13.000000000000004</v>
      </c>
      <c r="DN9" s="5">
        <f t="shared" si="100"/>
        <v>14.987312831924845</v>
      </c>
      <c r="DO9" s="5">
        <f t="shared" si="101"/>
        <v>6.1850830144360671</v>
      </c>
      <c r="DP9" s="5">
        <f t="shared" si="102"/>
        <v>0.39150054578819138</v>
      </c>
      <c r="DQ9" s="5">
        <f t="shared" si="103"/>
        <v>2.0561196648475835</v>
      </c>
      <c r="DR9" s="5">
        <f t="shared" si="104"/>
        <v>0</v>
      </c>
      <c r="DS9" s="5">
        <f t="shared" si="105"/>
        <v>1.5612742531197827</v>
      </c>
      <c r="DT9" s="5">
        <f t="shared" si="106"/>
        <v>2.9208596958813233</v>
      </c>
      <c r="DU9" s="5">
        <f t="shared" si="107"/>
        <v>1.8644501565651683</v>
      </c>
      <c r="DV9" s="5">
        <f t="shared" si="108"/>
        <v>2.0712669361885098E-2</v>
      </c>
      <c r="DW9" s="5">
        <f t="shared" si="109"/>
        <v>0.66493849853871845</v>
      </c>
      <c r="DX9" s="5">
        <f t="shared" si="110"/>
        <v>0.16471496769673413</v>
      </c>
      <c r="DY9" s="5">
        <f t="shared" si="111"/>
        <v>0</v>
      </c>
      <c r="DZ9" s="5">
        <f t="shared" si="112"/>
        <v>1.0638994179290187E-2</v>
      </c>
      <c r="EA9" s="5">
        <f t="shared" si="113"/>
        <v>1.991054060235125</v>
      </c>
      <c r="EB9" s="5">
        <f t="shared" si="114"/>
        <v>14.999999999999998</v>
      </c>
      <c r="EC9" s="5">
        <f t="shared" si="115"/>
        <v>45.5638500408146</v>
      </c>
      <c r="ED9" s="1">
        <f t="shared" si="116"/>
        <v>6.1212572100935665</v>
      </c>
      <c r="EE9" s="5">
        <f t="shared" si="117"/>
        <v>0.38746052931999886</v>
      </c>
      <c r="EF9" s="5">
        <f t="shared" si="118"/>
        <v>2.0349019235291514</v>
      </c>
      <c r="EG9" s="5">
        <f t="shared" si="119"/>
        <v>0</v>
      </c>
      <c r="EH9" s="5">
        <f t="shared" si="120"/>
        <v>0.43614995918539989</v>
      </c>
      <c r="EI9" s="5">
        <f t="shared" si="121"/>
        <v>1.1090130170490078</v>
      </c>
      <c r="EJ9" s="5">
        <f t="shared" si="122"/>
        <v>2.8907184319684385</v>
      </c>
      <c r="EK9" s="5">
        <f t="shared" si="123"/>
        <v>1.8452103127956463</v>
      </c>
      <c r="EL9" s="5">
        <f t="shared" si="124"/>
        <v>2.049892885443887E-2</v>
      </c>
      <c r="EM9" s="5">
        <f t="shared" si="125"/>
        <v>0.65807679039212241</v>
      </c>
      <c r="EN9" s="5">
        <f t="shared" si="126"/>
        <v>0.16301522247489061</v>
      </c>
      <c r="EO9" s="5">
        <f t="shared" si="127"/>
        <v>3.9274962526778334</v>
      </c>
      <c r="EP9" s="5">
        <f t="shared" si="128"/>
        <v>8.9860054809824721</v>
      </c>
      <c r="EQ9" s="5">
        <f t="shared" si="129"/>
        <v>2.003520397189301</v>
      </c>
      <c r="ER9" s="5">
        <f t="shared" si="130"/>
        <v>99.769022130849606</v>
      </c>
      <c r="ES9" s="5">
        <f t="shared" si="131"/>
        <v>6.1212572100935665</v>
      </c>
      <c r="ET9" s="5">
        <f t="shared" si="132"/>
        <v>1.8787427899064335</v>
      </c>
      <c r="EU9" s="5">
        <f t="shared" si="133"/>
        <v>0</v>
      </c>
      <c r="EV9" s="44">
        <f t="shared" si="134"/>
        <v>8</v>
      </c>
      <c r="EW9" s="5">
        <f t="shared" si="135"/>
        <v>0.15615913362271794</v>
      </c>
      <c r="EX9" s="5">
        <f t="shared" si="136"/>
        <v>0.38746052931999886</v>
      </c>
      <c r="EY9" s="5">
        <f t="shared" si="137"/>
        <v>0</v>
      </c>
      <c r="EZ9" s="5">
        <f t="shared" si="138"/>
        <v>0.43614995918539989</v>
      </c>
      <c r="FA9" s="5">
        <f t="shared" si="139"/>
        <v>2.8907184319684385</v>
      </c>
      <c r="FB9" s="5">
        <f t="shared" si="140"/>
        <v>1.1090130170490078</v>
      </c>
      <c r="FC9" s="5">
        <f t="shared" si="141"/>
        <v>2.049892885443887E-2</v>
      </c>
      <c r="FD9" s="44">
        <f t="shared" si="142"/>
        <v>5.0000000000000018</v>
      </c>
      <c r="FE9" s="5">
        <f t="shared" si="143"/>
        <v>0</v>
      </c>
      <c r="FF9" s="5">
        <f t="shared" si="144"/>
        <v>1.8452103127956463</v>
      </c>
      <c r="FG9" s="5">
        <f t="shared" si="145"/>
        <v>0.15478968720435371</v>
      </c>
      <c r="FH9" s="44">
        <f t="shared" si="146"/>
        <v>2</v>
      </c>
      <c r="FI9" s="5">
        <f t="shared" si="147"/>
        <v>0.5032871031877687</v>
      </c>
      <c r="FJ9" s="5">
        <f t="shared" si="148"/>
        <v>0.16301522247489061</v>
      </c>
      <c r="FK9" s="44">
        <f t="shared" si="149"/>
        <v>0.66630232566265934</v>
      </c>
      <c r="FL9" s="1" t="str">
        <f t="shared" si="150"/>
        <v>Pass</v>
      </c>
      <c r="FM9" s="5">
        <f t="shared" si="151"/>
        <v>7.6740373487823699E-2</v>
      </c>
      <c r="FN9" s="1" t="str">
        <f t="shared" si="152"/>
        <v>Mg-Hst</v>
      </c>
      <c r="FO9" s="5">
        <f t="shared" si="153"/>
        <v>7.0485229728713144</v>
      </c>
      <c r="FP9" s="5">
        <f t="shared" si="154"/>
        <v>2.0349019235291514</v>
      </c>
      <c r="FQ9" s="5">
        <f t="shared" si="155"/>
        <v>2.5941785068566006</v>
      </c>
      <c r="FR9" s="5">
        <f t="shared" si="156"/>
        <v>-1.3938304486787623</v>
      </c>
      <c r="FS9" s="1" t="str">
        <f t="shared" si="157"/>
        <v>YES</v>
      </c>
      <c r="FT9" s="32">
        <f t="shared" si="158"/>
        <v>973.24040040864315</v>
      </c>
      <c r="FU9" s="32">
        <f t="shared" si="159"/>
        <v>358.3706855623048</v>
      </c>
      <c r="FV9" s="46">
        <f t="shared" si="160"/>
        <v>0.25482946527225092</v>
      </c>
      <c r="FW9" s="47">
        <f t="shared" si="161"/>
        <v>-10.352270441057051</v>
      </c>
      <c r="FX9" s="46">
        <f t="shared" si="162"/>
        <v>5.0111742101402541</v>
      </c>
      <c r="FY9" s="50">
        <f t="shared" si="163"/>
        <v>397.82292274143009</v>
      </c>
      <c r="FZ9" s="32">
        <f t="shared" si="164"/>
        <v>333.49587552243298</v>
      </c>
      <c r="GA9" s="32">
        <f t="shared" si="165"/>
        <v>387.28845930201305</v>
      </c>
      <c r="GB9" s="32">
        <f t="shared" si="166"/>
        <v>412.38189562058994</v>
      </c>
      <c r="GC9" s="32">
        <f t="shared" si="167"/>
        <v>635.7777530734943</v>
      </c>
      <c r="GD9" s="32">
        <f t="shared" si="168"/>
        <v>78.886020098156962</v>
      </c>
      <c r="GE9" s="4">
        <f t="shared" si="169"/>
        <v>-0.59814258236377671</v>
      </c>
      <c r="GF9" s="32">
        <f t="shared" si="170"/>
        <v>333.49587552243298</v>
      </c>
      <c r="GG9" s="1">
        <f t="shared" si="171"/>
        <v>306.61895634151097</v>
      </c>
      <c r="GH9" s="32">
        <f t="shared" si="172"/>
        <v>365.65939913193154</v>
      </c>
      <c r="GI9" s="32">
        <f t="shared" si="173"/>
        <v>950.56468649160922</v>
      </c>
      <c r="GJ9" s="46">
        <f t="shared" si="174"/>
        <v>1.2138085476516909</v>
      </c>
      <c r="GK9" s="46">
        <f t="shared" si="175"/>
        <v>62.087532455489637</v>
      </c>
      <c r="GL9" s="46">
        <f t="shared" si="176"/>
        <v>0.74994007220764791</v>
      </c>
      <c r="GM9" s="46">
        <f t="shared" si="177"/>
        <v>17.584012165817757</v>
      </c>
      <c r="GN9" s="46">
        <f t="shared" si="178"/>
        <v>4.7956141840864159</v>
      </c>
      <c r="GO9" s="46">
        <f t="shared" si="179"/>
        <v>1.7251360149897565</v>
      </c>
      <c r="GP9" s="46">
        <f t="shared" si="180"/>
        <v>4.2022529432958331</v>
      </c>
      <c r="GQ9" s="46">
        <f t="shared" si="181"/>
        <v>2.8311780570626537</v>
      </c>
      <c r="GR9" s="46">
        <f t="shared" si="182"/>
        <v>5.1878469890455969</v>
      </c>
      <c r="GS9" s="46">
        <f t="shared" si="183"/>
        <v>99.163512881995302</v>
      </c>
      <c r="GU9" s="32">
        <f t="shared" si="184"/>
        <v>15213</v>
      </c>
      <c r="GV9" s="32">
        <f t="shared" si="185"/>
        <v>358.3706855623048</v>
      </c>
      <c r="GW9" s="32">
        <f t="shared" si="186"/>
        <v>973.24040040864315</v>
      </c>
      <c r="GX9" s="32">
        <f t="shared" si="187"/>
        <v>365.65939913193154</v>
      </c>
      <c r="GY9" s="32">
        <f t="shared" si="188"/>
        <v>950.56468649160922</v>
      </c>
    </row>
    <row r="10" spans="1:207">
      <c r="A10" s="35">
        <v>15214</v>
      </c>
      <c r="B10" s="2" t="s">
        <v>161</v>
      </c>
      <c r="C10" s="36">
        <v>41.49</v>
      </c>
      <c r="D10" s="36">
        <v>3.43</v>
      </c>
      <c r="E10" s="36">
        <v>11.9</v>
      </c>
      <c r="F10" s="36"/>
      <c r="G10" s="36">
        <v>12.72</v>
      </c>
      <c r="H10" s="36">
        <v>13.06</v>
      </c>
      <c r="I10" s="36">
        <v>11.42</v>
      </c>
      <c r="J10" s="36">
        <v>0.17860000000000001</v>
      </c>
      <c r="K10" s="36">
        <v>2.2999999999999998</v>
      </c>
      <c r="L10" s="36">
        <v>0.85780000000000001</v>
      </c>
      <c r="M10" s="36"/>
      <c r="N10" s="36">
        <v>4.5100000000000001E-2</v>
      </c>
      <c r="O10" s="4">
        <f t="shared" si="0"/>
        <v>97.401500000000013</v>
      </c>
      <c r="P10" s="5">
        <f t="shared" si="1"/>
        <v>0.69052980562309962</v>
      </c>
      <c r="Q10" s="5">
        <f t="shared" si="2"/>
        <v>4.29470436657493E-2</v>
      </c>
      <c r="R10" s="5">
        <f t="shared" si="3"/>
        <v>0.11671097564530283</v>
      </c>
      <c r="S10" s="5">
        <f t="shared" si="4"/>
        <v>0</v>
      </c>
      <c r="T10" s="5">
        <f t="shared" si="5"/>
        <v>0.17704928985418492</v>
      </c>
      <c r="U10" s="5">
        <f t="shared" si="6"/>
        <v>0.32403410049523129</v>
      </c>
      <c r="V10" s="5">
        <f t="shared" si="7"/>
        <v>0.20364710204110745</v>
      </c>
      <c r="W10" s="5">
        <f t="shared" si="8"/>
        <v>2.5177110611913885E-3</v>
      </c>
      <c r="X10" s="5">
        <f t="shared" si="9"/>
        <v>3.7109379411780836E-2</v>
      </c>
      <c r="Y10" s="5">
        <f t="shared" si="10"/>
        <v>9.1065438022845981E-3</v>
      </c>
      <c r="Z10" s="5">
        <f t="shared" si="11"/>
        <v>0</v>
      </c>
      <c r="AA10" s="5">
        <f t="shared" si="12"/>
        <v>1.2721174973979415E-3</v>
      </c>
      <c r="AB10" s="5">
        <f t="shared" si="13"/>
        <v>1.3810596112461992</v>
      </c>
      <c r="AC10" s="5">
        <f t="shared" si="14"/>
        <v>8.58940873314986E-2</v>
      </c>
      <c r="AD10" s="5">
        <f t="shared" si="15"/>
        <v>0.35013292693590847</v>
      </c>
      <c r="AE10" s="5">
        <f t="shared" si="16"/>
        <v>0</v>
      </c>
      <c r="AF10" s="5">
        <f t="shared" si="17"/>
        <v>0.17704928985418492</v>
      </c>
      <c r="AG10" s="5">
        <f t="shared" si="18"/>
        <v>0.32403410049523129</v>
      </c>
      <c r="AH10" s="5">
        <f t="shared" si="19"/>
        <v>0.20364710204110745</v>
      </c>
      <c r="AI10" s="5">
        <f t="shared" si="20"/>
        <v>2.5177110611913885E-3</v>
      </c>
      <c r="AJ10" s="5">
        <f t="shared" si="21"/>
        <v>3.7109379411780836E-2</v>
      </c>
      <c r="AK10" s="5">
        <f t="shared" si="22"/>
        <v>9.1065438022845981E-3</v>
      </c>
      <c r="AL10" s="5">
        <f t="shared" si="23"/>
        <v>2.5705507521793867</v>
      </c>
      <c r="AM10" s="4">
        <f t="shared" si="24"/>
        <v>12.357029337674753</v>
      </c>
      <c r="AN10" s="4">
        <f t="shared" si="25"/>
        <v>0.76853725099554171</v>
      </c>
      <c r="AO10" s="4">
        <f t="shared" si="26"/>
        <v>3.1328139748644457</v>
      </c>
      <c r="AP10" s="4">
        <f t="shared" si="27"/>
        <v>0</v>
      </c>
      <c r="AQ10" s="4">
        <f t="shared" si="28"/>
        <v>1.5841483243206853</v>
      </c>
      <c r="AR10" s="4">
        <f t="shared" si="29"/>
        <v>2.899294754274599</v>
      </c>
      <c r="AS10" s="4">
        <f t="shared" si="30"/>
        <v>1.8221322193208365</v>
      </c>
      <c r="AT10" s="4">
        <f t="shared" si="31"/>
        <v>2.2527216923574223E-2</v>
      </c>
      <c r="AU10" s="4">
        <f t="shared" si="32"/>
        <v>0.33203613106931423</v>
      </c>
      <c r="AV10" s="4">
        <f t="shared" si="33"/>
        <v>8.148079055625243E-2</v>
      </c>
      <c r="AW10" s="4">
        <f t="shared" si="34"/>
        <v>23.000000000000004</v>
      </c>
      <c r="AX10" s="5">
        <f t="shared" si="35"/>
        <v>6.1785146688373764</v>
      </c>
      <c r="AY10" s="5">
        <f t="shared" si="36"/>
        <v>0.38426862549777085</v>
      </c>
      <c r="AZ10" s="5">
        <f t="shared" si="37"/>
        <v>2.0885426499096305</v>
      </c>
      <c r="BA10" s="5">
        <f t="shared" si="38"/>
        <v>0</v>
      </c>
      <c r="BB10" s="5">
        <f t="shared" si="39"/>
        <v>1.5841483243206853</v>
      </c>
      <c r="BC10" s="5">
        <f t="shared" si="40"/>
        <v>2.899294754274599</v>
      </c>
      <c r="BD10" s="5">
        <f t="shared" si="41"/>
        <v>1.8221322193208365</v>
      </c>
      <c r="BE10" s="5">
        <f t="shared" si="42"/>
        <v>2.2527216923574223E-2</v>
      </c>
      <c r="BF10" s="5">
        <f t="shared" si="43"/>
        <v>0.66407226213862847</v>
      </c>
      <c r="BG10" s="5">
        <f t="shared" si="44"/>
        <v>0.16296158111250486</v>
      </c>
      <c r="BH10" s="5">
        <f t="shared" si="45"/>
        <v>0</v>
      </c>
      <c r="BI10" s="5">
        <f t="shared" si="46"/>
        <v>1.1382269895020079E-2</v>
      </c>
      <c r="BJ10" s="5">
        <f t="shared" si="47"/>
        <v>1.9886177301049799</v>
      </c>
      <c r="BK10" s="5">
        <f t="shared" si="48"/>
        <v>15.806462302335607</v>
      </c>
      <c r="BL10" s="11">
        <f t="shared" si="49"/>
        <v>1</v>
      </c>
      <c r="BM10" s="11">
        <f t="shared" si="50"/>
        <v>1</v>
      </c>
      <c r="BN10" s="11">
        <f t="shared" si="51"/>
        <v>1</v>
      </c>
      <c r="BO10" s="11">
        <f t="shared" si="52"/>
        <v>1</v>
      </c>
      <c r="BP10" s="11">
        <f>1</f>
        <v>1</v>
      </c>
      <c r="BQ10" s="11">
        <f t="shared" si="53"/>
        <v>0.96769620574162374</v>
      </c>
      <c r="BR10" s="11">
        <f t="shared" si="54"/>
        <v>0.95886465998303805</v>
      </c>
      <c r="BS10" s="11">
        <f t="shared" si="55"/>
        <v>0.9804445962852123</v>
      </c>
      <c r="BT10" s="11">
        <f t="shared" si="56"/>
        <v>0.65872143773285874</v>
      </c>
      <c r="BU10" s="11">
        <f t="shared" si="57"/>
        <v>0.96556199294955036</v>
      </c>
      <c r="BV10" s="5">
        <f t="shared" si="58"/>
        <v>1</v>
      </c>
      <c r="BW10" s="11">
        <f t="shared" si="59"/>
        <v>0.9804445962852123</v>
      </c>
      <c r="BX10" s="11">
        <f t="shared" si="60"/>
        <v>0.99022229814260609</v>
      </c>
      <c r="BY10" s="11">
        <f t="shared" si="61"/>
        <v>6.1181029944839498</v>
      </c>
      <c r="BZ10" s="11">
        <f t="shared" si="62"/>
        <v>0.38051136144450309</v>
      </c>
      <c r="CA10" s="11">
        <f t="shared" si="63"/>
        <v>2.0681215025623625</v>
      </c>
      <c r="CB10" s="11">
        <f t="shared" si="64"/>
        <v>0</v>
      </c>
      <c r="CC10" s="11">
        <f t="shared" si="65"/>
        <v>1.5686589943075875</v>
      </c>
      <c r="CD10" s="11">
        <f t="shared" si="66"/>
        <v>2.8709463145705958</v>
      </c>
      <c r="CE10" s="11">
        <f t="shared" si="67"/>
        <v>1.8043159537355657</v>
      </c>
      <c r="CF10" s="11">
        <f t="shared" si="68"/>
        <v>2.2306952512818678E-2</v>
      </c>
      <c r="CG10" s="11">
        <f t="shared" si="69"/>
        <v>0.65757916154767182</v>
      </c>
      <c r="CH10" s="11">
        <f t="shared" si="70"/>
        <v>0.16136819135817729</v>
      </c>
      <c r="CI10" s="11">
        <f t="shared" si="71"/>
        <v>15.651911426523233</v>
      </c>
      <c r="CJ10" s="11">
        <f t="shared" si="72"/>
        <v>0.44977428544011966</v>
      </c>
      <c r="CK10" s="11">
        <f t="shared" si="73"/>
        <v>1.1188847088674678</v>
      </c>
      <c r="CL10" s="13">
        <f t="shared" si="74"/>
        <v>2.8648119881816925E-2</v>
      </c>
      <c r="CN10" s="32">
        <f t="shared" si="75"/>
        <v>15214</v>
      </c>
      <c r="CO10" s="12">
        <f t="shared" si="76"/>
        <v>0.52952574862098745</v>
      </c>
      <c r="CP10" s="12">
        <f t="shared" si="77"/>
        <v>0.47047425137901255</v>
      </c>
      <c r="CQ10" s="12">
        <f t="shared" si="78"/>
        <v>9.311224852315636E-2</v>
      </c>
      <c r="CR10" s="12">
        <f t="shared" si="79"/>
        <v>0.16136819135817729</v>
      </c>
      <c r="CS10" s="14">
        <f t="shared" si="80"/>
        <v>0.34808857347676825</v>
      </c>
      <c r="CT10" s="14">
        <f t="shared" si="81"/>
        <v>0.49054323516505427</v>
      </c>
      <c r="CU10" s="14">
        <f t="shared" si="82"/>
        <v>8.3517963191308664E-2</v>
      </c>
      <c r="CV10" s="12">
        <f t="shared" si="83"/>
        <v>0.90215797686778287</v>
      </c>
      <c r="CW10" s="2" t="str">
        <f t="shared" si="84"/>
        <v>26eHP01.10</v>
      </c>
      <c r="CY10" s="5">
        <f t="shared" si="85"/>
        <v>13.157296239763637</v>
      </c>
      <c r="CZ10" s="5">
        <f t="shared" si="86"/>
        <v>6.1046501675733955</v>
      </c>
      <c r="DA10" s="5">
        <f t="shared" si="87"/>
        <v>0.37967467178961706</v>
      </c>
      <c r="DB10" s="5">
        <f t="shared" si="88"/>
        <v>2.0635740013795529</v>
      </c>
      <c r="DC10" s="5">
        <f t="shared" si="89"/>
        <v>0</v>
      </c>
      <c r="DD10" s="5">
        <f t="shared" si="90"/>
        <v>1.5652097392115012</v>
      </c>
      <c r="DE10" s="5">
        <f t="shared" si="91"/>
        <v>2.8646335173074191</v>
      </c>
      <c r="DF10" s="5">
        <f t="shared" si="92"/>
        <v>1.8003485229421581</v>
      </c>
      <c r="DG10" s="5">
        <f t="shared" si="93"/>
        <v>2.2257902738513233E-2</v>
      </c>
      <c r="DH10" s="5">
        <f t="shared" si="94"/>
        <v>0.65613323972382143</v>
      </c>
      <c r="DI10" s="5">
        <f t="shared" si="95"/>
        <v>0.1610133659573679</v>
      </c>
      <c r="DJ10" s="5">
        <f t="shared" si="96"/>
        <v>0</v>
      </c>
      <c r="DK10" s="5">
        <f t="shared" si="97"/>
        <v>1.1246194198172072E-2</v>
      </c>
      <c r="DL10" s="5">
        <f t="shared" si="98"/>
        <v>1.964843689787527</v>
      </c>
      <c r="DM10" s="5">
        <f t="shared" si="99"/>
        <v>12.999999999999998</v>
      </c>
      <c r="DN10" s="5">
        <f t="shared" si="100"/>
        <v>14.979428459084474</v>
      </c>
      <c r="DO10" s="5">
        <f t="shared" si="101"/>
        <v>6.1869997433950825</v>
      </c>
      <c r="DP10" s="5">
        <f t="shared" si="102"/>
        <v>0.38479634908706351</v>
      </c>
      <c r="DQ10" s="5">
        <f t="shared" si="103"/>
        <v>2.0914108862174303</v>
      </c>
      <c r="DR10" s="5">
        <f t="shared" si="104"/>
        <v>0</v>
      </c>
      <c r="DS10" s="5">
        <f t="shared" si="105"/>
        <v>1.5863238660751011</v>
      </c>
      <c r="DT10" s="5">
        <f t="shared" si="106"/>
        <v>2.9032764122414996</v>
      </c>
      <c r="DU10" s="5">
        <f t="shared" si="107"/>
        <v>1.8246345889943953</v>
      </c>
      <c r="DV10" s="5">
        <f t="shared" si="108"/>
        <v>2.2558153989425702E-2</v>
      </c>
      <c r="DW10" s="5">
        <f t="shared" si="109"/>
        <v>0.6649842455129451</v>
      </c>
      <c r="DX10" s="5">
        <f t="shared" si="110"/>
        <v>0.16318537942648403</v>
      </c>
      <c r="DY10" s="5">
        <f t="shared" si="111"/>
        <v>0</v>
      </c>
      <c r="DZ10" s="5">
        <f t="shared" si="112"/>
        <v>1.1397901388003709E-2</v>
      </c>
      <c r="EA10" s="5">
        <f t="shared" si="113"/>
        <v>1.9913487375737853</v>
      </c>
      <c r="EB10" s="5">
        <f t="shared" si="114"/>
        <v>15</v>
      </c>
      <c r="EC10" s="5">
        <f t="shared" si="115"/>
        <v>45.450067331671079</v>
      </c>
      <c r="ED10" s="1">
        <f t="shared" si="116"/>
        <v>6.1046501675733955</v>
      </c>
      <c r="EE10" s="5">
        <f t="shared" si="117"/>
        <v>0.37967467178961706</v>
      </c>
      <c r="EF10" s="5">
        <f t="shared" si="118"/>
        <v>2.0635740013795529</v>
      </c>
      <c r="EG10" s="5">
        <f t="shared" si="119"/>
        <v>0</v>
      </c>
      <c r="EH10" s="5">
        <f t="shared" si="120"/>
        <v>0.54993266832892118</v>
      </c>
      <c r="EI10" s="5">
        <f t="shared" si="121"/>
        <v>1.01527707088258</v>
      </c>
      <c r="EJ10" s="5">
        <f t="shared" si="122"/>
        <v>2.8646335173074191</v>
      </c>
      <c r="EK10" s="5">
        <f t="shared" si="123"/>
        <v>1.8003485229421581</v>
      </c>
      <c r="EL10" s="5">
        <f t="shared" si="124"/>
        <v>2.2257902738513233E-2</v>
      </c>
      <c r="EM10" s="5">
        <f t="shared" si="125"/>
        <v>0.65613323972382143</v>
      </c>
      <c r="EN10" s="5">
        <f t="shared" si="126"/>
        <v>0.1610133659573679</v>
      </c>
      <c r="EO10" s="5">
        <f t="shared" si="127"/>
        <v>4.9667694009274896</v>
      </c>
      <c r="EP10" s="5">
        <f t="shared" si="128"/>
        <v>8.2508586664763595</v>
      </c>
      <c r="EQ10" s="5">
        <f t="shared" si="129"/>
        <v>2.004733698707799</v>
      </c>
      <c r="ER10" s="5">
        <f t="shared" si="130"/>
        <v>99.90386176611166</v>
      </c>
      <c r="ES10" s="5">
        <f t="shared" si="131"/>
        <v>6.1046501675733955</v>
      </c>
      <c r="ET10" s="5">
        <f t="shared" si="132"/>
        <v>1.8953498324266045</v>
      </c>
      <c r="EU10" s="5">
        <f t="shared" si="133"/>
        <v>0</v>
      </c>
      <c r="EV10" s="44">
        <f t="shared" si="134"/>
        <v>8</v>
      </c>
      <c r="EW10" s="5">
        <f t="shared" si="135"/>
        <v>0.16822416895294845</v>
      </c>
      <c r="EX10" s="5">
        <f t="shared" si="136"/>
        <v>0.37967467178961706</v>
      </c>
      <c r="EY10" s="5">
        <f t="shared" si="137"/>
        <v>0</v>
      </c>
      <c r="EZ10" s="5">
        <f t="shared" si="138"/>
        <v>0.54993266832892118</v>
      </c>
      <c r="FA10" s="5">
        <f t="shared" si="139"/>
        <v>2.8646335173074191</v>
      </c>
      <c r="FB10" s="5">
        <f t="shared" si="140"/>
        <v>1.01527707088258</v>
      </c>
      <c r="FC10" s="5">
        <f t="shared" si="141"/>
        <v>2.2257902738513233E-2</v>
      </c>
      <c r="FD10" s="44">
        <f t="shared" si="142"/>
        <v>4.9999999999999991</v>
      </c>
      <c r="FE10" s="5">
        <f t="shared" si="143"/>
        <v>0</v>
      </c>
      <c r="FF10" s="5">
        <f t="shared" si="144"/>
        <v>1.8003485229421581</v>
      </c>
      <c r="FG10" s="5">
        <f t="shared" si="145"/>
        <v>0.19965147705784192</v>
      </c>
      <c r="FH10" s="44">
        <f t="shared" si="146"/>
        <v>2</v>
      </c>
      <c r="FI10" s="5">
        <f t="shared" si="147"/>
        <v>0.45648176266597951</v>
      </c>
      <c r="FJ10" s="5">
        <f t="shared" si="148"/>
        <v>0.1610133659573679</v>
      </c>
      <c r="FK10" s="44">
        <f t="shared" si="149"/>
        <v>0.61749512862334743</v>
      </c>
      <c r="FL10" s="1" t="str">
        <f t="shared" si="150"/>
        <v>Pass</v>
      </c>
      <c r="FM10" s="5">
        <f t="shared" si="151"/>
        <v>8.1520783282056378E-2</v>
      </c>
      <c r="FN10" s="1" t="str">
        <f t="shared" si="152"/>
        <v>Mg-Hst</v>
      </c>
      <c r="FO10" s="5">
        <f t="shared" si="153"/>
        <v>7.0644280380118625</v>
      </c>
      <c r="FP10" s="5">
        <f t="shared" si="154"/>
        <v>2.0635740013795529</v>
      </c>
      <c r="FQ10" s="5">
        <f t="shared" si="155"/>
        <v>2.613344128457002</v>
      </c>
      <c r="FR10" s="5">
        <f t="shared" si="156"/>
        <v>-1.3560592440147081</v>
      </c>
      <c r="FS10" s="1" t="str">
        <f t="shared" si="157"/>
        <v>YES</v>
      </c>
      <c r="FT10" s="32">
        <f t="shared" si="158"/>
        <v>970.83098980569707</v>
      </c>
      <c r="FU10" s="32">
        <f t="shared" si="159"/>
        <v>373.45530541234888</v>
      </c>
      <c r="FV10" s="46">
        <f t="shared" si="160"/>
        <v>0.28633774718331129</v>
      </c>
      <c r="FW10" s="47">
        <f t="shared" si="161"/>
        <v>-10.352816268646276</v>
      </c>
      <c r="FX10" s="46">
        <f t="shared" si="162"/>
        <v>5.2081510424632969</v>
      </c>
      <c r="FY10" s="50">
        <f t="shared" si="163"/>
        <v>445.37926284795975</v>
      </c>
      <c r="FZ10" s="32">
        <f t="shared" si="164"/>
        <v>355.85668719643149</v>
      </c>
      <c r="GA10" s="32">
        <f t="shared" si="165"/>
        <v>405.55603992992474</v>
      </c>
      <c r="GB10" s="32">
        <f t="shared" si="166"/>
        <v>460.70804116343021</v>
      </c>
      <c r="GC10" s="32">
        <f t="shared" si="167"/>
        <v>633.73697245326377</v>
      </c>
      <c r="GD10" s="32">
        <f t="shared" si="168"/>
        <v>104.85135396699872</v>
      </c>
      <c r="GE10" s="4">
        <f t="shared" si="169"/>
        <v>-0.42291531132558402</v>
      </c>
      <c r="GF10" s="32">
        <f t="shared" si="170"/>
        <v>405.55603992992474</v>
      </c>
      <c r="GG10" s="1">
        <f t="shared" si="171"/>
        <v>350.05919830110548</v>
      </c>
      <c r="GH10" s="32">
        <f t="shared" si="172"/>
        <v>425.46765138894227</v>
      </c>
      <c r="GI10" s="32">
        <f t="shared" si="173"/>
        <v>960.44861206229916</v>
      </c>
      <c r="GJ10" s="46">
        <f t="shared" si="174"/>
        <v>1.2058612553121932</v>
      </c>
      <c r="GK10" s="46">
        <f t="shared" si="175"/>
        <v>61.849302600531388</v>
      </c>
      <c r="GL10" s="46">
        <f t="shared" si="176"/>
        <v>0.65985716605925737</v>
      </c>
      <c r="GM10" s="46">
        <f t="shared" si="177"/>
        <v>17.677769195477055</v>
      </c>
      <c r="GN10" s="46">
        <f t="shared" si="178"/>
        <v>4.8198708755016719</v>
      </c>
      <c r="GO10" s="46">
        <f t="shared" si="179"/>
        <v>1.6955392311076301</v>
      </c>
      <c r="GP10" s="46">
        <f t="shared" si="180"/>
        <v>3.9019493211928751</v>
      </c>
      <c r="GQ10" s="46">
        <f t="shared" si="181"/>
        <v>2.7892544376051664</v>
      </c>
      <c r="GR10" s="46">
        <f t="shared" si="182"/>
        <v>5.3908252426788774</v>
      </c>
      <c r="GS10" s="46">
        <f t="shared" si="183"/>
        <v>98.784368070153917</v>
      </c>
      <c r="GU10" s="32">
        <f t="shared" si="184"/>
        <v>15214</v>
      </c>
      <c r="GV10" s="32">
        <f t="shared" si="185"/>
        <v>373.45530541234888</v>
      </c>
      <c r="GW10" s="32">
        <f t="shared" si="186"/>
        <v>970.83098980569707</v>
      </c>
      <c r="GX10" s="32">
        <f t="shared" si="187"/>
        <v>425.46765138894227</v>
      </c>
      <c r="GY10" s="32">
        <f t="shared" si="188"/>
        <v>960.44861206229916</v>
      </c>
    </row>
    <row r="11" spans="1:207">
      <c r="A11" s="35">
        <v>15215</v>
      </c>
      <c r="B11" s="2" t="s">
        <v>162</v>
      </c>
      <c r="C11" s="36">
        <v>41.54</v>
      </c>
      <c r="D11" s="36">
        <v>2.85</v>
      </c>
      <c r="E11" s="36">
        <v>11.98</v>
      </c>
      <c r="F11" s="36"/>
      <c r="G11" s="36">
        <v>13.61</v>
      </c>
      <c r="H11" s="36">
        <v>12.84</v>
      </c>
      <c r="I11" s="36">
        <v>11.53</v>
      </c>
      <c r="J11" s="36">
        <v>0.1633</v>
      </c>
      <c r="K11" s="36">
        <v>2.3199999999999998</v>
      </c>
      <c r="L11" s="36">
        <v>0.86799999999999999</v>
      </c>
      <c r="M11" s="36"/>
      <c r="N11" s="36">
        <v>3.2099999999999997E-2</v>
      </c>
      <c r="O11" s="4">
        <f t="shared" si="0"/>
        <v>97.733400000000003</v>
      </c>
      <c r="P11" s="5">
        <f t="shared" si="1"/>
        <v>0.69136196976581232</v>
      </c>
      <c r="Q11" s="5">
        <f t="shared" si="2"/>
        <v>3.5684861354922888E-2</v>
      </c>
      <c r="R11" s="5">
        <f t="shared" si="3"/>
        <v>0.11749558724627966</v>
      </c>
      <c r="S11" s="5">
        <f t="shared" si="4"/>
        <v>0</v>
      </c>
      <c r="T11" s="5">
        <f t="shared" si="5"/>
        <v>0.18943717255624656</v>
      </c>
      <c r="U11" s="5">
        <f t="shared" si="6"/>
        <v>0.31857563938428557</v>
      </c>
      <c r="V11" s="5">
        <f t="shared" si="7"/>
        <v>0.20560867657915663</v>
      </c>
      <c r="W11" s="5">
        <f t="shared" si="8"/>
        <v>2.3020280867444218E-3</v>
      </c>
      <c r="X11" s="5">
        <f t="shared" si="9"/>
        <v>3.7432069667535456E-2</v>
      </c>
      <c r="Y11" s="5">
        <f t="shared" si="10"/>
        <v>9.2148286551445927E-3</v>
      </c>
      <c r="Z11" s="5">
        <f t="shared" si="11"/>
        <v>0</v>
      </c>
      <c r="AA11" s="5">
        <f t="shared" si="12"/>
        <v>9.0543174426771435E-4</v>
      </c>
      <c r="AB11" s="5">
        <f t="shared" si="13"/>
        <v>1.3827239395316246</v>
      </c>
      <c r="AC11" s="5">
        <f t="shared" si="14"/>
        <v>7.1369722709845776E-2</v>
      </c>
      <c r="AD11" s="5">
        <f t="shared" si="15"/>
        <v>0.35248676173883897</v>
      </c>
      <c r="AE11" s="5">
        <f t="shared" si="16"/>
        <v>0</v>
      </c>
      <c r="AF11" s="5">
        <f t="shared" si="17"/>
        <v>0.18943717255624656</v>
      </c>
      <c r="AG11" s="5">
        <f t="shared" si="18"/>
        <v>0.31857563938428557</v>
      </c>
      <c r="AH11" s="5">
        <f t="shared" si="19"/>
        <v>0.20560867657915663</v>
      </c>
      <c r="AI11" s="5">
        <f t="shared" si="20"/>
        <v>2.3020280867444218E-3</v>
      </c>
      <c r="AJ11" s="5">
        <f t="shared" si="21"/>
        <v>3.7432069667535456E-2</v>
      </c>
      <c r="AK11" s="5">
        <f t="shared" si="22"/>
        <v>9.2148286551445927E-3</v>
      </c>
      <c r="AL11" s="5">
        <f t="shared" si="23"/>
        <v>2.5691508389094224</v>
      </c>
      <c r="AM11" s="4">
        <f t="shared" si="24"/>
        <v>12.378662290894239</v>
      </c>
      <c r="AN11" s="4">
        <f t="shared" si="25"/>
        <v>0.63892847296706556</v>
      </c>
      <c r="AO11" s="4">
        <f t="shared" si="26"/>
        <v>3.1555934346909411</v>
      </c>
      <c r="AP11" s="4">
        <f t="shared" si="27"/>
        <v>0</v>
      </c>
      <c r="AQ11" s="4">
        <f t="shared" si="28"/>
        <v>1.6959124792545053</v>
      </c>
      <c r="AR11" s="4">
        <f t="shared" si="29"/>
        <v>2.8520083736885238</v>
      </c>
      <c r="AS11" s="4">
        <f t="shared" si="30"/>
        <v>1.8406858366198589</v>
      </c>
      <c r="AT11" s="4">
        <f t="shared" si="31"/>
        <v>2.0608617132654227E-2</v>
      </c>
      <c r="AU11" s="4">
        <f t="shared" si="32"/>
        <v>0.33510589931682427</v>
      </c>
      <c r="AV11" s="4">
        <f t="shared" si="33"/>
        <v>8.2494595435390006E-2</v>
      </c>
      <c r="AW11" s="4">
        <f t="shared" si="34"/>
        <v>23.000000000000004</v>
      </c>
      <c r="AX11" s="5">
        <f t="shared" si="35"/>
        <v>6.1893311454471194</v>
      </c>
      <c r="AY11" s="5">
        <f t="shared" si="36"/>
        <v>0.31946423648353278</v>
      </c>
      <c r="AZ11" s="5">
        <f t="shared" si="37"/>
        <v>2.1037289564606274</v>
      </c>
      <c r="BA11" s="5">
        <f t="shared" si="38"/>
        <v>0</v>
      </c>
      <c r="BB11" s="5">
        <f t="shared" si="39"/>
        <v>1.6959124792545053</v>
      </c>
      <c r="BC11" s="5">
        <f t="shared" si="40"/>
        <v>2.8520083736885238</v>
      </c>
      <c r="BD11" s="5">
        <f t="shared" si="41"/>
        <v>1.8406858366198589</v>
      </c>
      <c r="BE11" s="5">
        <f t="shared" si="42"/>
        <v>2.0608617132654227E-2</v>
      </c>
      <c r="BF11" s="5">
        <f t="shared" si="43"/>
        <v>0.67021179863364855</v>
      </c>
      <c r="BG11" s="5">
        <f t="shared" si="44"/>
        <v>0.16498919087078001</v>
      </c>
      <c r="BH11" s="5">
        <f t="shared" si="45"/>
        <v>0</v>
      </c>
      <c r="BI11" s="5">
        <f t="shared" si="46"/>
        <v>8.1057638978478171E-3</v>
      </c>
      <c r="BJ11" s="5">
        <f t="shared" si="47"/>
        <v>1.9918942361021521</v>
      </c>
      <c r="BK11" s="5">
        <f t="shared" si="48"/>
        <v>15.856940634591249</v>
      </c>
      <c r="BL11" s="11">
        <f t="shared" si="49"/>
        <v>1</v>
      </c>
      <c r="BM11" s="11">
        <f t="shared" si="50"/>
        <v>1</v>
      </c>
      <c r="BN11" s="11">
        <f t="shared" si="51"/>
        <v>0.99855278778620493</v>
      </c>
      <c r="BO11" s="11">
        <f t="shared" si="52"/>
        <v>1</v>
      </c>
      <c r="BP11" s="11">
        <f>1</f>
        <v>1</v>
      </c>
      <c r="BQ11" s="11">
        <f t="shared" si="53"/>
        <v>0.96466200674943492</v>
      </c>
      <c r="BR11" s="11">
        <f t="shared" si="54"/>
        <v>0.95590405398575395</v>
      </c>
      <c r="BS11" s="11">
        <f t="shared" si="55"/>
        <v>0.97867744016897773</v>
      </c>
      <c r="BT11" s="11">
        <f t="shared" si="56"/>
        <v>0.65918945216551494</v>
      </c>
      <c r="BU11" s="11">
        <f t="shared" si="57"/>
        <v>0.9631323374075107</v>
      </c>
      <c r="BV11" s="5">
        <f t="shared" si="58"/>
        <v>0.99855278778620493</v>
      </c>
      <c r="BW11" s="11">
        <f t="shared" si="59"/>
        <v>0.97867744016897773</v>
      </c>
      <c r="BX11" s="11">
        <f t="shared" si="60"/>
        <v>0.98861511397759139</v>
      </c>
      <c r="BY11" s="11">
        <f t="shared" si="61"/>
        <v>6.1188663158012604</v>
      </c>
      <c r="BZ11" s="11">
        <f t="shared" si="62"/>
        <v>0.31582717256293197</v>
      </c>
      <c r="CA11" s="11">
        <f t="shared" si="63"/>
        <v>2.0797782420692825</v>
      </c>
      <c r="CB11" s="11">
        <f t="shared" si="64"/>
        <v>0</v>
      </c>
      <c r="CC11" s="11">
        <f t="shared" si="65"/>
        <v>1.6766047089742124</v>
      </c>
      <c r="CD11" s="11">
        <f t="shared" si="66"/>
        <v>2.8195385834191251</v>
      </c>
      <c r="CE11" s="11">
        <f t="shared" si="67"/>
        <v>1.8197298381668798</v>
      </c>
      <c r="CF11" s="11">
        <f t="shared" si="68"/>
        <v>2.0373990375519502E-2</v>
      </c>
      <c r="CG11" s="11">
        <f t="shared" si="69"/>
        <v>0.66258151369533103</v>
      </c>
      <c r="CH11" s="11">
        <f t="shared" si="70"/>
        <v>0.16311080773778677</v>
      </c>
      <c r="CI11" s="11">
        <f t="shared" si="71"/>
        <v>15.676411172802327</v>
      </c>
      <c r="CJ11" s="11">
        <f t="shared" si="72"/>
        <v>0.52370475703079622</v>
      </c>
      <c r="CK11" s="11">
        <f t="shared" si="73"/>
        <v>1.1528999519434162</v>
      </c>
      <c r="CL11" s="13">
        <f t="shared" si="74"/>
        <v>3.0989013202329829E-2</v>
      </c>
      <c r="CN11" s="32">
        <f t="shared" si="75"/>
        <v>15215</v>
      </c>
      <c r="CO11" s="12">
        <f t="shared" si="76"/>
        <v>0.5297165789503151</v>
      </c>
      <c r="CP11" s="12">
        <f t="shared" si="77"/>
        <v>0.4702834210496849</v>
      </c>
      <c r="CQ11" s="12">
        <f t="shared" si="78"/>
        <v>9.9322278935271235E-2</v>
      </c>
      <c r="CR11" s="12">
        <f t="shared" si="79"/>
        <v>0.16311080773778677</v>
      </c>
      <c r="CS11" s="14">
        <f t="shared" si="80"/>
        <v>0.32358882719767257</v>
      </c>
      <c r="CT11" s="14">
        <f t="shared" si="81"/>
        <v>0.51330036506454046</v>
      </c>
      <c r="CU11" s="14">
        <f t="shared" si="82"/>
        <v>7.464057431539517E-2</v>
      </c>
      <c r="CV11" s="12">
        <f t="shared" si="83"/>
        <v>0.90986491908343992</v>
      </c>
      <c r="CW11" s="2" t="str">
        <f t="shared" si="84"/>
        <v>26eHP01.11</v>
      </c>
      <c r="CY11" s="5">
        <f t="shared" si="85"/>
        <v>13.181053808466961</v>
      </c>
      <c r="CZ11" s="5">
        <f t="shared" si="86"/>
        <v>6.1043150312555099</v>
      </c>
      <c r="DA11" s="5">
        <f t="shared" si="87"/>
        <v>0.31507610352202559</v>
      </c>
      <c r="DB11" s="5">
        <f t="shared" si="88"/>
        <v>2.074832318522259</v>
      </c>
      <c r="DC11" s="5">
        <f t="shared" si="89"/>
        <v>0</v>
      </c>
      <c r="DD11" s="5">
        <f t="shared" si="90"/>
        <v>1.6726175729702719</v>
      </c>
      <c r="DE11" s="5">
        <f t="shared" si="91"/>
        <v>2.8128334347694306</v>
      </c>
      <c r="DF11" s="5">
        <f t="shared" si="92"/>
        <v>1.8154023360929781</v>
      </c>
      <c r="DG11" s="5">
        <f t="shared" si="93"/>
        <v>2.0325538960504763E-2</v>
      </c>
      <c r="DH11" s="5">
        <f t="shared" si="94"/>
        <v>0.66100582767067684</v>
      </c>
      <c r="DI11" s="5">
        <f t="shared" si="95"/>
        <v>0.16272291369771752</v>
      </c>
      <c r="DJ11" s="5">
        <f t="shared" si="96"/>
        <v>0</v>
      </c>
      <c r="DK11" s="5">
        <f t="shared" si="97"/>
        <v>7.9944238300835354E-3</v>
      </c>
      <c r="DL11" s="5">
        <f t="shared" si="98"/>
        <v>1.9645337501539024</v>
      </c>
      <c r="DM11" s="5">
        <f t="shared" si="99"/>
        <v>13</v>
      </c>
      <c r="DN11" s="5">
        <f t="shared" si="100"/>
        <v>15.02173964508682</v>
      </c>
      <c r="DO11" s="5">
        <f t="shared" si="101"/>
        <v>6.1803738698182062</v>
      </c>
      <c r="DP11" s="5">
        <f t="shared" si="102"/>
        <v>0.31900190393862304</v>
      </c>
      <c r="DQ11" s="5">
        <f t="shared" si="103"/>
        <v>2.1006844142203231</v>
      </c>
      <c r="DR11" s="5">
        <f t="shared" si="104"/>
        <v>0</v>
      </c>
      <c r="DS11" s="5">
        <f t="shared" si="105"/>
        <v>1.6934581340010006</v>
      </c>
      <c r="DT11" s="5">
        <f t="shared" si="106"/>
        <v>2.8478809123362758</v>
      </c>
      <c r="DU11" s="5">
        <f t="shared" si="107"/>
        <v>1.8380219735953429</v>
      </c>
      <c r="DV11" s="5">
        <f t="shared" si="108"/>
        <v>2.0578792090230422E-2</v>
      </c>
      <c r="DW11" s="5">
        <f t="shared" si="109"/>
        <v>0.66924185993283636</v>
      </c>
      <c r="DX11" s="5">
        <f t="shared" si="110"/>
        <v>0.16475041649860767</v>
      </c>
      <c r="DY11" s="5">
        <f t="shared" si="111"/>
        <v>0</v>
      </c>
      <c r="DZ11" s="5">
        <f t="shared" si="112"/>
        <v>8.0940331373327134E-3</v>
      </c>
      <c r="EA11" s="5">
        <f t="shared" si="113"/>
        <v>1.9890115424350772</v>
      </c>
      <c r="EB11" s="5">
        <f t="shared" si="114"/>
        <v>15.000000000000002</v>
      </c>
      <c r="EC11" s="5">
        <f t="shared" si="115"/>
        <v>45.368148001631695</v>
      </c>
      <c r="ED11" s="1">
        <f t="shared" si="116"/>
        <v>6.1043150312555099</v>
      </c>
      <c r="EE11" s="5">
        <f t="shared" si="117"/>
        <v>0.31507610352202559</v>
      </c>
      <c r="EF11" s="5">
        <f t="shared" si="118"/>
        <v>2.074832318522259</v>
      </c>
      <c r="EG11" s="5">
        <f t="shared" si="119"/>
        <v>0</v>
      </c>
      <c r="EH11" s="5">
        <f t="shared" si="120"/>
        <v>0.63185199836830463</v>
      </c>
      <c r="EI11" s="5">
        <f t="shared" si="121"/>
        <v>1.0407655746019673</v>
      </c>
      <c r="EJ11" s="5">
        <f t="shared" si="122"/>
        <v>2.8128334347694306</v>
      </c>
      <c r="EK11" s="5">
        <f t="shared" si="123"/>
        <v>1.8154023360929781</v>
      </c>
      <c r="EL11" s="5">
        <f t="shared" si="124"/>
        <v>2.0325538960504763E-2</v>
      </c>
      <c r="EM11" s="5">
        <f t="shared" si="125"/>
        <v>0.66100582767067684</v>
      </c>
      <c r="EN11" s="5">
        <f t="shared" si="126"/>
        <v>0.16272291369771752</v>
      </c>
      <c r="EO11" s="5">
        <f t="shared" si="127"/>
        <v>5.7138224491468499</v>
      </c>
      <c r="EP11" s="5">
        <f t="shared" si="128"/>
        <v>8.4686539823795872</v>
      </c>
      <c r="EQ11" s="5">
        <f t="shared" si="129"/>
        <v>2.0012903041551731</v>
      </c>
      <c r="ER11" s="5">
        <f t="shared" si="130"/>
        <v>100.30716673568161</v>
      </c>
      <c r="ES11" s="5">
        <f t="shared" si="131"/>
        <v>6.1043150312555099</v>
      </c>
      <c r="ET11" s="5">
        <f t="shared" si="132"/>
        <v>1.8956849687444901</v>
      </c>
      <c r="EU11" s="5">
        <f t="shared" si="133"/>
        <v>0</v>
      </c>
      <c r="EV11" s="44">
        <f t="shared" si="134"/>
        <v>8</v>
      </c>
      <c r="EW11" s="5">
        <f t="shared" si="135"/>
        <v>0.17914734977776892</v>
      </c>
      <c r="EX11" s="5">
        <f t="shared" si="136"/>
        <v>0.31507610352202559</v>
      </c>
      <c r="EY11" s="5">
        <f t="shared" si="137"/>
        <v>0</v>
      </c>
      <c r="EZ11" s="5">
        <f t="shared" si="138"/>
        <v>0.63185199836830463</v>
      </c>
      <c r="FA11" s="5">
        <f t="shared" si="139"/>
        <v>2.8128334347694306</v>
      </c>
      <c r="FB11" s="5">
        <f t="shared" si="140"/>
        <v>1.0407655746019673</v>
      </c>
      <c r="FC11" s="5">
        <f t="shared" si="141"/>
        <v>2.0325538960504763E-2</v>
      </c>
      <c r="FD11" s="44">
        <f t="shared" si="142"/>
        <v>5.0000000000000018</v>
      </c>
      <c r="FE11" s="5">
        <f t="shared" si="143"/>
        <v>0</v>
      </c>
      <c r="FF11" s="5">
        <f t="shared" si="144"/>
        <v>1.8154023360929781</v>
      </c>
      <c r="FG11" s="5">
        <f t="shared" si="145"/>
        <v>0.18459766390702192</v>
      </c>
      <c r="FH11" s="44">
        <f t="shared" si="146"/>
        <v>2</v>
      </c>
      <c r="FI11" s="5">
        <f t="shared" si="147"/>
        <v>0.47640816376365491</v>
      </c>
      <c r="FJ11" s="5">
        <f t="shared" si="148"/>
        <v>0.16272291369771752</v>
      </c>
      <c r="FK11" s="44">
        <f t="shared" si="149"/>
        <v>0.63913107746137243</v>
      </c>
      <c r="FL11" s="1" t="str">
        <f t="shared" si="150"/>
        <v>Pass</v>
      </c>
      <c r="FM11" s="5">
        <f t="shared" si="151"/>
        <v>8.6343049594177129E-2</v>
      </c>
      <c r="FN11" s="1" t="str">
        <f t="shared" si="152"/>
        <v>Mg-Hst</v>
      </c>
      <c r="FO11" s="5">
        <f t="shared" si="153"/>
        <v>7.0900709184489923</v>
      </c>
      <c r="FP11" s="5">
        <f t="shared" si="154"/>
        <v>2.074832318522259</v>
      </c>
      <c r="FQ11" s="5">
        <f t="shared" si="155"/>
        <v>2.6611966313724911</v>
      </c>
      <c r="FR11" s="5">
        <f t="shared" si="156"/>
        <v>-1.3213660342075617</v>
      </c>
      <c r="FS11" s="1" t="str">
        <f t="shared" si="157"/>
        <v>YES</v>
      </c>
      <c r="FT11" s="32">
        <f t="shared" si="158"/>
        <v>966.94642677691763</v>
      </c>
      <c r="FU11" s="32">
        <f t="shared" si="159"/>
        <v>379.55055140191308</v>
      </c>
      <c r="FV11" s="46">
        <f t="shared" si="160"/>
        <v>0.36500726197637512</v>
      </c>
      <c r="FW11" s="47">
        <f t="shared" si="161"/>
        <v>-10.332852532415686</v>
      </c>
      <c r="FX11" s="46">
        <f t="shared" si="162"/>
        <v>5.389076131607565</v>
      </c>
      <c r="FY11" s="50">
        <f t="shared" si="163"/>
        <v>454.62443380338539</v>
      </c>
      <c r="FZ11" s="32">
        <f t="shared" si="164"/>
        <v>341.1130283558158</v>
      </c>
      <c r="GA11" s="32">
        <f t="shared" si="165"/>
        <v>391.0732176006216</v>
      </c>
      <c r="GB11" s="32">
        <f t="shared" si="166"/>
        <v>491.77220558724832</v>
      </c>
      <c r="GC11" s="32">
        <f t="shared" si="167"/>
        <v>691.73038069658503</v>
      </c>
      <c r="GD11" s="32">
        <f t="shared" si="168"/>
        <v>150.65917723143252</v>
      </c>
      <c r="GE11" s="4">
        <f t="shared" si="169"/>
        <v>-0.52154246288430361</v>
      </c>
      <c r="GF11" s="32">
        <f t="shared" si="170"/>
        <v>391.0732176006216</v>
      </c>
      <c r="GG11" s="1">
        <f t="shared" si="171"/>
        <v>362.1390835245071</v>
      </c>
      <c r="GH11" s="32">
        <f t="shared" si="172"/>
        <v>422.84882570200352</v>
      </c>
      <c r="GI11" s="32">
        <f t="shared" si="173"/>
        <v>940.63485248672725</v>
      </c>
      <c r="GJ11" s="46">
        <f t="shared" si="174"/>
        <v>1.5787407099093387</v>
      </c>
      <c r="GK11" s="46">
        <f t="shared" si="175"/>
        <v>64.030113359247068</v>
      </c>
      <c r="GL11" s="46">
        <f t="shared" si="176"/>
        <v>0.4777965022812477</v>
      </c>
      <c r="GM11" s="46">
        <f t="shared" si="177"/>
        <v>17.628551561940274</v>
      </c>
      <c r="GN11" s="46">
        <f t="shared" si="178"/>
        <v>3.8722820656663086</v>
      </c>
      <c r="GO11" s="46">
        <f t="shared" si="179"/>
        <v>1.2689390209504721</v>
      </c>
      <c r="GP11" s="46">
        <f t="shared" si="180"/>
        <v>3.1595894708216985</v>
      </c>
      <c r="GQ11" s="46">
        <f t="shared" si="181"/>
        <v>3.0802293405211447</v>
      </c>
      <c r="GR11" s="46">
        <f t="shared" si="182"/>
        <v>6.2766074810961188</v>
      </c>
      <c r="GS11" s="46">
        <f t="shared" si="183"/>
        <v>99.794108802524335</v>
      </c>
      <c r="GU11" s="32">
        <f t="shared" si="184"/>
        <v>15215</v>
      </c>
      <c r="GV11" s="32">
        <f t="shared" si="185"/>
        <v>379.55055140191308</v>
      </c>
      <c r="GW11" s="32">
        <f t="shared" si="186"/>
        <v>966.94642677691763</v>
      </c>
      <c r="GX11" s="32">
        <f t="shared" si="187"/>
        <v>422.84882570200352</v>
      </c>
      <c r="GY11" s="32">
        <f t="shared" si="188"/>
        <v>940.63485248672725</v>
      </c>
    </row>
    <row r="12" spans="1:207">
      <c r="A12" s="35">
        <v>15216</v>
      </c>
      <c r="B12" s="2" t="s">
        <v>163</v>
      </c>
      <c r="C12" s="36">
        <v>41.81</v>
      </c>
      <c r="D12" s="36">
        <v>3.47</v>
      </c>
      <c r="E12" s="36">
        <v>11.62</v>
      </c>
      <c r="F12" s="36"/>
      <c r="G12" s="36">
        <v>12.36</v>
      </c>
      <c r="H12" s="36">
        <v>13.31</v>
      </c>
      <c r="I12" s="36">
        <v>11.44</v>
      </c>
      <c r="J12" s="36">
        <v>0.16600000000000001</v>
      </c>
      <c r="K12" s="36">
        <v>2.2200000000000002</v>
      </c>
      <c r="L12" s="36">
        <v>0.89929999999999999</v>
      </c>
      <c r="M12" s="36"/>
      <c r="N12" s="36">
        <v>4.3700000000000003E-2</v>
      </c>
      <c r="O12" s="4">
        <f t="shared" si="0"/>
        <v>97.338999999999984</v>
      </c>
      <c r="P12" s="5">
        <f t="shared" si="1"/>
        <v>0.69585565613646161</v>
      </c>
      <c r="Q12" s="5">
        <f t="shared" si="2"/>
        <v>4.3447883825116641E-2</v>
      </c>
      <c r="R12" s="5">
        <f t="shared" si="3"/>
        <v>0.11396483504188394</v>
      </c>
      <c r="S12" s="5">
        <f t="shared" si="4"/>
        <v>0</v>
      </c>
      <c r="T12" s="5">
        <f t="shared" si="5"/>
        <v>0.17203846089604757</v>
      </c>
      <c r="U12" s="5">
        <f t="shared" si="6"/>
        <v>0.33023689721221505</v>
      </c>
      <c r="V12" s="5">
        <f t="shared" si="7"/>
        <v>0.2040037519571164</v>
      </c>
      <c r="W12" s="5">
        <f t="shared" si="8"/>
        <v>2.340089788117416E-3</v>
      </c>
      <c r="X12" s="5">
        <f t="shared" si="9"/>
        <v>3.581861838876238E-2</v>
      </c>
      <c r="Y12" s="5">
        <f t="shared" si="10"/>
        <v>9.5471145271561423E-3</v>
      </c>
      <c r="Z12" s="5">
        <f t="shared" si="11"/>
        <v>0</v>
      </c>
      <c r="AA12" s="5">
        <f t="shared" si="12"/>
        <v>1.2326282624454555E-3</v>
      </c>
      <c r="AB12" s="5">
        <f t="shared" si="13"/>
        <v>1.3917113122729232</v>
      </c>
      <c r="AC12" s="5">
        <f t="shared" si="14"/>
        <v>8.6895767650233283E-2</v>
      </c>
      <c r="AD12" s="5">
        <f t="shared" si="15"/>
        <v>0.34189450512565184</v>
      </c>
      <c r="AE12" s="5">
        <f t="shared" si="16"/>
        <v>0</v>
      </c>
      <c r="AF12" s="5">
        <f t="shared" si="17"/>
        <v>0.17203846089604757</v>
      </c>
      <c r="AG12" s="5">
        <f t="shared" si="18"/>
        <v>0.33023689721221505</v>
      </c>
      <c r="AH12" s="5">
        <f t="shared" si="19"/>
        <v>0.2040037519571164</v>
      </c>
      <c r="AI12" s="5">
        <f t="shared" si="20"/>
        <v>2.340089788117416E-3</v>
      </c>
      <c r="AJ12" s="5">
        <f t="shared" si="21"/>
        <v>3.581861838876238E-2</v>
      </c>
      <c r="AK12" s="5">
        <f t="shared" si="22"/>
        <v>9.5471145271561423E-3</v>
      </c>
      <c r="AL12" s="5">
        <f t="shared" si="23"/>
        <v>2.5744865178182232</v>
      </c>
      <c r="AM12" s="4">
        <f t="shared" si="24"/>
        <v>12.433298819293844</v>
      </c>
      <c r="AN12" s="4">
        <f t="shared" si="25"/>
        <v>0.77631117588803811</v>
      </c>
      <c r="AO12" s="4">
        <f t="shared" si="26"/>
        <v>3.0544240816433033</v>
      </c>
      <c r="AP12" s="4">
        <f t="shared" si="27"/>
        <v>0</v>
      </c>
      <c r="AQ12" s="4">
        <f t="shared" si="28"/>
        <v>1.5369607000165606</v>
      </c>
      <c r="AR12" s="4">
        <f t="shared" si="29"/>
        <v>2.9502771070317326</v>
      </c>
      <c r="AS12" s="4">
        <f t="shared" si="30"/>
        <v>1.8225328672492087</v>
      </c>
      <c r="AT12" s="4">
        <f t="shared" si="31"/>
        <v>2.0905941730202833E-2</v>
      </c>
      <c r="AU12" s="4">
        <f t="shared" si="32"/>
        <v>0.31999710126262265</v>
      </c>
      <c r="AV12" s="4">
        <f t="shared" si="33"/>
        <v>8.5292205884488312E-2</v>
      </c>
      <c r="AW12" s="4">
        <f t="shared" si="34"/>
        <v>23</v>
      </c>
      <c r="AX12" s="5">
        <f t="shared" si="35"/>
        <v>6.216649409646922</v>
      </c>
      <c r="AY12" s="5">
        <f t="shared" si="36"/>
        <v>0.38815558794401905</v>
      </c>
      <c r="AZ12" s="5">
        <f t="shared" si="37"/>
        <v>2.0362827210955357</v>
      </c>
      <c r="BA12" s="5">
        <f t="shared" si="38"/>
        <v>0</v>
      </c>
      <c r="BB12" s="5">
        <f t="shared" si="39"/>
        <v>1.5369607000165606</v>
      </c>
      <c r="BC12" s="5">
        <f t="shared" si="40"/>
        <v>2.9502771070317326</v>
      </c>
      <c r="BD12" s="5">
        <f t="shared" si="41"/>
        <v>1.8225328672492087</v>
      </c>
      <c r="BE12" s="5">
        <f t="shared" si="42"/>
        <v>2.0905941730202833E-2</v>
      </c>
      <c r="BF12" s="5">
        <f t="shared" si="43"/>
        <v>0.6399942025252453</v>
      </c>
      <c r="BG12" s="5">
        <f t="shared" si="44"/>
        <v>0.17058441176897662</v>
      </c>
      <c r="BH12" s="5">
        <f t="shared" si="45"/>
        <v>0</v>
      </c>
      <c r="BI12" s="5">
        <f t="shared" si="46"/>
        <v>1.1012079434104543E-2</v>
      </c>
      <c r="BJ12" s="5">
        <f t="shared" si="47"/>
        <v>1.9889879205658954</v>
      </c>
      <c r="BK12" s="5">
        <f t="shared" si="48"/>
        <v>15.782342949008402</v>
      </c>
      <c r="BL12" s="11">
        <f t="shared" si="49"/>
        <v>1</v>
      </c>
      <c r="BM12" s="11">
        <f t="shared" si="50"/>
        <v>1</v>
      </c>
      <c r="BN12" s="11">
        <f t="shared" si="51"/>
        <v>1</v>
      </c>
      <c r="BO12" s="11">
        <f t="shared" si="52"/>
        <v>1</v>
      </c>
      <c r="BP12" s="11">
        <f>1</f>
        <v>1</v>
      </c>
      <c r="BQ12" s="11">
        <f t="shared" si="53"/>
        <v>0.96935245234838696</v>
      </c>
      <c r="BR12" s="11">
        <f t="shared" si="54"/>
        <v>0.96081424550730965</v>
      </c>
      <c r="BS12" s="11">
        <f t="shared" si="55"/>
        <v>0.98104592895169251</v>
      </c>
      <c r="BT12" s="11">
        <f t="shared" si="56"/>
        <v>0.6588448638750013</v>
      </c>
      <c r="BU12" s="11">
        <f t="shared" si="57"/>
        <v>0.9665878108692052</v>
      </c>
      <c r="BV12" s="5">
        <f t="shared" si="58"/>
        <v>1</v>
      </c>
      <c r="BW12" s="11">
        <f t="shared" si="59"/>
        <v>0.98104592895169251</v>
      </c>
      <c r="BX12" s="11">
        <f t="shared" si="60"/>
        <v>0.9905229644758462</v>
      </c>
      <c r="BY12" s="11">
        <f t="shared" si="61"/>
        <v>6.1577340023504883</v>
      </c>
      <c r="BZ12" s="11">
        <f t="shared" si="62"/>
        <v>0.38447702364817476</v>
      </c>
      <c r="CA12" s="11">
        <f t="shared" si="63"/>
        <v>2.0169847974104926</v>
      </c>
      <c r="CB12" s="11">
        <f t="shared" si="64"/>
        <v>0</v>
      </c>
      <c r="CC12" s="11">
        <f t="shared" si="65"/>
        <v>1.5223948688632754</v>
      </c>
      <c r="CD12" s="11">
        <f t="shared" si="66"/>
        <v>2.9223172260822952</v>
      </c>
      <c r="CE12" s="11">
        <f t="shared" si="67"/>
        <v>1.8052606585223501</v>
      </c>
      <c r="CF12" s="11">
        <f t="shared" si="68"/>
        <v>2.070781537775981E-2</v>
      </c>
      <c r="CG12" s="11">
        <f t="shared" si="69"/>
        <v>0.63392895473266109</v>
      </c>
      <c r="CH12" s="11">
        <f t="shared" si="70"/>
        <v>0.16896777723877515</v>
      </c>
      <c r="CI12" s="11">
        <f t="shared" si="71"/>
        <v>15.632773124226272</v>
      </c>
      <c r="CJ12" s="11">
        <f t="shared" si="72"/>
        <v>0.43594363411107473</v>
      </c>
      <c r="CK12" s="11">
        <f t="shared" si="73"/>
        <v>1.0864512347522006</v>
      </c>
      <c r="CL12" s="13">
        <f t="shared" si="74"/>
        <v>2.4615733732485268E-2</v>
      </c>
      <c r="CN12" s="32">
        <f t="shared" si="75"/>
        <v>15216</v>
      </c>
      <c r="CO12" s="12">
        <f t="shared" si="76"/>
        <v>0.53943350058762207</v>
      </c>
      <c r="CP12" s="12">
        <f t="shared" si="77"/>
        <v>0.46056649941237793</v>
      </c>
      <c r="CQ12" s="12">
        <f t="shared" si="78"/>
        <v>8.7359399880490685E-2</v>
      </c>
      <c r="CR12" s="12">
        <f t="shared" si="79"/>
        <v>0.16896777723877515</v>
      </c>
      <c r="CS12" s="14">
        <f t="shared" si="80"/>
        <v>0.36722687577372842</v>
      </c>
      <c r="CT12" s="14">
        <f t="shared" si="81"/>
        <v>0.46380534698749631</v>
      </c>
      <c r="CU12" s="14">
        <f t="shared" si="82"/>
        <v>8.5061803872582331E-2</v>
      </c>
      <c r="CV12" s="12">
        <f t="shared" si="83"/>
        <v>0.90263032926117504</v>
      </c>
      <c r="CW12" s="2" t="str">
        <f t="shared" si="84"/>
        <v>26eHP01.12</v>
      </c>
      <c r="CY12" s="5">
        <f t="shared" si="85"/>
        <v>13.149231467464972</v>
      </c>
      <c r="CZ12" s="5">
        <f t="shared" si="86"/>
        <v>6.1460962585816059</v>
      </c>
      <c r="DA12" s="5">
        <f t="shared" si="87"/>
        <v>0.3837503853938215</v>
      </c>
      <c r="DB12" s="5">
        <f t="shared" si="88"/>
        <v>2.0131728184830116</v>
      </c>
      <c r="DC12" s="5">
        <f t="shared" si="89"/>
        <v>0</v>
      </c>
      <c r="DD12" s="5">
        <f t="shared" si="90"/>
        <v>1.5195176349015405</v>
      </c>
      <c r="DE12" s="5">
        <f t="shared" si="91"/>
        <v>2.9167942237772988</v>
      </c>
      <c r="DF12" s="5">
        <f t="shared" si="92"/>
        <v>1.8018488253753018</v>
      </c>
      <c r="DG12" s="5">
        <f t="shared" si="93"/>
        <v>2.0668678862722351E-2</v>
      </c>
      <c r="DH12" s="5">
        <f t="shared" si="94"/>
        <v>0.63273086745899221</v>
      </c>
      <c r="DI12" s="5">
        <f t="shared" si="95"/>
        <v>0.16864843838848512</v>
      </c>
      <c r="DJ12" s="5">
        <f t="shared" si="96"/>
        <v>0</v>
      </c>
      <c r="DK12" s="5">
        <f t="shared" si="97"/>
        <v>1.0887102641517205E-2</v>
      </c>
      <c r="DL12" s="5">
        <f t="shared" si="98"/>
        <v>1.9664147696642196</v>
      </c>
      <c r="DM12" s="5">
        <f t="shared" si="99"/>
        <v>13</v>
      </c>
      <c r="DN12" s="5">
        <f t="shared" si="100"/>
        <v>14.97176433471418</v>
      </c>
      <c r="DO12" s="5">
        <f t="shared" si="101"/>
        <v>6.2283735610565918</v>
      </c>
      <c r="DP12" s="5">
        <f t="shared" si="102"/>
        <v>0.38888762132465382</v>
      </c>
      <c r="DQ12" s="5">
        <f t="shared" si="103"/>
        <v>2.040123003112722</v>
      </c>
      <c r="DR12" s="5">
        <f t="shared" si="104"/>
        <v>0</v>
      </c>
      <c r="DS12" s="5">
        <f t="shared" si="105"/>
        <v>1.5398592967959999</v>
      </c>
      <c r="DT12" s="5">
        <f t="shared" si="106"/>
        <v>2.9558411163917664</v>
      </c>
      <c r="DU12" s="5">
        <f t="shared" si="107"/>
        <v>1.8259700324931698</v>
      </c>
      <c r="DV12" s="5">
        <f t="shared" si="108"/>
        <v>2.0945368825098402E-2</v>
      </c>
      <c r="DW12" s="5">
        <f t="shared" si="109"/>
        <v>0.64120118532856585</v>
      </c>
      <c r="DX12" s="5">
        <f t="shared" si="110"/>
        <v>0.1709061216387025</v>
      </c>
      <c r="DY12" s="5">
        <f t="shared" si="111"/>
        <v>0</v>
      </c>
      <c r="DZ12" s="5">
        <f t="shared" si="112"/>
        <v>1.1032847419897728E-2</v>
      </c>
      <c r="EA12" s="5">
        <f t="shared" si="113"/>
        <v>1.9927390080080361</v>
      </c>
      <c r="EB12" s="5">
        <f t="shared" si="114"/>
        <v>15.000000000000002</v>
      </c>
      <c r="EC12" s="5">
        <f t="shared" si="115"/>
        <v>45.477943063031944</v>
      </c>
      <c r="ED12" s="1">
        <f t="shared" si="116"/>
        <v>6.1460962585816059</v>
      </c>
      <c r="EE12" s="5">
        <f t="shared" si="117"/>
        <v>0.3837503853938215</v>
      </c>
      <c r="EF12" s="5">
        <f t="shared" si="118"/>
        <v>2.0131728184830116</v>
      </c>
      <c r="EG12" s="5">
        <f t="shared" si="119"/>
        <v>0</v>
      </c>
      <c r="EH12" s="5">
        <f t="shared" si="120"/>
        <v>0.52205693696805611</v>
      </c>
      <c r="EI12" s="5">
        <f t="shared" si="121"/>
        <v>0.99746069793348435</v>
      </c>
      <c r="EJ12" s="5">
        <f t="shared" si="122"/>
        <v>2.9167942237772988</v>
      </c>
      <c r="EK12" s="5">
        <f t="shared" si="123"/>
        <v>1.8018488253753018</v>
      </c>
      <c r="EL12" s="5">
        <f t="shared" si="124"/>
        <v>2.0668678862722351E-2</v>
      </c>
      <c r="EM12" s="5">
        <f t="shared" si="125"/>
        <v>0.63273086745899221</v>
      </c>
      <c r="EN12" s="5">
        <f t="shared" si="126"/>
        <v>0.16864843838848512</v>
      </c>
      <c r="EO12" s="5">
        <f t="shared" si="127"/>
        <v>4.7193317191853268</v>
      </c>
      <c r="EP12" s="5">
        <f t="shared" si="128"/>
        <v>8.1135051961780746</v>
      </c>
      <c r="EQ12" s="5">
        <f t="shared" si="129"/>
        <v>2.0092049010350452</v>
      </c>
      <c r="ER12" s="5">
        <f t="shared" si="130"/>
        <v>99.821041816398449</v>
      </c>
      <c r="ES12" s="5">
        <f t="shared" si="131"/>
        <v>6.1460962585816059</v>
      </c>
      <c r="ET12" s="5">
        <f t="shared" si="132"/>
        <v>1.8539037414183941</v>
      </c>
      <c r="EU12" s="5">
        <f t="shared" si="133"/>
        <v>0</v>
      </c>
      <c r="EV12" s="44">
        <f t="shared" si="134"/>
        <v>8</v>
      </c>
      <c r="EW12" s="5">
        <f t="shared" si="135"/>
        <v>0.15926907706461746</v>
      </c>
      <c r="EX12" s="5">
        <f t="shared" si="136"/>
        <v>0.3837503853938215</v>
      </c>
      <c r="EY12" s="5">
        <f t="shared" si="137"/>
        <v>0</v>
      </c>
      <c r="EZ12" s="5">
        <f t="shared" si="138"/>
        <v>0.52205693696805611</v>
      </c>
      <c r="FA12" s="5">
        <f t="shared" si="139"/>
        <v>2.9167942237772988</v>
      </c>
      <c r="FB12" s="5">
        <f t="shared" si="140"/>
        <v>0.99746069793348435</v>
      </c>
      <c r="FC12" s="5">
        <f t="shared" si="141"/>
        <v>2.0668678862722351E-2</v>
      </c>
      <c r="FD12" s="44">
        <f t="shared" si="142"/>
        <v>5.0000000000000009</v>
      </c>
      <c r="FE12" s="5">
        <f t="shared" si="143"/>
        <v>0</v>
      </c>
      <c r="FF12" s="5">
        <f t="shared" si="144"/>
        <v>1.8018488253753018</v>
      </c>
      <c r="FG12" s="5">
        <f t="shared" si="145"/>
        <v>0.19815117462469822</v>
      </c>
      <c r="FH12" s="44">
        <f t="shared" si="146"/>
        <v>2</v>
      </c>
      <c r="FI12" s="5">
        <f t="shared" si="147"/>
        <v>0.43457969283429398</v>
      </c>
      <c r="FJ12" s="5">
        <f t="shared" si="148"/>
        <v>0.16864843838848512</v>
      </c>
      <c r="FK12" s="44">
        <f t="shared" si="149"/>
        <v>0.60322813122277907</v>
      </c>
      <c r="FL12" s="1" t="str">
        <f t="shared" si="150"/>
        <v>Pass</v>
      </c>
      <c r="FM12" s="5">
        <f t="shared" si="151"/>
        <v>7.9113464876121101E-2</v>
      </c>
      <c r="FN12" s="1" t="str">
        <f t="shared" si="152"/>
        <v>Mg-Hst</v>
      </c>
      <c r="FO12" s="5">
        <f t="shared" si="153"/>
        <v>7.1056434555633112</v>
      </c>
      <c r="FP12" s="5">
        <f t="shared" si="154"/>
        <v>2.0131728184830116</v>
      </c>
      <c r="FQ12" s="5">
        <f t="shared" si="155"/>
        <v>2.660371984034227</v>
      </c>
      <c r="FR12" s="5">
        <f t="shared" si="156"/>
        <v>-1.4047340649660567</v>
      </c>
      <c r="FS12" s="1" t="str">
        <f t="shared" si="157"/>
        <v>YES</v>
      </c>
      <c r="FT12" s="32">
        <f t="shared" si="158"/>
        <v>964.58738984708066</v>
      </c>
      <c r="FU12" s="32">
        <f t="shared" si="159"/>
        <v>347.34601072359999</v>
      </c>
      <c r="FV12" s="46">
        <f t="shared" si="160"/>
        <v>0.36365154175226877</v>
      </c>
      <c r="FW12" s="47">
        <f t="shared" si="161"/>
        <v>-10.383386035147755</v>
      </c>
      <c r="FX12" s="46">
        <f t="shared" si="162"/>
        <v>4.9543118512020143</v>
      </c>
      <c r="FY12" s="50">
        <f t="shared" si="163"/>
        <v>400.93002029997507</v>
      </c>
      <c r="FZ12" s="32">
        <f t="shared" si="164"/>
        <v>337.75338530017314</v>
      </c>
      <c r="GA12" s="32">
        <f t="shared" si="165"/>
        <v>389.01016676634487</v>
      </c>
      <c r="GB12" s="32">
        <f t="shared" si="166"/>
        <v>393.4540569435141</v>
      </c>
      <c r="GC12" s="32">
        <f t="shared" si="167"/>
        <v>590.64192657972455</v>
      </c>
      <c r="GD12" s="32">
        <f t="shared" si="168"/>
        <v>55.700671643340968</v>
      </c>
      <c r="GE12" s="4">
        <f t="shared" si="169"/>
        <v>-0.47317959911759017</v>
      </c>
      <c r="GF12" s="32">
        <f t="shared" si="170"/>
        <v>389.01016676634487</v>
      </c>
      <c r="GG12" s="1">
        <f t="shared" si="171"/>
        <v>302.43897676640051</v>
      </c>
      <c r="GH12" s="32">
        <f t="shared" si="172"/>
        <v>394.97009353315997</v>
      </c>
      <c r="GI12" s="32">
        <f t="shared" si="173"/>
        <v>951.92406340426464</v>
      </c>
      <c r="GJ12" s="46">
        <f t="shared" si="174"/>
        <v>1.2346471042421712</v>
      </c>
      <c r="GK12" s="46">
        <f t="shared" si="175"/>
        <v>62.50169869395932</v>
      </c>
      <c r="GL12" s="46">
        <f t="shared" si="176"/>
        <v>0.65501458928293821</v>
      </c>
      <c r="GM12" s="46">
        <f t="shared" si="177"/>
        <v>17.438134780979311</v>
      </c>
      <c r="GN12" s="46">
        <f t="shared" si="178"/>
        <v>4.4383049671781825</v>
      </c>
      <c r="GO12" s="46">
        <f t="shared" si="179"/>
        <v>1.6744237220960301</v>
      </c>
      <c r="GP12" s="46">
        <f t="shared" si="180"/>
        <v>3.7230674206756174</v>
      </c>
      <c r="GQ12" s="46">
        <f t="shared" si="181"/>
        <v>3.0752406442566849</v>
      </c>
      <c r="GR12" s="46">
        <f t="shared" si="182"/>
        <v>5.2461555797088888</v>
      </c>
      <c r="GS12" s="46">
        <f t="shared" si="183"/>
        <v>98.752040398136955</v>
      </c>
      <c r="GU12" s="32">
        <f t="shared" si="184"/>
        <v>15216</v>
      </c>
      <c r="GV12" s="32">
        <f t="shared" si="185"/>
        <v>347.34601072359999</v>
      </c>
      <c r="GW12" s="32">
        <f t="shared" si="186"/>
        <v>964.58738984708066</v>
      </c>
      <c r="GX12" s="32">
        <f t="shared" si="187"/>
        <v>394.97009353315997</v>
      </c>
      <c r="GY12" s="32">
        <f t="shared" si="188"/>
        <v>951.92406340426464</v>
      </c>
    </row>
    <row r="13" spans="1:207">
      <c r="A13" s="35">
        <v>15218</v>
      </c>
      <c r="B13" s="2" t="s">
        <v>164</v>
      </c>
      <c r="C13" s="36">
        <v>46.98</v>
      </c>
      <c r="D13" s="36">
        <v>1.2956000000000001</v>
      </c>
      <c r="E13" s="36">
        <v>7.22</v>
      </c>
      <c r="F13" s="36"/>
      <c r="G13" s="36">
        <v>14.78</v>
      </c>
      <c r="H13" s="36">
        <v>13.2</v>
      </c>
      <c r="I13" s="36">
        <v>11.59</v>
      </c>
      <c r="J13" s="36">
        <v>0.44119999999999998</v>
      </c>
      <c r="K13" s="36">
        <v>1.55</v>
      </c>
      <c r="L13" s="36">
        <v>0.79139999999999999</v>
      </c>
      <c r="M13" s="36"/>
      <c r="N13" s="36">
        <v>9.9500000000000005E-2</v>
      </c>
      <c r="O13" s="4">
        <f t="shared" si="0"/>
        <v>97.947699999999998</v>
      </c>
      <c r="P13" s="5">
        <f t="shared" si="1"/>
        <v>0.78190142849296729</v>
      </c>
      <c r="Q13" s="5">
        <f t="shared" si="2"/>
        <v>1.6222212761908102E-2</v>
      </c>
      <c r="R13" s="5">
        <f t="shared" si="3"/>
        <v>7.081119698815852E-2</v>
      </c>
      <c r="S13" s="5">
        <f t="shared" si="4"/>
        <v>0</v>
      </c>
      <c r="T13" s="5">
        <f t="shared" si="5"/>
        <v>0.20572236667019281</v>
      </c>
      <c r="U13" s="5">
        <f t="shared" si="6"/>
        <v>0.32750766665674219</v>
      </c>
      <c r="V13" s="5">
        <f t="shared" si="7"/>
        <v>0.20667862632718348</v>
      </c>
      <c r="W13" s="5">
        <f t="shared" si="8"/>
        <v>6.2195639428759266E-3</v>
      </c>
      <c r="X13" s="5">
        <f t="shared" si="9"/>
        <v>2.5008494820982739E-2</v>
      </c>
      <c r="Y13" s="5">
        <f t="shared" si="10"/>
        <v>8.4016306424901273E-3</v>
      </c>
      <c r="Z13" s="5">
        <f t="shared" si="11"/>
        <v>0</v>
      </c>
      <c r="AA13" s="5">
        <f t="shared" si="12"/>
        <v>2.8065563412659686E-3</v>
      </c>
      <c r="AB13" s="5">
        <f t="shared" si="13"/>
        <v>1.5638028569859346</v>
      </c>
      <c r="AC13" s="5">
        <f t="shared" si="14"/>
        <v>3.2444425523816205E-2</v>
      </c>
      <c r="AD13" s="5">
        <f t="shared" si="15"/>
        <v>0.21243359096447556</v>
      </c>
      <c r="AE13" s="5">
        <f t="shared" si="16"/>
        <v>0</v>
      </c>
      <c r="AF13" s="5">
        <f t="shared" si="17"/>
        <v>0.20572236667019281</v>
      </c>
      <c r="AG13" s="5">
        <f t="shared" si="18"/>
        <v>0.32750766665674219</v>
      </c>
      <c r="AH13" s="5">
        <f t="shared" si="19"/>
        <v>0.20667862632718348</v>
      </c>
      <c r="AI13" s="5">
        <f t="shared" si="20"/>
        <v>6.2195639428759266E-3</v>
      </c>
      <c r="AJ13" s="5">
        <f t="shared" si="21"/>
        <v>2.5008494820982739E-2</v>
      </c>
      <c r="AK13" s="5">
        <f t="shared" si="22"/>
        <v>8.4016306424901273E-3</v>
      </c>
      <c r="AL13" s="5">
        <f t="shared" si="23"/>
        <v>2.5882192225346929</v>
      </c>
      <c r="AM13" s="4">
        <f t="shared" si="24"/>
        <v>13.896607133399179</v>
      </c>
      <c r="AN13" s="4">
        <f t="shared" si="25"/>
        <v>0.28831475346086927</v>
      </c>
      <c r="AO13" s="4">
        <f t="shared" si="26"/>
        <v>1.88777385997389</v>
      </c>
      <c r="AP13" s="4">
        <f t="shared" si="27"/>
        <v>0</v>
      </c>
      <c r="AQ13" s="4">
        <f t="shared" si="28"/>
        <v>1.8281351101243555</v>
      </c>
      <c r="AR13" s="4">
        <f t="shared" si="29"/>
        <v>2.9103702914810188</v>
      </c>
      <c r="AS13" s="4">
        <f t="shared" si="30"/>
        <v>1.8366328339335647</v>
      </c>
      <c r="AT13" s="4">
        <f t="shared" si="31"/>
        <v>5.5269650051534162E-2</v>
      </c>
      <c r="AU13" s="4">
        <f t="shared" si="32"/>
        <v>0.22223595894605214</v>
      </c>
      <c r="AV13" s="4">
        <f t="shared" si="33"/>
        <v>7.4660408629540931E-2</v>
      </c>
      <c r="AW13" s="4">
        <f t="shared" si="34"/>
        <v>23.000000000000004</v>
      </c>
      <c r="AX13" s="5">
        <f t="shared" si="35"/>
        <v>6.9483035666995896</v>
      </c>
      <c r="AY13" s="5">
        <f t="shared" si="36"/>
        <v>0.14415737673043463</v>
      </c>
      <c r="AZ13" s="5">
        <f t="shared" si="37"/>
        <v>1.2585159066492599</v>
      </c>
      <c r="BA13" s="5">
        <f t="shared" si="38"/>
        <v>0</v>
      </c>
      <c r="BB13" s="5">
        <f t="shared" si="39"/>
        <v>1.8281351101243555</v>
      </c>
      <c r="BC13" s="5">
        <f t="shared" si="40"/>
        <v>2.9103702914810188</v>
      </c>
      <c r="BD13" s="5">
        <f t="shared" si="41"/>
        <v>1.8366328339335647</v>
      </c>
      <c r="BE13" s="5">
        <f t="shared" si="42"/>
        <v>5.5269650051534162E-2</v>
      </c>
      <c r="BF13" s="5">
        <f t="shared" si="43"/>
        <v>0.44447191789210427</v>
      </c>
      <c r="BG13" s="5">
        <f t="shared" si="44"/>
        <v>0.14932081725908186</v>
      </c>
      <c r="BH13" s="5">
        <f t="shared" si="45"/>
        <v>0</v>
      </c>
      <c r="BI13" s="5">
        <f t="shared" si="46"/>
        <v>2.4940235080203689E-2</v>
      </c>
      <c r="BJ13" s="5">
        <f t="shared" si="47"/>
        <v>1.9750597649197963</v>
      </c>
      <c r="BK13" s="5">
        <f t="shared" si="48"/>
        <v>15.575177470820943</v>
      </c>
      <c r="BL13" s="11">
        <f t="shared" si="49"/>
        <v>1</v>
      </c>
      <c r="BM13" s="11">
        <f t="shared" si="50"/>
        <v>1</v>
      </c>
      <c r="BN13" s="11">
        <f t="shared" si="51"/>
        <v>1</v>
      </c>
      <c r="BO13" s="11">
        <f t="shared" si="52"/>
        <v>1</v>
      </c>
      <c r="BP13" s="11">
        <f>1</f>
        <v>1</v>
      </c>
      <c r="BQ13" s="11">
        <f t="shared" si="53"/>
        <v>0.9747990711845822</v>
      </c>
      <c r="BR13" s="11">
        <f t="shared" si="54"/>
        <v>0.9723933222558806</v>
      </c>
      <c r="BS13" s="11">
        <f t="shared" si="55"/>
        <v>0.98138025703597609</v>
      </c>
      <c r="BT13" s="11">
        <f t="shared" si="56"/>
        <v>0.66236160022112811</v>
      </c>
      <c r="BU13" s="11">
        <f t="shared" si="57"/>
        <v>0.96025793238860091</v>
      </c>
      <c r="BV13" s="5">
        <f t="shared" si="58"/>
        <v>1</v>
      </c>
      <c r="BW13" s="11">
        <f t="shared" si="59"/>
        <v>0.98138025703597609</v>
      </c>
      <c r="BX13" s="11">
        <f t="shared" si="60"/>
        <v>0.9906901285179881</v>
      </c>
      <c r="BY13" s="11">
        <f t="shared" si="61"/>
        <v>6.8836157534756115</v>
      </c>
      <c r="BZ13" s="11">
        <f t="shared" si="62"/>
        <v>0.1428152900798903</v>
      </c>
      <c r="CA13" s="11">
        <f t="shared" si="63"/>
        <v>1.2467992853002876</v>
      </c>
      <c r="CB13" s="11">
        <f t="shared" si="64"/>
        <v>0</v>
      </c>
      <c r="CC13" s="11">
        <f t="shared" si="65"/>
        <v>1.8111154071973441</v>
      </c>
      <c r="CD13" s="11">
        <f t="shared" si="66"/>
        <v>2.8832751181022651</v>
      </c>
      <c r="CE13" s="11">
        <f t="shared" si="67"/>
        <v>1.8195340182899999</v>
      </c>
      <c r="CF13" s="11">
        <f t="shared" si="68"/>
        <v>5.4755096712698605E-2</v>
      </c>
      <c r="CG13" s="11">
        <f t="shared" si="69"/>
        <v>0.44033394145916543</v>
      </c>
      <c r="CH13" s="11">
        <f t="shared" si="70"/>
        <v>0.14793065964081081</v>
      </c>
      <c r="CI13" s="11">
        <f t="shared" si="71"/>
        <v>15.430174570258073</v>
      </c>
      <c r="CJ13" s="11">
        <f t="shared" si="72"/>
        <v>0.4282540881725474</v>
      </c>
      <c r="CK13" s="11">
        <f t="shared" si="73"/>
        <v>1.3828613190247967</v>
      </c>
      <c r="CL13" s="13">
        <f t="shared" si="74"/>
        <v>2.2375950868095629E-2</v>
      </c>
      <c r="CN13" s="32">
        <f t="shared" si="75"/>
        <v>15218</v>
      </c>
      <c r="CO13" s="12">
        <f t="shared" si="76"/>
        <v>0.72090393836890287</v>
      </c>
      <c r="CP13" s="12">
        <f t="shared" si="77"/>
        <v>0.27909606163109713</v>
      </c>
      <c r="CQ13" s="12">
        <f t="shared" si="78"/>
        <v>6.5207519387949553E-2</v>
      </c>
      <c r="CR13" s="12">
        <f t="shared" si="79"/>
        <v>0.14793065964081081</v>
      </c>
      <c r="CS13" s="14">
        <f t="shared" si="80"/>
        <v>0.56982542974192829</v>
      </c>
      <c r="CT13" s="14">
        <f t="shared" si="81"/>
        <v>0.28224391061726095</v>
      </c>
      <c r="CU13" s="14">
        <f t="shared" si="82"/>
        <v>7.9045015420952214E-2</v>
      </c>
      <c r="CV13" s="12">
        <f t="shared" si="83"/>
        <v>0.90976700914499997</v>
      </c>
      <c r="CW13" s="2" t="str">
        <f t="shared" si="84"/>
        <v>26hHP01.2</v>
      </c>
      <c r="CY13" s="5">
        <f t="shared" si="85"/>
        <v>13.144751901736193</v>
      </c>
      <c r="CZ13" s="5">
        <f t="shared" si="86"/>
        <v>6.8717878467652111</v>
      </c>
      <c r="DA13" s="5">
        <f t="shared" si="87"/>
        <v>0.14256989492879826</v>
      </c>
      <c r="DB13" s="5">
        <f t="shared" si="88"/>
        <v>1.2446569481679919</v>
      </c>
      <c r="DC13" s="5">
        <f t="shared" si="89"/>
        <v>0</v>
      </c>
      <c r="DD13" s="5">
        <f t="shared" si="90"/>
        <v>1.808003422908087</v>
      </c>
      <c r="DE13" s="5">
        <f t="shared" si="91"/>
        <v>2.878320874527569</v>
      </c>
      <c r="DF13" s="5">
        <f t="shared" si="92"/>
        <v>1.8164075685584227</v>
      </c>
      <c r="DG13" s="5">
        <f t="shared" si="93"/>
        <v>5.4661012702342603E-2</v>
      </c>
      <c r="DH13" s="5">
        <f t="shared" si="94"/>
        <v>0.43957732909619729</v>
      </c>
      <c r="DI13" s="5">
        <f t="shared" si="95"/>
        <v>0.14767647490643543</v>
      </c>
      <c r="DJ13" s="5">
        <f t="shared" si="96"/>
        <v>0</v>
      </c>
      <c r="DK13" s="5">
        <f t="shared" si="97"/>
        <v>2.4665589618304149E-2</v>
      </c>
      <c r="DL13" s="5">
        <f t="shared" si="98"/>
        <v>1.9533101222371516</v>
      </c>
      <c r="DM13" s="5">
        <f t="shared" si="99"/>
        <v>13</v>
      </c>
      <c r="DN13" s="5">
        <f t="shared" si="100"/>
        <v>14.981384735669758</v>
      </c>
      <c r="DO13" s="5">
        <f t="shared" si="101"/>
        <v>6.9569372484201395</v>
      </c>
      <c r="DP13" s="5">
        <f t="shared" si="102"/>
        <v>0.14433650087151631</v>
      </c>
      <c r="DQ13" s="5">
        <f t="shared" si="103"/>
        <v>1.2600796877468983</v>
      </c>
      <c r="DR13" s="5">
        <f t="shared" si="104"/>
        <v>0</v>
      </c>
      <c r="DS13" s="5">
        <f t="shared" si="105"/>
        <v>1.8304066770660503</v>
      </c>
      <c r="DT13" s="5">
        <f t="shared" si="106"/>
        <v>2.9139866002021888</v>
      </c>
      <c r="DU13" s="5">
        <f t="shared" si="107"/>
        <v>1.8389149598040706</v>
      </c>
      <c r="DV13" s="5">
        <f t="shared" si="108"/>
        <v>5.5338325889135447E-2</v>
      </c>
      <c r="DW13" s="5">
        <f t="shared" si="109"/>
        <v>0.44502420076748034</v>
      </c>
      <c r="DX13" s="5">
        <f t="shared" si="110"/>
        <v>0.14950635728307357</v>
      </c>
      <c r="DY13" s="5">
        <f t="shared" si="111"/>
        <v>0</v>
      </c>
      <c r="DZ13" s="5">
        <f t="shared" si="112"/>
        <v>2.4971224810236517E-2</v>
      </c>
      <c r="EA13" s="5">
        <f t="shared" si="113"/>
        <v>1.9775138945106658</v>
      </c>
      <c r="EB13" s="5">
        <f t="shared" si="114"/>
        <v>14.999999999999998</v>
      </c>
      <c r="EC13" s="5">
        <f t="shared" si="115"/>
        <v>45.493441372675491</v>
      </c>
      <c r="ED13" s="1">
        <f t="shared" si="116"/>
        <v>6.8717878467652111</v>
      </c>
      <c r="EE13" s="5">
        <f t="shared" si="117"/>
        <v>0.14256989492879826</v>
      </c>
      <c r="EF13" s="5">
        <f t="shared" si="118"/>
        <v>1.2446569481679919</v>
      </c>
      <c r="EG13" s="5">
        <f t="shared" si="119"/>
        <v>0</v>
      </c>
      <c r="EH13" s="5">
        <f t="shared" si="120"/>
        <v>0.50655862732450885</v>
      </c>
      <c r="EI13" s="5">
        <f t="shared" si="121"/>
        <v>1.3014447955835782</v>
      </c>
      <c r="EJ13" s="5">
        <f t="shared" si="122"/>
        <v>2.878320874527569</v>
      </c>
      <c r="EK13" s="5">
        <f t="shared" si="123"/>
        <v>1.8164075685584227</v>
      </c>
      <c r="EL13" s="5">
        <f t="shared" si="124"/>
        <v>5.4661012702342603E-2</v>
      </c>
      <c r="EM13" s="5">
        <f t="shared" si="125"/>
        <v>0.43957732909619729</v>
      </c>
      <c r="EN13" s="5">
        <f t="shared" si="126"/>
        <v>0.14767647490643543</v>
      </c>
      <c r="EO13" s="5">
        <f t="shared" si="127"/>
        <v>4.6020868437872124</v>
      </c>
      <c r="EP13" s="5">
        <f t="shared" si="128"/>
        <v>10.639003131855878</v>
      </c>
      <c r="EQ13" s="5">
        <f t="shared" si="129"/>
        <v>2.0044895052610214</v>
      </c>
      <c r="ER13" s="5">
        <f t="shared" si="130"/>
        <v>100.41327948090411</v>
      </c>
      <c r="ES13" s="5">
        <f t="shared" si="131"/>
        <v>6.8717878467652111</v>
      </c>
      <c r="ET13" s="5">
        <f t="shared" si="132"/>
        <v>1.1282121532347889</v>
      </c>
      <c r="EU13" s="5">
        <f t="shared" si="133"/>
        <v>0</v>
      </c>
      <c r="EV13" s="44">
        <f t="shared" si="134"/>
        <v>8</v>
      </c>
      <c r="EW13" s="5">
        <f t="shared" si="135"/>
        <v>0.11644479493320303</v>
      </c>
      <c r="EX13" s="5">
        <f t="shared" si="136"/>
        <v>0.14256989492879826</v>
      </c>
      <c r="EY13" s="5">
        <f t="shared" si="137"/>
        <v>0</v>
      </c>
      <c r="EZ13" s="5">
        <f t="shared" si="138"/>
        <v>0.50655862732450885</v>
      </c>
      <c r="FA13" s="5">
        <f t="shared" si="139"/>
        <v>2.878320874527569</v>
      </c>
      <c r="FB13" s="5">
        <f t="shared" si="140"/>
        <v>1.3014447955835782</v>
      </c>
      <c r="FC13" s="5">
        <f t="shared" si="141"/>
        <v>5.4661012702342603E-2</v>
      </c>
      <c r="FD13" s="44">
        <f t="shared" si="142"/>
        <v>5</v>
      </c>
      <c r="FE13" s="5">
        <f t="shared" si="143"/>
        <v>0</v>
      </c>
      <c r="FF13" s="5">
        <f t="shared" si="144"/>
        <v>1.8164075685584227</v>
      </c>
      <c r="FG13" s="5">
        <f t="shared" si="145"/>
        <v>0.18359243144157733</v>
      </c>
      <c r="FH13" s="44">
        <f t="shared" si="146"/>
        <v>2</v>
      </c>
      <c r="FI13" s="5">
        <f t="shared" si="147"/>
        <v>0.25598489765461996</v>
      </c>
      <c r="FJ13" s="5">
        <f t="shared" si="148"/>
        <v>0.14767647490643543</v>
      </c>
      <c r="FK13" s="44">
        <f t="shared" si="149"/>
        <v>0.40366137256105539</v>
      </c>
      <c r="FL13" s="1" t="str">
        <f t="shared" si="150"/>
        <v>Pass</v>
      </c>
      <c r="FM13" s="5">
        <f t="shared" si="151"/>
        <v>9.3555734457271861E-2</v>
      </c>
      <c r="FN13" s="1" t="str">
        <f t="shared" si="152"/>
        <v>Mg-Hbl</v>
      </c>
      <c r="FO13" s="5">
        <f t="shared" si="153"/>
        <v>8.1176587126277528</v>
      </c>
      <c r="FP13" s="5">
        <f t="shared" si="154"/>
        <v>1.2446569481679919</v>
      </c>
      <c r="FQ13" s="5">
        <f t="shared" si="155"/>
        <v>3.093964465987221</v>
      </c>
      <c r="FR13" s="5">
        <f t="shared" si="156"/>
        <v>-1.5239287054729354</v>
      </c>
      <c r="FS13" s="1" t="str">
        <f t="shared" si="157"/>
        <v>YES</v>
      </c>
      <c r="FT13" s="32">
        <f t="shared" si="158"/>
        <v>811.2802346001597</v>
      </c>
      <c r="FU13" s="32">
        <f t="shared" si="159"/>
        <v>115.03030445748503</v>
      </c>
      <c r="FV13" s="46">
        <f t="shared" si="160"/>
        <v>1.0764775820829913</v>
      </c>
      <c r="FW13" s="47">
        <f t="shared" si="161"/>
        <v>-12.540769527031287</v>
      </c>
      <c r="FX13" s="46">
        <f t="shared" si="162"/>
        <v>4.3327118009586414</v>
      </c>
      <c r="FY13" s="50">
        <f t="shared" si="163"/>
        <v>131.27870248627752</v>
      </c>
      <c r="FZ13" s="32">
        <f t="shared" si="164"/>
        <v>117.72667795228597</v>
      </c>
      <c r="GA13" s="32">
        <f t="shared" si="165"/>
        <v>78.724839194562406</v>
      </c>
      <c r="GB13" s="32">
        <f t="shared" si="166"/>
        <v>-396.57911514923978</v>
      </c>
      <c r="GC13" s="32">
        <f t="shared" si="167"/>
        <v>380.91707240175879</v>
      </c>
      <c r="GD13" s="32">
        <f t="shared" si="168"/>
        <v>-514.30579310152575</v>
      </c>
      <c r="GE13" s="4">
        <f t="shared" si="169"/>
        <v>-1.9015907773888594</v>
      </c>
      <c r="GF13" s="32">
        <f t="shared" si="170"/>
        <v>117.72667795228597</v>
      </c>
      <c r="GG13" s="1">
        <f t="shared" si="171"/>
        <v>36.721165018662518</v>
      </c>
      <c r="GH13" s="32">
        <f t="shared" si="172"/>
        <v>117.72667795228597</v>
      </c>
      <c r="GI13" s="32">
        <f t="shared" si="173"/>
        <v>789.1147253235099</v>
      </c>
      <c r="GJ13" s="46">
        <f t="shared" si="174"/>
        <v>1.5323611736967999</v>
      </c>
      <c r="GK13" s="46">
        <f t="shared" si="175"/>
        <v>78.024451294317046</v>
      </c>
      <c r="GL13" s="46">
        <f t="shared" si="176"/>
        <v>0.17720250922068889</v>
      </c>
      <c r="GM13" s="46">
        <f t="shared" si="177"/>
        <v>13.159164597609255</v>
      </c>
      <c r="GN13" s="46">
        <f t="shared" si="178"/>
        <v>0.6514734339057654</v>
      </c>
      <c r="GO13" s="46">
        <f t="shared" si="179"/>
        <v>-0.59322993965601245</v>
      </c>
      <c r="GP13" s="46">
        <f t="shared" si="180"/>
        <v>0.26014391271076676</v>
      </c>
      <c r="GQ13" s="46">
        <f t="shared" si="181"/>
        <v>6.9579346633177908</v>
      </c>
      <c r="GR13" s="46">
        <f t="shared" si="182"/>
        <v>5.4331295308489072</v>
      </c>
      <c r="GS13" s="46">
        <f t="shared" si="183"/>
        <v>104.07027000227419</v>
      </c>
      <c r="GU13" s="32">
        <f t="shared" si="184"/>
        <v>15218</v>
      </c>
      <c r="GV13" s="32">
        <f t="shared" si="185"/>
        <v>115.03030445748503</v>
      </c>
      <c r="GW13" s="32">
        <f t="shared" si="186"/>
        <v>811.2802346001597</v>
      </c>
      <c r="GX13" s="32">
        <f t="shared" si="187"/>
        <v>117.72667795228597</v>
      </c>
      <c r="GY13" s="32">
        <f t="shared" si="188"/>
        <v>789.1147253235099</v>
      </c>
    </row>
    <row r="14" spans="1:207">
      <c r="A14" s="35">
        <v>15223</v>
      </c>
      <c r="B14" s="2" t="s">
        <v>165</v>
      </c>
      <c r="C14" s="36">
        <v>47.69</v>
      </c>
      <c r="D14" s="36">
        <v>1.5988</v>
      </c>
      <c r="E14" s="36">
        <v>6.8</v>
      </c>
      <c r="F14" s="36"/>
      <c r="G14" s="36">
        <v>13.08</v>
      </c>
      <c r="H14" s="36">
        <v>14.48</v>
      </c>
      <c r="I14" s="36">
        <v>11.54</v>
      </c>
      <c r="J14" s="36">
        <v>0.2757</v>
      </c>
      <c r="K14" s="36">
        <v>1.4</v>
      </c>
      <c r="L14" s="36">
        <v>0.70430000000000004</v>
      </c>
      <c r="M14" s="36"/>
      <c r="N14" s="36">
        <v>9.1499999999999998E-2</v>
      </c>
      <c r="O14" s="4">
        <f t="shared" si="0"/>
        <v>97.660299999999992</v>
      </c>
      <c r="P14" s="5">
        <f t="shared" si="1"/>
        <v>0.79371815931948941</v>
      </c>
      <c r="Q14" s="5">
        <f t="shared" si="2"/>
        <v>2.0018581169912529E-2</v>
      </c>
      <c r="R14" s="5">
        <f t="shared" si="3"/>
        <v>6.6691986083030189E-2</v>
      </c>
      <c r="S14" s="5">
        <f t="shared" si="4"/>
        <v>0</v>
      </c>
      <c r="T14" s="5">
        <f t="shared" si="5"/>
        <v>0.1820601188123222</v>
      </c>
      <c r="U14" s="5">
        <f t="shared" si="6"/>
        <v>0.35926598584769903</v>
      </c>
      <c r="V14" s="5">
        <f t="shared" si="7"/>
        <v>0.20578700153716112</v>
      </c>
      <c r="W14" s="5">
        <f t="shared" si="8"/>
        <v>3.8865226179757325E-3</v>
      </c>
      <c r="X14" s="5">
        <f t="shared" si="9"/>
        <v>2.2588317902823118E-2</v>
      </c>
      <c r="Y14" s="5">
        <f t="shared" si="10"/>
        <v>7.4769629283621391E-3</v>
      </c>
      <c r="Z14" s="5">
        <f t="shared" si="11"/>
        <v>0</v>
      </c>
      <c r="AA14" s="5">
        <f t="shared" si="12"/>
        <v>2.5809035701089057E-3</v>
      </c>
      <c r="AB14" s="5">
        <f t="shared" si="13"/>
        <v>1.5874363186389788</v>
      </c>
      <c r="AC14" s="5">
        <f t="shared" si="14"/>
        <v>4.0037162339825058E-2</v>
      </c>
      <c r="AD14" s="5">
        <f t="shared" si="15"/>
        <v>0.20007595824909058</v>
      </c>
      <c r="AE14" s="5">
        <f t="shared" si="16"/>
        <v>0</v>
      </c>
      <c r="AF14" s="5">
        <f t="shared" si="17"/>
        <v>0.1820601188123222</v>
      </c>
      <c r="AG14" s="5">
        <f t="shared" si="18"/>
        <v>0.35926598584769903</v>
      </c>
      <c r="AH14" s="5">
        <f t="shared" si="19"/>
        <v>0.20578700153716112</v>
      </c>
      <c r="AI14" s="5">
        <f t="shared" si="20"/>
        <v>3.8865226179757325E-3</v>
      </c>
      <c r="AJ14" s="5">
        <f t="shared" si="21"/>
        <v>2.2588317902823118E-2</v>
      </c>
      <c r="AK14" s="5">
        <f t="shared" si="22"/>
        <v>7.4769629283621391E-3</v>
      </c>
      <c r="AL14" s="5">
        <f t="shared" si="23"/>
        <v>2.6086143488742373</v>
      </c>
      <c r="AM14" s="4">
        <f t="shared" si="24"/>
        <v>13.996333089424684</v>
      </c>
      <c r="AN14" s="4">
        <f t="shared" si="25"/>
        <v>0.35300531648665379</v>
      </c>
      <c r="AO14" s="4">
        <f t="shared" si="26"/>
        <v>1.7640580109953756</v>
      </c>
      <c r="AP14" s="4">
        <f t="shared" si="27"/>
        <v>0</v>
      </c>
      <c r="AQ14" s="4">
        <f t="shared" si="28"/>
        <v>1.6052134093682724</v>
      </c>
      <c r="AR14" s="4">
        <f t="shared" si="29"/>
        <v>3.1676271649977985</v>
      </c>
      <c r="AS14" s="4">
        <f t="shared" si="30"/>
        <v>1.8144119453292522</v>
      </c>
      <c r="AT14" s="4">
        <f t="shared" si="31"/>
        <v>3.4267242397105817E-2</v>
      </c>
      <c r="AU14" s="4">
        <f t="shared" si="32"/>
        <v>0.19915987657935658</v>
      </c>
      <c r="AV14" s="4">
        <f t="shared" si="33"/>
        <v>6.5923944421506356E-2</v>
      </c>
      <c r="AW14" s="4">
        <f t="shared" si="34"/>
        <v>23.000000000000007</v>
      </c>
      <c r="AX14" s="5">
        <f t="shared" si="35"/>
        <v>6.9981665447123422</v>
      </c>
      <c r="AY14" s="5">
        <f t="shared" si="36"/>
        <v>0.17650265824332689</v>
      </c>
      <c r="AZ14" s="5">
        <f t="shared" si="37"/>
        <v>1.1760386739969171</v>
      </c>
      <c r="BA14" s="5">
        <f t="shared" si="38"/>
        <v>0</v>
      </c>
      <c r="BB14" s="5">
        <f t="shared" si="39"/>
        <v>1.6052134093682724</v>
      </c>
      <c r="BC14" s="5">
        <f t="shared" si="40"/>
        <v>3.1676271649977985</v>
      </c>
      <c r="BD14" s="5">
        <f t="shared" si="41"/>
        <v>1.8144119453292522</v>
      </c>
      <c r="BE14" s="5">
        <f t="shared" si="42"/>
        <v>3.4267242397105817E-2</v>
      </c>
      <c r="BF14" s="5">
        <f t="shared" si="43"/>
        <v>0.39831975315871315</v>
      </c>
      <c r="BG14" s="5">
        <f t="shared" si="44"/>
        <v>0.13184788884301271</v>
      </c>
      <c r="BH14" s="5">
        <f t="shared" si="45"/>
        <v>0</v>
      </c>
      <c r="BI14" s="5">
        <f t="shared" si="46"/>
        <v>2.2755675685876036E-2</v>
      </c>
      <c r="BJ14" s="5">
        <f t="shared" si="47"/>
        <v>1.977244324314124</v>
      </c>
      <c r="BK14" s="5">
        <f t="shared" si="48"/>
        <v>15.502395281046741</v>
      </c>
      <c r="BL14" s="11">
        <f t="shared" si="49"/>
        <v>1</v>
      </c>
      <c r="BM14" s="11">
        <f t="shared" si="50"/>
        <v>1</v>
      </c>
      <c r="BN14" s="11">
        <f t="shared" si="51"/>
        <v>1</v>
      </c>
      <c r="BO14" s="11">
        <f t="shared" si="52"/>
        <v>1</v>
      </c>
      <c r="BP14" s="11">
        <f>1</f>
        <v>1</v>
      </c>
      <c r="BQ14" s="11">
        <f t="shared" si="53"/>
        <v>0.97868842119224808</v>
      </c>
      <c r="BR14" s="11">
        <f t="shared" si="54"/>
        <v>0.97589237502421811</v>
      </c>
      <c r="BS14" s="11">
        <f t="shared" si="55"/>
        <v>0.98040588957034125</v>
      </c>
      <c r="BT14" s="11">
        <f t="shared" si="56"/>
        <v>0.66236487814477574</v>
      </c>
      <c r="BU14" s="11">
        <f t="shared" si="57"/>
        <v>0.96510405631808105</v>
      </c>
      <c r="BV14" s="5">
        <f t="shared" si="58"/>
        <v>1</v>
      </c>
      <c r="BW14" s="11">
        <f t="shared" si="59"/>
        <v>0.98040588957034125</v>
      </c>
      <c r="BX14" s="11">
        <f t="shared" si="60"/>
        <v>0.99020294478517057</v>
      </c>
      <c r="BY14" s="11">
        <f t="shared" si="61"/>
        <v>6.9296051206712237</v>
      </c>
      <c r="BZ14" s="11">
        <f t="shared" si="62"/>
        <v>0.17477345195495286</v>
      </c>
      <c r="CA14" s="11">
        <f t="shared" si="63"/>
        <v>1.1645169581729944</v>
      </c>
      <c r="CB14" s="11">
        <f t="shared" si="64"/>
        <v>0</v>
      </c>
      <c r="CC14" s="11">
        <f t="shared" si="65"/>
        <v>1.5894870449651068</v>
      </c>
      <c r="CD14" s="11">
        <f t="shared" si="66"/>
        <v>3.1365937467623213</v>
      </c>
      <c r="CE14" s="11">
        <f t="shared" si="67"/>
        <v>1.7966360513184154</v>
      </c>
      <c r="CF14" s="11">
        <f t="shared" si="68"/>
        <v>3.393152433128143E-2</v>
      </c>
      <c r="CG14" s="11">
        <f t="shared" si="69"/>
        <v>0.39441739254385999</v>
      </c>
      <c r="CH14" s="11">
        <f t="shared" si="70"/>
        <v>0.13055616779605902</v>
      </c>
      <c r="CI14" s="11">
        <f t="shared" si="71"/>
        <v>15.350517458516215</v>
      </c>
      <c r="CJ14" s="11">
        <f t="shared" si="72"/>
        <v>0.45066453988215383</v>
      </c>
      <c r="CK14" s="11">
        <f t="shared" si="73"/>
        <v>1.138822505082953</v>
      </c>
      <c r="CL14" s="13">
        <f t="shared" si="74"/>
        <v>2.890784685788006E-2</v>
      </c>
      <c r="CN14" s="32">
        <f t="shared" si="75"/>
        <v>15223</v>
      </c>
      <c r="CO14" s="12">
        <f t="shared" si="76"/>
        <v>0.73240128016780592</v>
      </c>
      <c r="CP14" s="12">
        <f t="shared" si="77"/>
        <v>0.26759871983219408</v>
      </c>
      <c r="CQ14" s="12">
        <f t="shared" si="78"/>
        <v>4.7061039422109374E-2</v>
      </c>
      <c r="CR14" s="12">
        <f t="shared" si="79"/>
        <v>0.13055616779605902</v>
      </c>
      <c r="CS14" s="14">
        <f t="shared" si="80"/>
        <v>0.64948254148378548</v>
      </c>
      <c r="CT14" s="14">
        <f t="shared" si="81"/>
        <v>0.21996129072015558</v>
      </c>
      <c r="CU14" s="14">
        <f t="shared" si="82"/>
        <v>8.7228050911852262E-2</v>
      </c>
      <c r="CV14" s="12">
        <f t="shared" si="83"/>
        <v>0.89831802565920771</v>
      </c>
      <c r="CW14" s="2" t="str">
        <f t="shared" si="84"/>
        <v>26hHP02.5</v>
      </c>
      <c r="CY14" s="5">
        <f t="shared" si="85"/>
        <v>13.157815693715763</v>
      </c>
      <c r="CZ14" s="5">
        <f t="shared" si="86"/>
        <v>6.9142300818753002</v>
      </c>
      <c r="DA14" s="5">
        <f t="shared" si="87"/>
        <v>0.17438567392756005</v>
      </c>
      <c r="DB14" s="5">
        <f t="shared" si="88"/>
        <v>1.1619331899641812</v>
      </c>
      <c r="DC14" s="5">
        <f t="shared" si="89"/>
        <v>0</v>
      </c>
      <c r="DD14" s="5">
        <f t="shared" si="90"/>
        <v>1.585960375760096</v>
      </c>
      <c r="DE14" s="5">
        <f t="shared" si="91"/>
        <v>3.1296344396006961</v>
      </c>
      <c r="DF14" s="5">
        <f t="shared" si="92"/>
        <v>1.7926497709301183</v>
      </c>
      <c r="DG14" s="5">
        <f t="shared" si="93"/>
        <v>3.385623887216601E-2</v>
      </c>
      <c r="DH14" s="5">
        <f t="shared" si="94"/>
        <v>0.39354228023853416</v>
      </c>
      <c r="DI14" s="5">
        <f t="shared" si="95"/>
        <v>0.13026649672390461</v>
      </c>
      <c r="DJ14" s="5">
        <f t="shared" si="96"/>
        <v>0</v>
      </c>
      <c r="DK14" s="5">
        <f t="shared" si="97"/>
        <v>2.2482742637721802E-2</v>
      </c>
      <c r="DL14" s="5">
        <f t="shared" si="98"/>
        <v>1.9535291278141289</v>
      </c>
      <c r="DM14" s="5">
        <f t="shared" si="99"/>
        <v>13</v>
      </c>
      <c r="DN14" s="5">
        <f t="shared" si="100"/>
        <v>14.972227639045016</v>
      </c>
      <c r="DO14" s="5">
        <f t="shared" si="101"/>
        <v>7.0111476195389093</v>
      </c>
      <c r="DP14" s="5">
        <f t="shared" si="102"/>
        <v>0.17683005745554997</v>
      </c>
      <c r="DQ14" s="5">
        <f t="shared" si="103"/>
        <v>1.1782201376600856</v>
      </c>
      <c r="DR14" s="5">
        <f t="shared" si="104"/>
        <v>0</v>
      </c>
      <c r="DS14" s="5">
        <f t="shared" si="105"/>
        <v>1.6081909600233597</v>
      </c>
      <c r="DT14" s="5">
        <f t="shared" si="106"/>
        <v>3.1735028761556836</v>
      </c>
      <c r="DU14" s="5">
        <f t="shared" si="107"/>
        <v>1.8177775436010357</v>
      </c>
      <c r="DV14" s="5">
        <f t="shared" si="108"/>
        <v>3.4330805565374954E-2</v>
      </c>
      <c r="DW14" s="5">
        <f t="shared" si="109"/>
        <v>0.39905860646945063</v>
      </c>
      <c r="DX14" s="5">
        <f t="shared" si="110"/>
        <v>0.13209245680232903</v>
      </c>
      <c r="DY14" s="5">
        <f t="shared" si="111"/>
        <v>0</v>
      </c>
      <c r="DZ14" s="5">
        <f t="shared" si="112"/>
        <v>2.2797885760031909E-2</v>
      </c>
      <c r="EA14" s="5">
        <f t="shared" si="113"/>
        <v>1.9809119644539146</v>
      </c>
      <c r="EB14" s="5">
        <f t="shared" si="114"/>
        <v>14.999999999999998</v>
      </c>
      <c r="EC14" s="5">
        <f t="shared" si="115"/>
        <v>45.448273020392577</v>
      </c>
      <c r="ED14" s="1">
        <f t="shared" si="116"/>
        <v>6.9142300818753002</v>
      </c>
      <c r="EE14" s="5">
        <f t="shared" si="117"/>
        <v>0.17438567392756005</v>
      </c>
      <c r="EF14" s="5">
        <f t="shared" si="118"/>
        <v>1.1619331899641812</v>
      </c>
      <c r="EG14" s="5">
        <f t="shared" si="119"/>
        <v>0</v>
      </c>
      <c r="EH14" s="5">
        <f t="shared" si="120"/>
        <v>0.55172697960742312</v>
      </c>
      <c r="EI14" s="5">
        <f t="shared" si="121"/>
        <v>1.0342333961526728</v>
      </c>
      <c r="EJ14" s="5">
        <f t="shared" si="122"/>
        <v>3.1296344396006961</v>
      </c>
      <c r="EK14" s="5">
        <f t="shared" si="123"/>
        <v>1.7926497709301183</v>
      </c>
      <c r="EL14" s="5">
        <f t="shared" si="124"/>
        <v>3.385623887216601E-2</v>
      </c>
      <c r="EM14" s="5">
        <f t="shared" si="125"/>
        <v>0.39354228023853416</v>
      </c>
      <c r="EN14" s="5">
        <f t="shared" si="126"/>
        <v>0.13026649672390461</v>
      </c>
      <c r="EO14" s="5">
        <f t="shared" si="127"/>
        <v>5.0569602603418202</v>
      </c>
      <c r="EP14" s="5">
        <f t="shared" si="128"/>
        <v>8.5297041643890807</v>
      </c>
      <c r="EQ14" s="5">
        <f t="shared" si="129"/>
        <v>2.0237564163147868</v>
      </c>
      <c r="ER14" s="5">
        <f t="shared" si="130"/>
        <v>100.19072084104569</v>
      </c>
      <c r="ES14" s="5">
        <f t="shared" si="131"/>
        <v>6.9142300818753002</v>
      </c>
      <c r="ET14" s="5">
        <f t="shared" si="132"/>
        <v>1.0857699181246998</v>
      </c>
      <c r="EU14" s="5">
        <f t="shared" si="133"/>
        <v>0</v>
      </c>
      <c r="EV14" s="44">
        <f t="shared" si="134"/>
        <v>8</v>
      </c>
      <c r="EW14" s="5">
        <f t="shared" si="135"/>
        <v>7.616327183948135E-2</v>
      </c>
      <c r="EX14" s="5">
        <f t="shared" si="136"/>
        <v>0.17438567392756005</v>
      </c>
      <c r="EY14" s="5">
        <f t="shared" si="137"/>
        <v>0</v>
      </c>
      <c r="EZ14" s="5">
        <f t="shared" si="138"/>
        <v>0.55172697960742312</v>
      </c>
      <c r="FA14" s="5">
        <f t="shared" si="139"/>
        <v>3.1296344396006961</v>
      </c>
      <c r="FB14" s="5">
        <f t="shared" si="140"/>
        <v>1.0342333961526728</v>
      </c>
      <c r="FC14" s="5">
        <f t="shared" si="141"/>
        <v>3.385623887216601E-2</v>
      </c>
      <c r="FD14" s="44">
        <f t="shared" si="142"/>
        <v>4.9999999999999991</v>
      </c>
      <c r="FE14" s="5">
        <f t="shared" si="143"/>
        <v>0</v>
      </c>
      <c r="FF14" s="5">
        <f t="shared" si="144"/>
        <v>1.7926497709301183</v>
      </c>
      <c r="FG14" s="5">
        <f t="shared" si="145"/>
        <v>0.20735022906988165</v>
      </c>
      <c r="FH14" s="44">
        <f t="shared" si="146"/>
        <v>2</v>
      </c>
      <c r="FI14" s="5">
        <f t="shared" si="147"/>
        <v>0.18619205116865251</v>
      </c>
      <c r="FJ14" s="5">
        <f t="shared" si="148"/>
        <v>0.13026649672390461</v>
      </c>
      <c r="FK14" s="44">
        <f t="shared" si="149"/>
        <v>0.31645854789255712</v>
      </c>
      <c r="FL14" s="1" t="str">
        <f t="shared" si="150"/>
        <v>Pass</v>
      </c>
      <c r="FM14" s="5">
        <f t="shared" si="151"/>
        <v>6.5548753144601402E-2</v>
      </c>
      <c r="FN14" s="1" t="str">
        <f t="shared" si="152"/>
        <v>Mg-Hbl</v>
      </c>
      <c r="FO14" s="5">
        <f t="shared" si="153"/>
        <v>8.1495390524290059</v>
      </c>
      <c r="FP14" s="5">
        <f t="shared" si="154"/>
        <v>1.1619331899641812</v>
      </c>
      <c r="FQ14" s="5">
        <f t="shared" si="155"/>
        <v>3.3054102758108792</v>
      </c>
      <c r="FR14" s="5">
        <f t="shared" si="156"/>
        <v>-1.5925199119696201</v>
      </c>
      <c r="FS14" s="1" t="str">
        <f t="shared" si="157"/>
        <v>YES</v>
      </c>
      <c r="FT14" s="32">
        <f t="shared" si="158"/>
        <v>806.45077756468731</v>
      </c>
      <c r="FU14" s="32">
        <f t="shared" si="159"/>
        <v>102.12921715441466</v>
      </c>
      <c r="FV14" s="46">
        <f t="shared" si="160"/>
        <v>1.4240944934330857</v>
      </c>
      <c r="FW14" s="47">
        <f t="shared" si="161"/>
        <v>-12.299351956123942</v>
      </c>
      <c r="FX14" s="46">
        <f t="shared" si="162"/>
        <v>3.9750086590784317</v>
      </c>
      <c r="FY14" s="50">
        <f t="shared" si="163"/>
        <v>94.139630930288348</v>
      </c>
      <c r="FZ14" s="32">
        <f t="shared" si="164"/>
        <v>110.54414000508204</v>
      </c>
      <c r="GA14" s="32">
        <f t="shared" si="165"/>
        <v>36.034176828875289</v>
      </c>
      <c r="GB14" s="32">
        <f t="shared" si="166"/>
        <v>-588.40477642796145</v>
      </c>
      <c r="GC14" s="32">
        <f t="shared" si="167"/>
        <v>286.88253779013235</v>
      </c>
      <c r="GD14" s="32">
        <f t="shared" si="168"/>
        <v>-698.94891643304345</v>
      </c>
      <c r="GE14" s="4">
        <f t="shared" si="169"/>
        <v>-2.0474151529505433</v>
      </c>
      <c r="GF14" s="32">
        <f t="shared" si="170"/>
        <v>110.54414000508204</v>
      </c>
      <c r="GG14" s="1">
        <f t="shared" si="171"/>
        <v>13.87493172889458</v>
      </c>
      <c r="GH14" s="32">
        <f t="shared" si="172"/>
        <v>110.54414000508204</v>
      </c>
      <c r="GI14" s="32">
        <f t="shared" si="173"/>
        <v>775.2875733401105</v>
      </c>
      <c r="GJ14" s="46">
        <f t="shared" si="174"/>
        <v>1.071081490989108</v>
      </c>
      <c r="GK14" s="46">
        <f t="shared" si="175"/>
        <v>75.749506165583654</v>
      </c>
      <c r="GL14" s="46">
        <f t="shared" si="176"/>
        <v>0.20527752800596899</v>
      </c>
      <c r="GM14" s="46">
        <f t="shared" si="177"/>
        <v>13.822838246247988</v>
      </c>
      <c r="GN14" s="46">
        <f t="shared" si="178"/>
        <v>0.77257115252388542</v>
      </c>
      <c r="GO14" s="46">
        <f t="shared" si="179"/>
        <v>-0.28096393050890112</v>
      </c>
      <c r="GP14" s="46">
        <f t="shared" si="180"/>
        <v>0.96152536569370994</v>
      </c>
      <c r="GQ14" s="46">
        <f t="shared" si="181"/>
        <v>5.8411355692824189</v>
      </c>
      <c r="GR14" s="46">
        <f t="shared" si="182"/>
        <v>5.2544336565899767</v>
      </c>
      <c r="GS14" s="46">
        <f t="shared" si="183"/>
        <v>102.32632375341868</v>
      </c>
      <c r="GU14" s="32">
        <f t="shared" si="184"/>
        <v>15223</v>
      </c>
      <c r="GV14" s="32">
        <f t="shared" si="185"/>
        <v>102.12921715441466</v>
      </c>
      <c r="GW14" s="32">
        <f t="shared" si="186"/>
        <v>806.45077756468731</v>
      </c>
      <c r="GX14" s="32">
        <f t="shared" si="187"/>
        <v>110.54414000508204</v>
      </c>
      <c r="GY14" s="32">
        <f t="shared" si="188"/>
        <v>775.2875733401105</v>
      </c>
    </row>
    <row r="15" spans="1:207">
      <c r="A15" s="35">
        <v>15224</v>
      </c>
      <c r="B15" s="2" t="s">
        <v>166</v>
      </c>
      <c r="C15" s="36">
        <v>45.81</v>
      </c>
      <c r="D15" s="36">
        <v>1.86</v>
      </c>
      <c r="E15" s="36">
        <v>8.36</v>
      </c>
      <c r="F15" s="36"/>
      <c r="G15" s="36">
        <v>13.9</v>
      </c>
      <c r="H15" s="36">
        <v>13.63</v>
      </c>
      <c r="I15" s="36">
        <v>11.43</v>
      </c>
      <c r="J15" s="36">
        <v>0.25159999999999999</v>
      </c>
      <c r="K15" s="36">
        <v>1.71</v>
      </c>
      <c r="L15" s="36">
        <v>0.83140000000000003</v>
      </c>
      <c r="M15" s="36"/>
      <c r="N15" s="36">
        <v>7.22E-2</v>
      </c>
      <c r="O15" s="4">
        <f t="shared" si="0"/>
        <v>97.855199999999996</v>
      </c>
      <c r="P15" s="5">
        <f t="shared" si="1"/>
        <v>0.76242878755348742</v>
      </c>
      <c r="Q15" s="5">
        <f t="shared" si="2"/>
        <v>2.3289067410581253E-2</v>
      </c>
      <c r="R15" s="5">
        <f t="shared" si="3"/>
        <v>8.1991912302078293E-2</v>
      </c>
      <c r="S15" s="5">
        <f t="shared" si="4"/>
        <v>0</v>
      </c>
      <c r="T15" s="5">
        <f t="shared" si="5"/>
        <v>0.19347367366141274</v>
      </c>
      <c r="U15" s="5">
        <f t="shared" si="6"/>
        <v>0.33817647700995423</v>
      </c>
      <c r="V15" s="5">
        <f t="shared" si="7"/>
        <v>0.20382542699911191</v>
      </c>
      <c r="W15" s="5">
        <f t="shared" si="8"/>
        <v>3.5467866909056735E-3</v>
      </c>
      <c r="X15" s="5">
        <f t="shared" si="9"/>
        <v>2.7590016867019666E-2</v>
      </c>
      <c r="Y15" s="5">
        <f t="shared" si="10"/>
        <v>8.8262771242940252E-3</v>
      </c>
      <c r="Z15" s="5">
        <f t="shared" si="11"/>
        <v>0</v>
      </c>
      <c r="AA15" s="5">
        <f t="shared" si="12"/>
        <v>2.0365162596924918E-3</v>
      </c>
      <c r="AB15" s="5">
        <f t="shared" si="13"/>
        <v>1.5248575751069748</v>
      </c>
      <c r="AC15" s="5">
        <f t="shared" si="14"/>
        <v>4.6578134821162506E-2</v>
      </c>
      <c r="AD15" s="5">
        <f t="shared" si="15"/>
        <v>0.24597573690623487</v>
      </c>
      <c r="AE15" s="5">
        <f t="shared" si="16"/>
        <v>0</v>
      </c>
      <c r="AF15" s="5">
        <f t="shared" si="17"/>
        <v>0.19347367366141274</v>
      </c>
      <c r="AG15" s="5">
        <f t="shared" si="18"/>
        <v>0.33817647700995423</v>
      </c>
      <c r="AH15" s="5">
        <f t="shared" si="19"/>
        <v>0.20382542699911191</v>
      </c>
      <c r="AI15" s="5">
        <f t="shared" si="20"/>
        <v>3.5467866909056735E-3</v>
      </c>
      <c r="AJ15" s="5">
        <f t="shared" si="21"/>
        <v>2.7590016867019666E-2</v>
      </c>
      <c r="AK15" s="5">
        <f t="shared" si="22"/>
        <v>8.8262771242940252E-3</v>
      </c>
      <c r="AL15" s="5">
        <f t="shared" si="23"/>
        <v>2.5928501051870705</v>
      </c>
      <c r="AM15" s="4">
        <f t="shared" si="24"/>
        <v>13.526321539875536</v>
      </c>
      <c r="AN15" s="4">
        <f t="shared" si="25"/>
        <v>0.41317355706123438</v>
      </c>
      <c r="AO15" s="4">
        <f t="shared" si="26"/>
        <v>2.1819394563247325</v>
      </c>
      <c r="AP15" s="4">
        <f t="shared" si="27"/>
        <v>0</v>
      </c>
      <c r="AQ15" s="4">
        <f t="shared" si="28"/>
        <v>1.7162174108369597</v>
      </c>
      <c r="AR15" s="4">
        <f t="shared" si="29"/>
        <v>2.9998105002941431</v>
      </c>
      <c r="AS15" s="4">
        <f t="shared" si="30"/>
        <v>1.8080431304536762</v>
      </c>
      <c r="AT15" s="4">
        <f t="shared" si="31"/>
        <v>3.1461939788819719E-2</v>
      </c>
      <c r="AU15" s="4">
        <f t="shared" si="32"/>
        <v>0.24473855494846242</v>
      </c>
      <c r="AV15" s="4">
        <f t="shared" si="33"/>
        <v>7.8293910416435783E-2</v>
      </c>
      <c r="AW15" s="4">
        <f t="shared" si="34"/>
        <v>22.999999999999996</v>
      </c>
      <c r="AX15" s="5">
        <f t="shared" si="35"/>
        <v>6.7631607699377678</v>
      </c>
      <c r="AY15" s="5">
        <f t="shared" si="36"/>
        <v>0.20658677853061719</v>
      </c>
      <c r="AZ15" s="5">
        <f t="shared" si="37"/>
        <v>1.4546263042164884</v>
      </c>
      <c r="BA15" s="5">
        <f t="shared" si="38"/>
        <v>0</v>
      </c>
      <c r="BB15" s="5">
        <f t="shared" si="39"/>
        <v>1.7162174108369597</v>
      </c>
      <c r="BC15" s="5">
        <f t="shared" si="40"/>
        <v>2.9998105002941431</v>
      </c>
      <c r="BD15" s="5">
        <f t="shared" si="41"/>
        <v>1.8080431304536762</v>
      </c>
      <c r="BE15" s="5">
        <f t="shared" si="42"/>
        <v>3.1461939788819719E-2</v>
      </c>
      <c r="BF15" s="5">
        <f t="shared" si="43"/>
        <v>0.48947710989692483</v>
      </c>
      <c r="BG15" s="5">
        <f t="shared" si="44"/>
        <v>0.15658782083287157</v>
      </c>
      <c r="BH15" s="5">
        <f t="shared" si="45"/>
        <v>0</v>
      </c>
      <c r="BI15" s="5">
        <f t="shared" si="46"/>
        <v>1.8065014201639661E-2</v>
      </c>
      <c r="BJ15" s="5">
        <f t="shared" si="47"/>
        <v>1.9819349857983604</v>
      </c>
      <c r="BK15" s="5">
        <f t="shared" si="48"/>
        <v>15.625971764788268</v>
      </c>
      <c r="BL15" s="11">
        <f t="shared" si="49"/>
        <v>1</v>
      </c>
      <c r="BM15" s="11">
        <f t="shared" si="50"/>
        <v>1</v>
      </c>
      <c r="BN15" s="11">
        <f t="shared" si="51"/>
        <v>1</v>
      </c>
      <c r="BO15" s="11">
        <f t="shared" si="52"/>
        <v>1</v>
      </c>
      <c r="BP15" s="11">
        <f>1</f>
        <v>1</v>
      </c>
      <c r="BQ15" s="11">
        <f t="shared" si="53"/>
        <v>0.97349808747914424</v>
      </c>
      <c r="BR15" s="11">
        <f t="shared" si="54"/>
        <v>0.96965723097597523</v>
      </c>
      <c r="BS15" s="11">
        <f t="shared" si="55"/>
        <v>0.9793602705188641</v>
      </c>
      <c r="BT15" s="11">
        <f t="shared" si="56"/>
        <v>0.66146833581299969</v>
      </c>
      <c r="BU15" s="11">
        <f t="shared" si="57"/>
        <v>0.96269092585137039</v>
      </c>
      <c r="BV15" s="5">
        <f t="shared" si="58"/>
        <v>1</v>
      </c>
      <c r="BW15" s="11">
        <f t="shared" si="59"/>
        <v>0.9793602705188641</v>
      </c>
      <c r="BX15" s="11">
        <f t="shared" si="60"/>
        <v>0.98968013525943199</v>
      </c>
      <c r="BY15" s="11">
        <f t="shared" si="61"/>
        <v>6.6933658655732939</v>
      </c>
      <c r="BZ15" s="11">
        <f t="shared" si="62"/>
        <v>0.20445483091899153</v>
      </c>
      <c r="CA15" s="11">
        <f t="shared" si="63"/>
        <v>1.439614757508902</v>
      </c>
      <c r="CB15" s="11">
        <f t="shared" si="64"/>
        <v>0</v>
      </c>
      <c r="CC15" s="11">
        <f t="shared" si="65"/>
        <v>1.6985062792917145</v>
      </c>
      <c r="CD15" s="11">
        <f t="shared" si="66"/>
        <v>2.9688528616837719</v>
      </c>
      <c r="CE15" s="11">
        <f t="shared" si="67"/>
        <v>1.7893843699022811</v>
      </c>
      <c r="CF15" s="11">
        <f t="shared" si="68"/>
        <v>3.1137256825723204E-2</v>
      </c>
      <c r="CG15" s="11">
        <f t="shared" si="69"/>
        <v>0.48442577232918443</v>
      </c>
      <c r="CH15" s="11">
        <f t="shared" si="70"/>
        <v>0.15497185570185604</v>
      </c>
      <c r="CI15" s="11">
        <f t="shared" si="71"/>
        <v>15.464713849735718</v>
      </c>
      <c r="CJ15" s="11">
        <f t="shared" si="72"/>
        <v>0.47471377806612836</v>
      </c>
      <c r="CK15" s="11">
        <f t="shared" si="73"/>
        <v>1.2237925012255861</v>
      </c>
      <c r="CL15" s="13">
        <f t="shared" si="74"/>
        <v>3.5931851802397219E-2</v>
      </c>
      <c r="CN15" s="32">
        <f t="shared" si="75"/>
        <v>15224</v>
      </c>
      <c r="CO15" s="12">
        <f t="shared" si="76"/>
        <v>0.67334146639332348</v>
      </c>
      <c r="CP15" s="12">
        <f t="shared" si="77"/>
        <v>0.32665853360667652</v>
      </c>
      <c r="CQ15" s="12">
        <f t="shared" si="78"/>
        <v>6.6490311541097746E-2</v>
      </c>
      <c r="CR15" s="12">
        <f t="shared" si="79"/>
        <v>0.15497185570185604</v>
      </c>
      <c r="CS15" s="14">
        <f t="shared" si="80"/>
        <v>0.53528615026428117</v>
      </c>
      <c r="CT15" s="14">
        <f t="shared" si="81"/>
        <v>0.3097419940338626</v>
      </c>
      <c r="CU15" s="14">
        <f t="shared" si="82"/>
        <v>8.7341889147660834E-2</v>
      </c>
      <c r="CV15" s="12">
        <f t="shared" si="83"/>
        <v>0.89469218495114056</v>
      </c>
      <c r="CW15" s="2" t="str">
        <f t="shared" si="84"/>
        <v>26hHP02.6</v>
      </c>
      <c r="CY15" s="5">
        <f t="shared" si="85"/>
        <v>13.171863703604796</v>
      </c>
      <c r="CZ15" s="5">
        <f t="shared" si="86"/>
        <v>6.6749164725360215</v>
      </c>
      <c r="DA15" s="5">
        <f t="shared" si="87"/>
        <v>0.20389127775160906</v>
      </c>
      <c r="DB15" s="5">
        <f t="shared" si="88"/>
        <v>1.4356466465439615</v>
      </c>
      <c r="DC15" s="5">
        <f t="shared" si="89"/>
        <v>0</v>
      </c>
      <c r="DD15" s="5">
        <f t="shared" si="90"/>
        <v>1.6938245674964418</v>
      </c>
      <c r="DE15" s="5">
        <f t="shared" si="91"/>
        <v>2.9606696046476135</v>
      </c>
      <c r="DF15" s="5">
        <f t="shared" si="92"/>
        <v>1.7844521644621334</v>
      </c>
      <c r="DG15" s="5">
        <f t="shared" si="93"/>
        <v>3.1051431024352479E-2</v>
      </c>
      <c r="DH15" s="5">
        <f t="shared" si="94"/>
        <v>0.48309051565106764</v>
      </c>
      <c r="DI15" s="5">
        <f t="shared" si="95"/>
        <v>0.15454469592410283</v>
      </c>
      <c r="DJ15" s="5">
        <f t="shared" si="96"/>
        <v>0</v>
      </c>
      <c r="DK15" s="5">
        <f t="shared" si="97"/>
        <v>1.7829305700835987E-2</v>
      </c>
      <c r="DL15" s="5">
        <f t="shared" si="98"/>
        <v>1.9560751154999756</v>
      </c>
      <c r="DM15" s="5">
        <f t="shared" si="99"/>
        <v>13</v>
      </c>
      <c r="DN15" s="5">
        <f t="shared" si="100"/>
        <v>14.979906834058472</v>
      </c>
      <c r="DO15" s="5">
        <f t="shared" si="101"/>
        <v>6.7722324760000925</v>
      </c>
      <c r="DP15" s="5">
        <f t="shared" si="102"/>
        <v>0.20686388188435126</v>
      </c>
      <c r="DQ15" s="5">
        <f t="shared" si="103"/>
        <v>1.4565774543829955</v>
      </c>
      <c r="DR15" s="5">
        <f t="shared" si="104"/>
        <v>0</v>
      </c>
      <c r="DS15" s="5">
        <f t="shared" si="105"/>
        <v>1.718519443927665</v>
      </c>
      <c r="DT15" s="5">
        <f t="shared" si="106"/>
        <v>3.0038342696568807</v>
      </c>
      <c r="DU15" s="5">
        <f t="shared" si="107"/>
        <v>1.8104683331636855</v>
      </c>
      <c r="DV15" s="5">
        <f t="shared" si="108"/>
        <v>3.1504140984329278E-2</v>
      </c>
      <c r="DW15" s="5">
        <f t="shared" si="109"/>
        <v>0.49013366570215705</v>
      </c>
      <c r="DX15" s="5">
        <f t="shared" si="110"/>
        <v>0.15679785852558029</v>
      </c>
      <c r="DY15" s="5">
        <f t="shared" si="111"/>
        <v>0</v>
      </c>
      <c r="DZ15" s="5">
        <f t="shared" si="112"/>
        <v>1.808924554914473E-2</v>
      </c>
      <c r="EA15" s="5">
        <f t="shared" si="113"/>
        <v>1.9845934368151867</v>
      </c>
      <c r="EB15" s="5">
        <f t="shared" si="114"/>
        <v>15</v>
      </c>
      <c r="EC15" s="5">
        <f t="shared" si="115"/>
        <v>45.399801687618663</v>
      </c>
      <c r="ED15" s="1">
        <f t="shared" si="116"/>
        <v>6.6749164725360215</v>
      </c>
      <c r="EE15" s="5">
        <f t="shared" si="117"/>
        <v>0.20389127775160906</v>
      </c>
      <c r="EF15" s="5">
        <f t="shared" si="118"/>
        <v>1.4356466465439615</v>
      </c>
      <c r="EG15" s="5">
        <f t="shared" si="119"/>
        <v>0</v>
      </c>
      <c r="EH15" s="5">
        <f t="shared" si="120"/>
        <v>0.60019831238133747</v>
      </c>
      <c r="EI15" s="5">
        <f t="shared" si="121"/>
        <v>1.0936262551151044</v>
      </c>
      <c r="EJ15" s="5">
        <f t="shared" si="122"/>
        <v>2.9606696046476135</v>
      </c>
      <c r="EK15" s="5">
        <f t="shared" si="123"/>
        <v>1.7844521644621334</v>
      </c>
      <c r="EL15" s="5">
        <f t="shared" si="124"/>
        <v>3.1051431024352479E-2</v>
      </c>
      <c r="EM15" s="5">
        <f t="shared" si="125"/>
        <v>0.48309051565106764</v>
      </c>
      <c r="EN15" s="5">
        <f t="shared" si="126"/>
        <v>0.15454469592410283</v>
      </c>
      <c r="EO15" s="5">
        <f t="shared" si="127"/>
        <v>5.4738267838488666</v>
      </c>
      <c r="EP15" s="5">
        <f t="shared" si="128"/>
        <v>8.9746041224141617</v>
      </c>
      <c r="EQ15" s="5">
        <f t="shared" si="129"/>
        <v>2.0152649246878758</v>
      </c>
      <c r="ER15" s="5">
        <f t="shared" si="130"/>
        <v>100.4188958309509</v>
      </c>
      <c r="ES15" s="5">
        <f t="shared" si="131"/>
        <v>6.6749164725360215</v>
      </c>
      <c r="ET15" s="5">
        <f t="shared" si="132"/>
        <v>1.3250835274639785</v>
      </c>
      <c r="EU15" s="5">
        <f t="shared" si="133"/>
        <v>0</v>
      </c>
      <c r="EV15" s="44">
        <f t="shared" si="134"/>
        <v>8</v>
      </c>
      <c r="EW15" s="5">
        <f t="shared" si="135"/>
        <v>0.11056311907998295</v>
      </c>
      <c r="EX15" s="5">
        <f t="shared" si="136"/>
        <v>0.20389127775160906</v>
      </c>
      <c r="EY15" s="5">
        <f t="shared" si="137"/>
        <v>0</v>
      </c>
      <c r="EZ15" s="5">
        <f t="shared" si="138"/>
        <v>0.60019831238133747</v>
      </c>
      <c r="FA15" s="5">
        <f t="shared" si="139"/>
        <v>2.9606696046476135</v>
      </c>
      <c r="FB15" s="5">
        <f t="shared" si="140"/>
        <v>1.0936262551151044</v>
      </c>
      <c r="FC15" s="5">
        <f t="shared" si="141"/>
        <v>3.1051431024352479E-2</v>
      </c>
      <c r="FD15" s="44">
        <f t="shared" si="142"/>
        <v>5</v>
      </c>
      <c r="FE15" s="5">
        <f t="shared" si="143"/>
        <v>0</v>
      </c>
      <c r="FF15" s="5">
        <f t="shared" si="144"/>
        <v>1.7844521644621334</v>
      </c>
      <c r="FG15" s="5">
        <f t="shared" si="145"/>
        <v>0.21554783553786661</v>
      </c>
      <c r="FH15" s="44">
        <f t="shared" si="146"/>
        <v>2</v>
      </c>
      <c r="FI15" s="5">
        <f t="shared" si="147"/>
        <v>0.26754268011320104</v>
      </c>
      <c r="FJ15" s="5">
        <f t="shared" si="148"/>
        <v>0.15454469592410283</v>
      </c>
      <c r="FK15" s="44">
        <f t="shared" si="149"/>
        <v>0.42208737603730384</v>
      </c>
      <c r="FL15" s="1" t="str">
        <f t="shared" si="150"/>
        <v>Pass</v>
      </c>
      <c r="FM15" s="5">
        <f t="shared" si="151"/>
        <v>7.7012765882288683E-2</v>
      </c>
      <c r="FN15" s="1" t="str">
        <f t="shared" si="152"/>
        <v>Mg-Hbl</v>
      </c>
      <c r="FO15" s="5">
        <f t="shared" si="153"/>
        <v>7.8627900272786118</v>
      </c>
      <c r="FP15" s="5">
        <f t="shared" si="154"/>
        <v>1.4356466465439615</v>
      </c>
      <c r="FQ15" s="5">
        <f t="shared" si="155"/>
        <v>3.0739334958278026</v>
      </c>
      <c r="FR15" s="5">
        <f t="shared" si="156"/>
        <v>-1.5294034635765632</v>
      </c>
      <c r="FS15" s="1" t="str">
        <f t="shared" si="157"/>
        <v>YES</v>
      </c>
      <c r="FT15" s="32">
        <f t="shared" si="158"/>
        <v>849.88952713764502</v>
      </c>
      <c r="FU15" s="32">
        <f t="shared" si="159"/>
        <v>151.38689779501794</v>
      </c>
      <c r="FV15" s="46">
        <f t="shared" si="160"/>
        <v>1.043546667140907</v>
      </c>
      <c r="FW15" s="47">
        <f t="shared" si="161"/>
        <v>-11.785227735417267</v>
      </c>
      <c r="FX15" s="46">
        <f t="shared" si="162"/>
        <v>4.3041609374482226</v>
      </c>
      <c r="FY15" s="50">
        <f t="shared" si="163"/>
        <v>162.61204726309305</v>
      </c>
      <c r="FZ15" s="32">
        <f t="shared" si="164"/>
        <v>152.77252103703449</v>
      </c>
      <c r="GA15" s="32">
        <f t="shared" si="165"/>
        <v>141.51221074799511</v>
      </c>
      <c r="GB15" s="32">
        <f t="shared" si="166"/>
        <v>-206.93692931971617</v>
      </c>
      <c r="GC15" s="32">
        <f t="shared" si="167"/>
        <v>392.31000955026576</v>
      </c>
      <c r="GD15" s="32">
        <f t="shared" si="168"/>
        <v>-359.70945035675066</v>
      </c>
      <c r="GE15" s="4">
        <f t="shared" si="169"/>
        <v>-1.412551936668875</v>
      </c>
      <c r="GF15" s="32">
        <f t="shared" si="170"/>
        <v>152.77252103703449</v>
      </c>
      <c r="GG15" s="1">
        <f t="shared" si="171"/>
        <v>65.731897507856758</v>
      </c>
      <c r="GH15" s="32">
        <f t="shared" si="172"/>
        <v>157.69228415006376</v>
      </c>
      <c r="GI15" s="32">
        <f t="shared" si="173"/>
        <v>820.98569179608933</v>
      </c>
      <c r="GJ15" s="46">
        <f t="shared" si="174"/>
        <v>1.3724950101923858</v>
      </c>
      <c r="GK15" s="46">
        <f t="shared" si="175"/>
        <v>76.235277235088745</v>
      </c>
      <c r="GL15" s="46">
        <f t="shared" si="176"/>
        <v>0.2310567718199889</v>
      </c>
      <c r="GM15" s="46">
        <f t="shared" si="177"/>
        <v>14.056483734843306</v>
      </c>
      <c r="GN15" s="46">
        <f t="shared" si="178"/>
        <v>1.0851785722997032</v>
      </c>
      <c r="GO15" s="46">
        <f t="shared" si="179"/>
        <v>-7.7330229611368359E-2</v>
      </c>
      <c r="GP15" s="46">
        <f t="shared" si="180"/>
        <v>0.76799240391390455</v>
      </c>
      <c r="GQ15" s="46">
        <f t="shared" si="181"/>
        <v>5.899803624562189</v>
      </c>
      <c r="GR15" s="46">
        <f t="shared" si="182"/>
        <v>5.4826361574717568</v>
      </c>
      <c r="GS15" s="46">
        <f t="shared" si="183"/>
        <v>103.68109827038823</v>
      </c>
      <c r="GU15" s="32">
        <f t="shared" si="184"/>
        <v>15224</v>
      </c>
      <c r="GV15" s="32">
        <f t="shared" si="185"/>
        <v>151.38689779501794</v>
      </c>
      <c r="GW15" s="32">
        <f t="shared" si="186"/>
        <v>849.88952713764502</v>
      </c>
      <c r="GX15" s="32">
        <f t="shared" si="187"/>
        <v>157.69228415006376</v>
      </c>
      <c r="GY15" s="32">
        <f t="shared" si="188"/>
        <v>820.98569179608933</v>
      </c>
    </row>
    <row r="16" spans="1:207">
      <c r="A16" s="35">
        <v>15225</v>
      </c>
      <c r="B16" s="2" t="s">
        <v>167</v>
      </c>
      <c r="C16" s="36">
        <v>45.72</v>
      </c>
      <c r="D16" s="36">
        <v>1.91</v>
      </c>
      <c r="E16" s="36">
        <v>8.02</v>
      </c>
      <c r="F16" s="36"/>
      <c r="G16" s="36">
        <v>12.91</v>
      </c>
      <c r="H16" s="36">
        <v>13.86</v>
      </c>
      <c r="I16" s="36">
        <v>11.56</v>
      </c>
      <c r="J16" s="36">
        <v>0.2283</v>
      </c>
      <c r="K16" s="36">
        <v>1.68</v>
      </c>
      <c r="L16" s="36">
        <v>0.72599999999999998</v>
      </c>
      <c r="M16" s="36"/>
      <c r="N16" s="36">
        <v>4.9700000000000001E-2</v>
      </c>
      <c r="O16" s="4">
        <f t="shared" si="0"/>
        <v>96.664000000000001</v>
      </c>
      <c r="P16" s="5">
        <f t="shared" si="1"/>
        <v>0.76093089209660425</v>
      </c>
      <c r="Q16" s="5">
        <f t="shared" si="2"/>
        <v>2.3915117609790426E-2</v>
      </c>
      <c r="R16" s="5">
        <f t="shared" si="3"/>
        <v>7.8657312997926776E-2</v>
      </c>
      <c r="S16" s="5">
        <f t="shared" si="4"/>
        <v>0</v>
      </c>
      <c r="T16" s="5">
        <f t="shared" si="5"/>
        <v>0.17969389402653516</v>
      </c>
      <c r="U16" s="5">
        <f t="shared" si="6"/>
        <v>0.3438830499895793</v>
      </c>
      <c r="V16" s="5">
        <f t="shared" si="7"/>
        <v>0.20614365145317007</v>
      </c>
      <c r="W16" s="5">
        <f t="shared" si="8"/>
        <v>3.2183283049831693E-3</v>
      </c>
      <c r="X16" s="5">
        <f t="shared" si="9"/>
        <v>2.7105981483387744E-2</v>
      </c>
      <c r="Y16" s="5">
        <f t="shared" si="10"/>
        <v>7.7073336447407532E-3</v>
      </c>
      <c r="Z16" s="5">
        <f t="shared" si="11"/>
        <v>0</v>
      </c>
      <c r="AA16" s="5">
        <f t="shared" si="12"/>
        <v>1.4018678408132526E-3</v>
      </c>
      <c r="AB16" s="5">
        <f t="shared" si="13"/>
        <v>1.5218617841932085</v>
      </c>
      <c r="AC16" s="5">
        <f t="shared" si="14"/>
        <v>4.7830235219580852E-2</v>
      </c>
      <c r="AD16" s="5">
        <f t="shared" si="15"/>
        <v>0.23597193899378033</v>
      </c>
      <c r="AE16" s="5">
        <f t="shared" si="16"/>
        <v>0</v>
      </c>
      <c r="AF16" s="5">
        <f t="shared" si="17"/>
        <v>0.17969389402653516</v>
      </c>
      <c r="AG16" s="5">
        <f t="shared" si="18"/>
        <v>0.3438830499895793</v>
      </c>
      <c r="AH16" s="5">
        <f t="shared" si="19"/>
        <v>0.20614365145317007</v>
      </c>
      <c r="AI16" s="5">
        <f t="shared" si="20"/>
        <v>3.2183283049831693E-3</v>
      </c>
      <c r="AJ16" s="5">
        <f t="shared" si="21"/>
        <v>2.7105981483387744E-2</v>
      </c>
      <c r="AK16" s="5">
        <f t="shared" si="22"/>
        <v>7.7073336447407532E-3</v>
      </c>
      <c r="AL16" s="5">
        <f t="shared" si="23"/>
        <v>2.5734161973089655</v>
      </c>
      <c r="AM16" s="4">
        <f t="shared" si="24"/>
        <v>13.601694538585102</v>
      </c>
      <c r="AN16" s="4">
        <f t="shared" si="25"/>
        <v>0.42748445090255316</v>
      </c>
      <c r="AO16" s="4">
        <f t="shared" si="26"/>
        <v>2.1090077083265273</v>
      </c>
      <c r="AP16" s="4">
        <f t="shared" si="27"/>
        <v>0</v>
      </c>
      <c r="AQ16" s="4">
        <f t="shared" si="28"/>
        <v>1.6060206533759154</v>
      </c>
      <c r="AR16" s="4">
        <f t="shared" si="29"/>
        <v>3.0734671515750658</v>
      </c>
      <c r="AS16" s="4">
        <f t="shared" si="30"/>
        <v>1.8424163135294311</v>
      </c>
      <c r="AT16" s="4">
        <f t="shared" si="31"/>
        <v>2.876392520262273E-2</v>
      </c>
      <c r="AU16" s="4">
        <f t="shared" si="32"/>
        <v>0.24226068630867015</v>
      </c>
      <c r="AV16" s="4">
        <f t="shared" si="33"/>
        <v>6.8884572194116159E-2</v>
      </c>
      <c r="AW16" s="4">
        <f t="shared" si="34"/>
        <v>22.999999999999996</v>
      </c>
      <c r="AX16" s="5">
        <f t="shared" si="35"/>
        <v>6.800847269292551</v>
      </c>
      <c r="AY16" s="5">
        <f t="shared" si="36"/>
        <v>0.21374222545127658</v>
      </c>
      <c r="AZ16" s="5">
        <f t="shared" si="37"/>
        <v>1.4060051388843515</v>
      </c>
      <c r="BA16" s="5">
        <f t="shared" si="38"/>
        <v>0</v>
      </c>
      <c r="BB16" s="5">
        <f t="shared" si="39"/>
        <v>1.6060206533759154</v>
      </c>
      <c r="BC16" s="5">
        <f t="shared" si="40"/>
        <v>3.0734671515750658</v>
      </c>
      <c r="BD16" s="5">
        <f t="shared" si="41"/>
        <v>1.8424163135294311</v>
      </c>
      <c r="BE16" s="5">
        <f t="shared" si="42"/>
        <v>2.876392520262273E-2</v>
      </c>
      <c r="BF16" s="5">
        <f t="shared" si="43"/>
        <v>0.4845213726173403</v>
      </c>
      <c r="BG16" s="5">
        <f t="shared" si="44"/>
        <v>0.13776914438823232</v>
      </c>
      <c r="BH16" s="5">
        <f t="shared" si="45"/>
        <v>0</v>
      </c>
      <c r="BI16" s="5">
        <f t="shared" si="46"/>
        <v>1.2529244345481869E-2</v>
      </c>
      <c r="BJ16" s="5">
        <f t="shared" si="47"/>
        <v>1.9874707556545181</v>
      </c>
      <c r="BK16" s="5">
        <f t="shared" si="48"/>
        <v>15.593553194316788</v>
      </c>
      <c r="BL16" s="11">
        <f t="shared" si="49"/>
        <v>1</v>
      </c>
      <c r="BM16" s="11">
        <f t="shared" si="50"/>
        <v>1</v>
      </c>
      <c r="BN16" s="11">
        <f t="shared" si="51"/>
        <v>1</v>
      </c>
      <c r="BO16" s="11">
        <f t="shared" si="52"/>
        <v>1</v>
      </c>
      <c r="BP16" s="11">
        <f>1</f>
        <v>1</v>
      </c>
      <c r="BQ16" s="11">
        <f t="shared" si="53"/>
        <v>0.9747951592292794</v>
      </c>
      <c r="BR16" s="11">
        <f t="shared" si="54"/>
        <v>0.97051045430913196</v>
      </c>
      <c r="BS16" s="11">
        <f t="shared" si="55"/>
        <v>0.98256919477608506</v>
      </c>
      <c r="BT16" s="11">
        <f t="shared" si="56"/>
        <v>0.66151427124896711</v>
      </c>
      <c r="BU16" s="11">
        <f t="shared" si="57"/>
        <v>0.96508650753530623</v>
      </c>
      <c r="BV16" s="5">
        <f t="shared" si="58"/>
        <v>1</v>
      </c>
      <c r="BW16" s="11">
        <f t="shared" si="59"/>
        <v>0.98256919477608506</v>
      </c>
      <c r="BX16" s="11">
        <f t="shared" si="60"/>
        <v>0.99128459738804253</v>
      </c>
      <c r="BY16" s="11">
        <f t="shared" si="61"/>
        <v>6.741575147238235</v>
      </c>
      <c r="BZ16" s="11">
        <f t="shared" si="62"/>
        <v>0.21187937590129291</v>
      </c>
      <c r="CA16" s="11">
        <f t="shared" si="63"/>
        <v>1.3937512380244932</v>
      </c>
      <c r="CB16" s="11">
        <f t="shared" si="64"/>
        <v>0</v>
      </c>
      <c r="CC16" s="11">
        <f t="shared" si="65"/>
        <v>1.5920235367786253</v>
      </c>
      <c r="CD16" s="11">
        <f t="shared" si="66"/>
        <v>3.0466806479344628</v>
      </c>
      <c r="CE16" s="11">
        <f t="shared" si="67"/>
        <v>1.8263589135781837</v>
      </c>
      <c r="CF16" s="11">
        <f t="shared" si="68"/>
        <v>2.8513236013781643E-2</v>
      </c>
      <c r="CG16" s="11">
        <f t="shared" si="69"/>
        <v>0.48029857378088192</v>
      </c>
      <c r="CH16" s="11">
        <f t="shared" si="70"/>
        <v>0.13656843082738399</v>
      </c>
      <c r="CI16" s="11">
        <f t="shared" si="71"/>
        <v>15.457649100077342</v>
      </c>
      <c r="CJ16" s="11">
        <f t="shared" si="72"/>
        <v>0.40090852015004352</v>
      </c>
      <c r="CK16" s="11">
        <f t="shared" si="73"/>
        <v>1.1911150166285818</v>
      </c>
      <c r="CL16" s="13">
        <f t="shared" si="74"/>
        <v>1.4423181890890646E-2</v>
      </c>
      <c r="CN16" s="32">
        <f t="shared" si="75"/>
        <v>15225</v>
      </c>
      <c r="CO16" s="12">
        <f t="shared" si="76"/>
        <v>0.68539378680955876</v>
      </c>
      <c r="CP16" s="12">
        <f t="shared" si="77"/>
        <v>0.31460621319044124</v>
      </c>
      <c r="CQ16" s="12">
        <f t="shared" si="78"/>
        <v>6.7663192631363778E-2</v>
      </c>
      <c r="CR16" s="12">
        <f t="shared" si="79"/>
        <v>0.13656843082738399</v>
      </c>
      <c r="CS16" s="14">
        <f t="shared" si="80"/>
        <v>0.54235089992265972</v>
      </c>
      <c r="CT16" s="14">
        <f t="shared" si="81"/>
        <v>0.32108066924995615</v>
      </c>
      <c r="CU16" s="14">
        <f t="shared" si="82"/>
        <v>7.9608952265462829E-2</v>
      </c>
      <c r="CV16" s="12">
        <f t="shared" si="83"/>
        <v>0.91317945678909185</v>
      </c>
      <c r="CW16" s="2" t="str">
        <f t="shared" si="84"/>
        <v>26hHP02.7</v>
      </c>
      <c r="CY16" s="5">
        <f t="shared" si="85"/>
        <v>13.128846363781784</v>
      </c>
      <c r="CZ16" s="5">
        <f t="shared" si="86"/>
        <v>6.7341038238287547</v>
      </c>
      <c r="DA16" s="5">
        <f t="shared" si="87"/>
        <v>0.21164456143930388</v>
      </c>
      <c r="DB16" s="5">
        <f t="shared" si="88"/>
        <v>1.3922066188480817</v>
      </c>
      <c r="DC16" s="5">
        <f t="shared" si="89"/>
        <v>0</v>
      </c>
      <c r="DD16" s="5">
        <f t="shared" si="90"/>
        <v>1.5902591831284774</v>
      </c>
      <c r="DE16" s="5">
        <f t="shared" si="91"/>
        <v>3.0433041764201691</v>
      </c>
      <c r="DF16" s="5">
        <f t="shared" si="92"/>
        <v>1.8243348586938117</v>
      </c>
      <c r="DG16" s="5">
        <f t="shared" si="93"/>
        <v>2.8481636335211408E-2</v>
      </c>
      <c r="DH16" s="5">
        <f t="shared" si="94"/>
        <v>0.47976628482771361</v>
      </c>
      <c r="DI16" s="5">
        <f t="shared" si="95"/>
        <v>0.13641707941588863</v>
      </c>
      <c r="DJ16" s="5">
        <f t="shared" si="96"/>
        <v>0</v>
      </c>
      <c r="DK16" s="5">
        <f t="shared" si="97"/>
        <v>1.2406282469768076E-2</v>
      </c>
      <c r="DL16" s="5">
        <f t="shared" si="98"/>
        <v>1.9679657380091631</v>
      </c>
      <c r="DM16" s="5">
        <f t="shared" si="99"/>
        <v>12.999999999999996</v>
      </c>
      <c r="DN16" s="5">
        <f t="shared" si="100"/>
        <v>14.971262677311216</v>
      </c>
      <c r="DO16" s="5">
        <f t="shared" si="101"/>
        <v>6.8139014883485682</v>
      </c>
      <c r="DP16" s="5">
        <f t="shared" si="102"/>
        <v>0.21415250342431094</v>
      </c>
      <c r="DQ16" s="5">
        <f t="shared" si="103"/>
        <v>1.4087039642439145</v>
      </c>
      <c r="DR16" s="5">
        <f t="shared" si="104"/>
        <v>0</v>
      </c>
      <c r="DS16" s="5">
        <f t="shared" si="105"/>
        <v>1.6091034083015143</v>
      </c>
      <c r="DT16" s="5">
        <f t="shared" si="106"/>
        <v>3.0793666684836856</v>
      </c>
      <c r="DU16" s="5">
        <f t="shared" si="107"/>
        <v>1.8459528296717345</v>
      </c>
      <c r="DV16" s="5">
        <f t="shared" si="108"/>
        <v>2.881913752626972E-2</v>
      </c>
      <c r="DW16" s="5">
        <f t="shared" si="109"/>
        <v>0.48545141087360694</v>
      </c>
      <c r="DX16" s="5">
        <f t="shared" si="110"/>
        <v>0.13803359211346275</v>
      </c>
      <c r="DY16" s="5">
        <f t="shared" si="111"/>
        <v>0</v>
      </c>
      <c r="DZ16" s="5">
        <f t="shared" si="112"/>
        <v>1.255329421659584E-2</v>
      </c>
      <c r="EA16" s="5">
        <f t="shared" si="113"/>
        <v>1.9912857036432621</v>
      </c>
      <c r="EB16" s="5">
        <f t="shared" si="114"/>
        <v>14.999999999999996</v>
      </c>
      <c r="EC16" s="5">
        <f t="shared" si="115"/>
        <v>45.548556471015416</v>
      </c>
      <c r="ED16" s="1">
        <f t="shared" si="116"/>
        <v>6.7341038238287547</v>
      </c>
      <c r="EE16" s="5">
        <f t="shared" si="117"/>
        <v>0.21164456143930388</v>
      </c>
      <c r="EF16" s="5">
        <f t="shared" si="118"/>
        <v>1.3922066188480817</v>
      </c>
      <c r="EG16" s="5">
        <f t="shared" si="119"/>
        <v>0</v>
      </c>
      <c r="EH16" s="5">
        <f t="shared" si="120"/>
        <v>0.45144352898458351</v>
      </c>
      <c r="EI16" s="5">
        <f t="shared" si="121"/>
        <v>1.1388156541438939</v>
      </c>
      <c r="EJ16" s="5">
        <f t="shared" si="122"/>
        <v>3.0433041764201691</v>
      </c>
      <c r="EK16" s="5">
        <f t="shared" si="123"/>
        <v>1.8243348586938117</v>
      </c>
      <c r="EL16" s="5">
        <f t="shared" si="124"/>
        <v>2.8481636335211408E-2</v>
      </c>
      <c r="EM16" s="5">
        <f t="shared" si="125"/>
        <v>0.47976628482771361</v>
      </c>
      <c r="EN16" s="5">
        <f t="shared" si="126"/>
        <v>0.13641707941588863</v>
      </c>
      <c r="EO16" s="5">
        <f t="shared" si="127"/>
        <v>4.0729743029721961</v>
      </c>
      <c r="EP16" s="5">
        <f t="shared" si="128"/>
        <v>9.2451030944997115</v>
      </c>
      <c r="EQ16" s="5">
        <f t="shared" si="129"/>
        <v>2.0069048877224351</v>
      </c>
      <c r="ER16" s="5">
        <f t="shared" si="130"/>
        <v>99.078982285194343</v>
      </c>
      <c r="ES16" s="5">
        <f t="shared" si="131"/>
        <v>6.7341038238287547</v>
      </c>
      <c r="ET16" s="5">
        <f t="shared" si="132"/>
        <v>1.2658961761712453</v>
      </c>
      <c r="EU16" s="5">
        <f t="shared" si="133"/>
        <v>0</v>
      </c>
      <c r="EV16" s="44">
        <f t="shared" si="134"/>
        <v>8</v>
      </c>
      <c r="EW16" s="5">
        <f t="shared" si="135"/>
        <v>0.12631044267683644</v>
      </c>
      <c r="EX16" s="5">
        <f t="shared" si="136"/>
        <v>0.21164456143930388</v>
      </c>
      <c r="EY16" s="5">
        <f t="shared" si="137"/>
        <v>0</v>
      </c>
      <c r="EZ16" s="5">
        <f t="shared" si="138"/>
        <v>0.45144352898458351</v>
      </c>
      <c r="FA16" s="5">
        <f t="shared" si="139"/>
        <v>3.0433041764201691</v>
      </c>
      <c r="FB16" s="5">
        <f t="shared" si="140"/>
        <v>1.1388156541438939</v>
      </c>
      <c r="FC16" s="5">
        <f t="shared" si="141"/>
        <v>2.8481636335211408E-2</v>
      </c>
      <c r="FD16" s="44">
        <f t="shared" si="142"/>
        <v>4.9999999999999982</v>
      </c>
      <c r="FE16" s="5">
        <f t="shared" si="143"/>
        <v>0</v>
      </c>
      <c r="FF16" s="5">
        <f t="shared" si="144"/>
        <v>1.8243348586938117</v>
      </c>
      <c r="FG16" s="5">
        <f t="shared" si="145"/>
        <v>0.17566514130618827</v>
      </c>
      <c r="FH16" s="44">
        <f t="shared" si="146"/>
        <v>2</v>
      </c>
      <c r="FI16" s="5">
        <f t="shared" si="147"/>
        <v>0.30410114352152534</v>
      </c>
      <c r="FJ16" s="5">
        <f t="shared" si="148"/>
        <v>0.13641707941588863</v>
      </c>
      <c r="FK16" s="44">
        <f t="shared" si="149"/>
        <v>0.44051822293741394</v>
      </c>
      <c r="FL16" s="1" t="str">
        <f t="shared" si="150"/>
        <v>Pass</v>
      </c>
      <c r="FM16" s="5">
        <f t="shared" si="151"/>
        <v>9.0726793686231932E-2</v>
      </c>
      <c r="FN16" s="1" t="str">
        <f t="shared" si="152"/>
        <v>Mg-Hbl</v>
      </c>
      <c r="FO16" s="5">
        <f t="shared" si="153"/>
        <v>7.8730411149964521</v>
      </c>
      <c r="FP16" s="5">
        <f t="shared" si="154"/>
        <v>1.3922066188480817</v>
      </c>
      <c r="FQ16" s="5">
        <f t="shared" si="155"/>
        <v>3.0974938571291326</v>
      </c>
      <c r="FR16" s="5">
        <f t="shared" si="156"/>
        <v>-1.5157395644815073</v>
      </c>
      <c r="FS16" s="1" t="str">
        <f t="shared" si="157"/>
        <v>YES</v>
      </c>
      <c r="FT16" s="32">
        <f t="shared" si="158"/>
        <v>848.33662061253244</v>
      </c>
      <c r="FU16" s="32">
        <f t="shared" si="159"/>
        <v>142.21955665159277</v>
      </c>
      <c r="FV16" s="46">
        <f t="shared" si="160"/>
        <v>1.0822799011202937</v>
      </c>
      <c r="FW16" s="47">
        <f t="shared" si="161"/>
        <v>-11.780308376200132</v>
      </c>
      <c r="FX16" s="46">
        <f t="shared" si="162"/>
        <v>4.3754181712289393</v>
      </c>
      <c r="FY16" s="50">
        <f t="shared" si="163"/>
        <v>135.50788565279572</v>
      </c>
      <c r="FZ16" s="32">
        <f t="shared" si="164"/>
        <v>142.96201886815038</v>
      </c>
      <c r="GA16" s="32">
        <f t="shared" si="165"/>
        <v>114.20806638822839</v>
      </c>
      <c r="GB16" s="32">
        <f t="shared" si="166"/>
        <v>-287.9312058422704</v>
      </c>
      <c r="GC16" s="32">
        <f t="shared" si="167"/>
        <v>394.85273540369457</v>
      </c>
      <c r="GD16" s="32">
        <f t="shared" si="168"/>
        <v>-430.89322471042078</v>
      </c>
      <c r="GE16" s="4">
        <f t="shared" si="169"/>
        <v>-1.9138727499254446</v>
      </c>
      <c r="GF16" s="32">
        <f t="shared" si="170"/>
        <v>142.96201886815038</v>
      </c>
      <c r="GG16" s="1">
        <f t="shared" si="171"/>
        <v>32.83106740625017</v>
      </c>
      <c r="GH16" s="32">
        <f t="shared" si="172"/>
        <v>142.96201886815038</v>
      </c>
      <c r="GI16" s="32">
        <f t="shared" si="173"/>
        <v>810.54427926505832</v>
      </c>
      <c r="GJ16" s="46">
        <f t="shared" si="174"/>
        <v>1.2539489444654679</v>
      </c>
      <c r="GK16" s="46">
        <f t="shared" si="175"/>
        <v>75.547998982468314</v>
      </c>
      <c r="GL16" s="46">
        <f t="shared" si="176"/>
        <v>0.25033012280663419</v>
      </c>
      <c r="GM16" s="46">
        <f t="shared" si="177"/>
        <v>13.889279650045401</v>
      </c>
      <c r="GN16" s="46">
        <f t="shared" si="178"/>
        <v>1.1408416899907809</v>
      </c>
      <c r="GO16" s="46">
        <f t="shared" si="179"/>
        <v>9.0049765826294204E-2</v>
      </c>
      <c r="GP16" s="46">
        <f t="shared" si="180"/>
        <v>1.3301805970146319</v>
      </c>
      <c r="GQ16" s="46">
        <f t="shared" si="181"/>
        <v>4.9935392710111461</v>
      </c>
      <c r="GR16" s="46">
        <f t="shared" si="182"/>
        <v>5.4196352192779669</v>
      </c>
      <c r="GS16" s="46">
        <f t="shared" si="183"/>
        <v>102.66185529844115</v>
      </c>
      <c r="GU16" s="32">
        <f t="shared" si="184"/>
        <v>15225</v>
      </c>
      <c r="GV16" s="32">
        <f t="shared" si="185"/>
        <v>142.21955665159277</v>
      </c>
      <c r="GW16" s="32">
        <f t="shared" si="186"/>
        <v>848.33662061253244</v>
      </c>
      <c r="GX16" s="32">
        <f t="shared" si="187"/>
        <v>142.96201886815038</v>
      </c>
      <c r="GY16" s="32">
        <f t="shared" si="188"/>
        <v>810.54427926505832</v>
      </c>
    </row>
    <row r="17" spans="1:207">
      <c r="A17" s="35">
        <v>15226</v>
      </c>
      <c r="B17" s="2" t="s">
        <v>168</v>
      </c>
      <c r="C17" s="36">
        <v>40.840000000000003</v>
      </c>
      <c r="D17" s="36">
        <v>3.26</v>
      </c>
      <c r="E17" s="36">
        <v>11.92</v>
      </c>
      <c r="F17" s="36"/>
      <c r="G17" s="36">
        <v>14.85</v>
      </c>
      <c r="H17" s="36">
        <v>11.4</v>
      </c>
      <c r="I17" s="36">
        <v>11.71</v>
      </c>
      <c r="J17" s="36">
        <v>0.18260000000000001</v>
      </c>
      <c r="K17" s="36">
        <v>2.34</v>
      </c>
      <c r="L17" s="36">
        <v>0.90429999999999999</v>
      </c>
      <c r="M17" s="36"/>
      <c r="N17" s="36">
        <v>4.4999999999999998E-2</v>
      </c>
      <c r="O17" s="4">
        <f t="shared" si="0"/>
        <v>97.451900000000023</v>
      </c>
      <c r="P17" s="5">
        <f t="shared" si="1"/>
        <v>0.67971167176783298</v>
      </c>
      <c r="Q17" s="5">
        <f t="shared" si="2"/>
        <v>4.0818472988438104E-2</v>
      </c>
      <c r="R17" s="5">
        <f t="shared" si="3"/>
        <v>0.11690712854554704</v>
      </c>
      <c r="S17" s="5">
        <f t="shared" si="4"/>
        <v>0</v>
      </c>
      <c r="T17" s="5">
        <f t="shared" si="5"/>
        <v>0.20669669452316397</v>
      </c>
      <c r="U17" s="5">
        <f t="shared" si="6"/>
        <v>0.28284753029445919</v>
      </c>
      <c r="V17" s="5">
        <f t="shared" si="7"/>
        <v>0.20881852582323718</v>
      </c>
      <c r="W17" s="5">
        <f t="shared" si="8"/>
        <v>2.5740987669291577E-3</v>
      </c>
      <c r="X17" s="5">
        <f t="shared" si="9"/>
        <v>3.7754759923290068E-2</v>
      </c>
      <c r="Y17" s="5">
        <f t="shared" si="10"/>
        <v>9.6001953373816302E-3</v>
      </c>
      <c r="Z17" s="5">
        <f t="shared" si="11"/>
        <v>0</v>
      </c>
      <c r="AA17" s="5">
        <f t="shared" si="12"/>
        <v>1.2692968377584781E-3</v>
      </c>
      <c r="AB17" s="5">
        <f t="shared" si="13"/>
        <v>1.359423343535666</v>
      </c>
      <c r="AC17" s="5">
        <f t="shared" si="14"/>
        <v>8.1636945976876207E-2</v>
      </c>
      <c r="AD17" s="5">
        <f t="shared" si="15"/>
        <v>0.35072138563664113</v>
      </c>
      <c r="AE17" s="5">
        <f t="shared" si="16"/>
        <v>0</v>
      </c>
      <c r="AF17" s="5">
        <f t="shared" si="17"/>
        <v>0.20669669452316397</v>
      </c>
      <c r="AG17" s="5">
        <f t="shared" si="18"/>
        <v>0.28284753029445919</v>
      </c>
      <c r="AH17" s="5">
        <f t="shared" si="19"/>
        <v>0.20881852582323718</v>
      </c>
      <c r="AI17" s="5">
        <f t="shared" si="20"/>
        <v>2.5740987669291577E-3</v>
      </c>
      <c r="AJ17" s="5">
        <f t="shared" si="21"/>
        <v>3.7754759923290068E-2</v>
      </c>
      <c r="AK17" s="5">
        <f t="shared" si="22"/>
        <v>9.6001953373816302E-3</v>
      </c>
      <c r="AL17" s="5">
        <f t="shared" si="23"/>
        <v>2.5400734798176452</v>
      </c>
      <c r="AM17" s="4">
        <f t="shared" si="24"/>
        <v>12.309382838627563</v>
      </c>
      <c r="AN17" s="4">
        <f t="shared" si="25"/>
        <v>0.73921080330437972</v>
      </c>
      <c r="AO17" s="4">
        <f t="shared" si="26"/>
        <v>3.1757316997860454</v>
      </c>
      <c r="AP17" s="4">
        <f t="shared" si="27"/>
        <v>0</v>
      </c>
      <c r="AQ17" s="4">
        <f t="shared" si="28"/>
        <v>1.8716088380144293</v>
      </c>
      <c r="AR17" s="4">
        <f t="shared" si="29"/>
        <v>2.5611437025198178</v>
      </c>
      <c r="AS17" s="4">
        <f t="shared" si="30"/>
        <v>1.8908217152360709</v>
      </c>
      <c r="AT17" s="4">
        <f t="shared" si="31"/>
        <v>2.3308094080656663E-2</v>
      </c>
      <c r="AU17" s="4">
        <f t="shared" si="32"/>
        <v>0.34186392052642989</v>
      </c>
      <c r="AV17" s="4">
        <f t="shared" si="33"/>
        <v>8.6928387904600807E-2</v>
      </c>
      <c r="AW17" s="4">
        <f t="shared" si="34"/>
        <v>22.999999999999993</v>
      </c>
      <c r="AX17" s="5">
        <f t="shared" si="35"/>
        <v>6.1546914193137816</v>
      </c>
      <c r="AY17" s="5">
        <f t="shared" si="36"/>
        <v>0.36960540165218986</v>
      </c>
      <c r="AZ17" s="5">
        <f t="shared" si="37"/>
        <v>2.1171544665240303</v>
      </c>
      <c r="BA17" s="5">
        <f t="shared" si="38"/>
        <v>0</v>
      </c>
      <c r="BB17" s="5">
        <f t="shared" si="39"/>
        <v>1.8716088380144293</v>
      </c>
      <c r="BC17" s="5">
        <f t="shared" si="40"/>
        <v>2.5611437025198178</v>
      </c>
      <c r="BD17" s="5">
        <f t="shared" si="41"/>
        <v>1.8908217152360709</v>
      </c>
      <c r="BE17" s="5">
        <f t="shared" si="42"/>
        <v>2.3308094080656663E-2</v>
      </c>
      <c r="BF17" s="5">
        <f t="shared" si="43"/>
        <v>0.68372784105285977</v>
      </c>
      <c r="BG17" s="5">
        <f t="shared" si="44"/>
        <v>0.17385677580920161</v>
      </c>
      <c r="BH17" s="5">
        <f t="shared" si="45"/>
        <v>0</v>
      </c>
      <c r="BI17" s="5">
        <f t="shared" si="46"/>
        <v>1.1493300292454869E-2</v>
      </c>
      <c r="BJ17" s="5">
        <f t="shared" si="47"/>
        <v>1.9885066997075451</v>
      </c>
      <c r="BK17" s="5">
        <f t="shared" si="48"/>
        <v>15.845918254203038</v>
      </c>
      <c r="BL17" s="11">
        <f t="shared" si="49"/>
        <v>1</v>
      </c>
      <c r="BM17" s="11">
        <f t="shared" si="50"/>
        <v>1</v>
      </c>
      <c r="BN17" s="11">
        <f t="shared" si="51"/>
        <v>1</v>
      </c>
      <c r="BO17" s="11">
        <f t="shared" si="52"/>
        <v>1</v>
      </c>
      <c r="BP17" s="11">
        <f>1</f>
        <v>1</v>
      </c>
      <c r="BQ17" s="11">
        <f t="shared" si="53"/>
        <v>0.96713600693368351</v>
      </c>
      <c r="BR17" s="11">
        <f t="shared" si="54"/>
        <v>0.95711722549580547</v>
      </c>
      <c r="BS17" s="11">
        <f t="shared" si="55"/>
        <v>0.98491988987835466</v>
      </c>
      <c r="BT17" s="11">
        <f t="shared" si="56"/>
        <v>0.65884048010712515</v>
      </c>
      <c r="BU17" s="11">
        <f t="shared" si="57"/>
        <v>0.95931285134751243</v>
      </c>
      <c r="BV17" s="5">
        <f t="shared" si="58"/>
        <v>1</v>
      </c>
      <c r="BW17" s="11">
        <f t="shared" si="59"/>
        <v>0.98491988987835466</v>
      </c>
      <c r="BX17" s="11">
        <f t="shared" si="60"/>
        <v>0.99245994493917733</v>
      </c>
      <c r="BY17" s="11">
        <f t="shared" si="61"/>
        <v>6.1082847071297826</v>
      </c>
      <c r="BZ17" s="11">
        <f t="shared" si="62"/>
        <v>0.36681855657295487</v>
      </c>
      <c r="CA17" s="11">
        <f t="shared" si="63"/>
        <v>2.1011910052741722</v>
      </c>
      <c r="CB17" s="11">
        <f t="shared" si="64"/>
        <v>0</v>
      </c>
      <c r="CC17" s="11">
        <f t="shared" si="65"/>
        <v>1.8574968043234783</v>
      </c>
      <c r="CD17" s="11">
        <f t="shared" si="66"/>
        <v>2.5418325379841393</v>
      </c>
      <c r="CE17" s="11">
        <f t="shared" si="67"/>
        <v>1.8765648153929917</v>
      </c>
      <c r="CF17" s="11">
        <f t="shared" si="68"/>
        <v>2.3132349767925678E-2</v>
      </c>
      <c r="CG17" s="11">
        <f t="shared" si="69"/>
        <v>0.67857249548470377</v>
      </c>
      <c r="CH17" s="11">
        <f t="shared" si="70"/>
        <v>0.17254588614690314</v>
      </c>
      <c r="CI17" s="11">
        <f t="shared" si="71"/>
        <v>15.726439158077053</v>
      </c>
      <c r="CJ17" s="11">
        <f t="shared" si="72"/>
        <v>0.34684253279784283</v>
      </c>
      <c r="CK17" s="11">
        <f t="shared" si="73"/>
        <v>1.5106542715256355</v>
      </c>
      <c r="CL17" s="13">
        <f t="shared" si="74"/>
        <v>-1.2440389475472102E-3</v>
      </c>
      <c r="CN17" s="32">
        <f t="shared" si="75"/>
        <v>15226</v>
      </c>
      <c r="CO17" s="12">
        <f t="shared" si="76"/>
        <v>0.52707117678244564</v>
      </c>
      <c r="CP17" s="12">
        <f t="shared" si="77"/>
        <v>0.47292882321755436</v>
      </c>
      <c r="CQ17" s="12">
        <f t="shared" si="78"/>
        <v>0.10473785620197695</v>
      </c>
      <c r="CR17" s="12">
        <f t="shared" si="79"/>
        <v>0.17254588614690314</v>
      </c>
      <c r="CS17" s="14">
        <f t="shared" si="80"/>
        <v>0.27356084192294861</v>
      </c>
      <c r="CT17" s="14">
        <f t="shared" si="81"/>
        <v>0.55389327193014815</v>
      </c>
      <c r="CU17" s="14">
        <f t="shared" si="82"/>
        <v>6.2339611777277759E-2</v>
      </c>
      <c r="CV17" s="12">
        <f t="shared" si="83"/>
        <v>0.93828240769649585</v>
      </c>
      <c r="CW17" s="2" t="str">
        <f t="shared" si="84"/>
        <v>26hHP02.8</v>
      </c>
      <c r="CY17" s="5">
        <f t="shared" si="85"/>
        <v>13.097511922104905</v>
      </c>
      <c r="CZ17" s="5">
        <f t="shared" si="86"/>
        <v>6.108869297232185</v>
      </c>
      <c r="DA17" s="5">
        <f t="shared" si="87"/>
        <v>0.36685366274560915</v>
      </c>
      <c r="DB17" s="5">
        <f t="shared" si="88"/>
        <v>2.1013920986291543</v>
      </c>
      <c r="DC17" s="5">
        <f t="shared" si="89"/>
        <v>0</v>
      </c>
      <c r="DD17" s="5">
        <f t="shared" si="90"/>
        <v>1.8576745750560351</v>
      </c>
      <c r="DE17" s="5">
        <f t="shared" si="91"/>
        <v>2.5420758026999986</v>
      </c>
      <c r="DF17" s="5">
        <f t="shared" si="92"/>
        <v>1.8767444110192917</v>
      </c>
      <c r="DG17" s="5">
        <f t="shared" si="93"/>
        <v>2.3134563637017904E-2</v>
      </c>
      <c r="DH17" s="5">
        <f t="shared" si="94"/>
        <v>0.67863743790039699</v>
      </c>
      <c r="DI17" s="5">
        <f t="shared" si="95"/>
        <v>0.17256239955812872</v>
      </c>
      <c r="DJ17" s="5">
        <f t="shared" si="96"/>
        <v>0</v>
      </c>
      <c r="DK17" s="5">
        <f t="shared" si="97"/>
        <v>1.1407731841781833E-2</v>
      </c>
      <c r="DL17" s="5">
        <f t="shared" si="98"/>
        <v>1.9737021237269949</v>
      </c>
      <c r="DM17" s="5">
        <f t="shared" si="99"/>
        <v>13</v>
      </c>
      <c r="DN17" s="5">
        <f t="shared" si="100"/>
        <v>14.988333637340975</v>
      </c>
      <c r="DO17" s="5">
        <f t="shared" si="101"/>
        <v>6.1594820027027994</v>
      </c>
      <c r="DP17" s="5">
        <f t="shared" si="102"/>
        <v>0.36989308878010824</v>
      </c>
      <c r="DQ17" s="5">
        <f t="shared" si="103"/>
        <v>2.1188023809893255</v>
      </c>
      <c r="DR17" s="5">
        <f t="shared" si="104"/>
        <v>0</v>
      </c>
      <c r="DS17" s="5">
        <f t="shared" si="105"/>
        <v>1.8730656288751368</v>
      </c>
      <c r="DT17" s="5">
        <f t="shared" si="106"/>
        <v>2.5631372017291656</v>
      </c>
      <c r="DU17" s="5">
        <f t="shared" si="107"/>
        <v>1.8922934606873827</v>
      </c>
      <c r="DV17" s="5">
        <f t="shared" si="108"/>
        <v>2.3326236236083348E-2</v>
      </c>
      <c r="DW17" s="5">
        <f t="shared" si="109"/>
        <v>0.68426002942995334</v>
      </c>
      <c r="DX17" s="5">
        <f t="shared" si="110"/>
        <v>0.1739920994713508</v>
      </c>
      <c r="DY17" s="5">
        <f t="shared" si="111"/>
        <v>0</v>
      </c>
      <c r="DZ17" s="5">
        <f t="shared" si="112"/>
        <v>1.1502246250865268E-2</v>
      </c>
      <c r="EA17" s="5">
        <f t="shared" si="113"/>
        <v>1.9900544795255024</v>
      </c>
      <c r="EB17" s="5">
        <f t="shared" si="114"/>
        <v>15.000000000000002</v>
      </c>
      <c r="EC17" s="5">
        <f t="shared" si="115"/>
        <v>45.657526678081858</v>
      </c>
      <c r="ED17" s="1">
        <f t="shared" si="116"/>
        <v>6.108869297232185</v>
      </c>
      <c r="EE17" s="5">
        <f t="shared" si="117"/>
        <v>0.36685366274560915</v>
      </c>
      <c r="EF17" s="5">
        <f t="shared" si="118"/>
        <v>2.1013920986291543</v>
      </c>
      <c r="EG17" s="5">
        <f t="shared" si="119"/>
        <v>0</v>
      </c>
      <c r="EH17" s="5">
        <f t="shared" si="120"/>
        <v>0.34247332191814195</v>
      </c>
      <c r="EI17" s="5">
        <f t="shared" si="121"/>
        <v>1.5152012531378931</v>
      </c>
      <c r="EJ17" s="5">
        <f t="shared" si="122"/>
        <v>2.5420758026999986</v>
      </c>
      <c r="EK17" s="5">
        <f t="shared" si="123"/>
        <v>1.8767444110192917</v>
      </c>
      <c r="EL17" s="5">
        <f t="shared" si="124"/>
        <v>2.3134563637017904E-2</v>
      </c>
      <c r="EM17" s="5">
        <f t="shared" si="125"/>
        <v>0.67863743790039699</v>
      </c>
      <c r="EN17" s="5">
        <f t="shared" si="126"/>
        <v>0.17256239955812872</v>
      </c>
      <c r="EO17" s="5">
        <f t="shared" si="127"/>
        <v>3.0425202017450332</v>
      </c>
      <c r="EP17" s="5">
        <f t="shared" si="128"/>
        <v>12.112314455517053</v>
      </c>
      <c r="EQ17" s="5">
        <f t="shared" si="129"/>
        <v>1.9796774252135456</v>
      </c>
      <c r="ER17" s="5">
        <f t="shared" si="130"/>
        <v>99.736412082475653</v>
      </c>
      <c r="ES17" s="5">
        <f t="shared" si="131"/>
        <v>6.108869297232185</v>
      </c>
      <c r="ET17" s="5">
        <f t="shared" si="132"/>
        <v>1.891130702767815</v>
      </c>
      <c r="EU17" s="5">
        <f t="shared" si="133"/>
        <v>0</v>
      </c>
      <c r="EV17" s="44">
        <f t="shared" si="134"/>
        <v>8</v>
      </c>
      <c r="EW17" s="5">
        <f t="shared" si="135"/>
        <v>0.2102613958613393</v>
      </c>
      <c r="EX17" s="5">
        <f t="shared" si="136"/>
        <v>0.36685366274560915</v>
      </c>
      <c r="EY17" s="5">
        <f t="shared" si="137"/>
        <v>0</v>
      </c>
      <c r="EZ17" s="5">
        <f t="shared" si="138"/>
        <v>0.34247332191814195</v>
      </c>
      <c r="FA17" s="5">
        <f t="shared" si="139"/>
        <v>2.5420758026999986</v>
      </c>
      <c r="FB17" s="5">
        <f t="shared" si="140"/>
        <v>1.5152012531378931</v>
      </c>
      <c r="FC17" s="5">
        <f t="shared" si="141"/>
        <v>2.3134563637017904E-2</v>
      </c>
      <c r="FD17" s="44">
        <f t="shared" si="142"/>
        <v>5</v>
      </c>
      <c r="FE17" s="5">
        <f t="shared" si="143"/>
        <v>0</v>
      </c>
      <c r="FF17" s="5">
        <f t="shared" si="144"/>
        <v>1.8767444110192917</v>
      </c>
      <c r="FG17" s="5">
        <f t="shared" si="145"/>
        <v>0.12325558898070832</v>
      </c>
      <c r="FH17" s="44">
        <f t="shared" si="146"/>
        <v>2</v>
      </c>
      <c r="FI17" s="5">
        <f t="shared" si="147"/>
        <v>0.55538184891968867</v>
      </c>
      <c r="FJ17" s="5">
        <f t="shared" si="148"/>
        <v>0.17256239955812872</v>
      </c>
      <c r="FK17" s="44">
        <f t="shared" si="149"/>
        <v>0.72794424847781736</v>
      </c>
      <c r="FL17" s="1" t="str">
        <f t="shared" si="150"/>
        <v>Pass</v>
      </c>
      <c r="FM17" s="5">
        <f t="shared" si="151"/>
        <v>0.10005814526403881</v>
      </c>
      <c r="FN17" s="1" t="str">
        <f t="shared" si="152"/>
        <v>Mg-Hst</v>
      </c>
      <c r="FO17" s="5">
        <f t="shared" si="153"/>
        <v>7.0724035480343153</v>
      </c>
      <c r="FP17" s="5">
        <f t="shared" si="154"/>
        <v>2.1013920986291543</v>
      </c>
      <c r="FQ17" s="5">
        <f t="shared" si="155"/>
        <v>2.2921743866041524</v>
      </c>
      <c r="FR17" s="5">
        <f t="shared" si="156"/>
        <v>-1.2704650495190113</v>
      </c>
      <c r="FS17" s="1" t="str">
        <f t="shared" si="157"/>
        <v>YES</v>
      </c>
      <c r="FT17" s="32">
        <f t="shared" si="158"/>
        <v>969.62280371892575</v>
      </c>
      <c r="FU17" s="32">
        <f t="shared" si="159"/>
        <v>394.32709570885805</v>
      </c>
      <c r="FV17" s="46">
        <f t="shared" si="160"/>
        <v>-0.24166530842277334</v>
      </c>
      <c r="FW17" s="47">
        <f t="shared" si="161"/>
        <v>-10.892014489036141</v>
      </c>
      <c r="FX17" s="46">
        <f t="shared" si="162"/>
        <v>5.6545247667583558</v>
      </c>
      <c r="FY17" s="50">
        <f t="shared" si="163"/>
        <v>393.40938219461287</v>
      </c>
      <c r="FZ17" s="32">
        <f t="shared" si="164"/>
        <v>322.96921435719867</v>
      </c>
      <c r="GA17" s="32">
        <f t="shared" si="165"/>
        <v>377.90941723706374</v>
      </c>
      <c r="GB17" s="32">
        <f t="shared" si="166"/>
        <v>426.24754366283724</v>
      </c>
      <c r="GC17" s="32">
        <f t="shared" si="167"/>
        <v>724.46840911895413</v>
      </c>
      <c r="GD17" s="32">
        <f t="shared" si="168"/>
        <v>103.27832930563858</v>
      </c>
      <c r="GE17" s="4">
        <f t="shared" si="169"/>
        <v>-0.84151279025819481</v>
      </c>
      <c r="GF17" s="32">
        <f t="shared" si="170"/>
        <v>322.96921435719867</v>
      </c>
      <c r="GG17" s="1">
        <f t="shared" si="171"/>
        <v>303.24219520388874</v>
      </c>
      <c r="GH17" s="32">
        <f t="shared" si="172"/>
        <v>358.1892982759058</v>
      </c>
      <c r="GI17" s="32">
        <f t="shared" si="173"/>
        <v>925.16588793034839</v>
      </c>
      <c r="GJ17" s="46">
        <f t="shared" si="174"/>
        <v>0.67764148313158756</v>
      </c>
      <c r="GK17" s="46">
        <f t="shared" si="175"/>
        <v>63.278334831270335</v>
      </c>
      <c r="GL17" s="46">
        <f t="shared" si="176"/>
        <v>0.59771998201218735</v>
      </c>
      <c r="GM17" s="46">
        <f t="shared" si="177"/>
        <v>17.489354340081935</v>
      </c>
      <c r="GN17" s="46">
        <f t="shared" si="178"/>
        <v>4.3429529142427459</v>
      </c>
      <c r="GO17" s="46">
        <f t="shared" si="179"/>
        <v>1.3649496106992871</v>
      </c>
      <c r="GP17" s="46">
        <f t="shared" si="180"/>
        <v>3.9346973898884912</v>
      </c>
      <c r="GQ17" s="46">
        <f t="shared" si="181"/>
        <v>3.0248408478971203</v>
      </c>
      <c r="GR17" s="46">
        <f t="shared" si="182"/>
        <v>5.921609633329366</v>
      </c>
      <c r="GS17" s="46">
        <f t="shared" si="183"/>
        <v>99.954459549421472</v>
      </c>
      <c r="GU17" s="32">
        <f t="shared" si="184"/>
        <v>15226</v>
      </c>
      <c r="GV17" s="32">
        <f t="shared" si="185"/>
        <v>394.32709570885805</v>
      </c>
      <c r="GW17" s="32">
        <f t="shared" si="186"/>
        <v>969.62280371892575</v>
      </c>
      <c r="GX17" s="32">
        <f t="shared" si="187"/>
        <v>358.1892982759058</v>
      </c>
      <c r="GY17" s="32">
        <f t="shared" si="188"/>
        <v>925.16588793034839</v>
      </c>
    </row>
    <row r="18" spans="1:207">
      <c r="A18" s="35">
        <v>15233</v>
      </c>
      <c r="B18" s="2" t="s">
        <v>147</v>
      </c>
      <c r="C18" s="36">
        <v>42.49</v>
      </c>
      <c r="D18" s="36">
        <v>2.77</v>
      </c>
      <c r="E18" s="36">
        <v>11.11</v>
      </c>
      <c r="F18" s="36"/>
      <c r="G18" s="36">
        <v>12.24</v>
      </c>
      <c r="H18" s="36">
        <v>13.87</v>
      </c>
      <c r="I18" s="36">
        <v>11.36</v>
      </c>
      <c r="J18" s="36">
        <v>0.24590000000000001</v>
      </c>
      <c r="K18" s="36">
        <v>2.25</v>
      </c>
      <c r="L18" s="36">
        <v>0.88290000000000002</v>
      </c>
      <c r="M18" s="36"/>
      <c r="N18" s="36">
        <v>5.0500000000000003E-2</v>
      </c>
      <c r="O18" s="4">
        <f t="shared" si="0"/>
        <v>97.269300000000015</v>
      </c>
      <c r="P18" s="5">
        <f t="shared" si="1"/>
        <v>0.70717308847735605</v>
      </c>
      <c r="Q18" s="5">
        <f t="shared" si="2"/>
        <v>3.4683181036188206E-2</v>
      </c>
      <c r="R18" s="5">
        <f t="shared" si="3"/>
        <v>0.10896293608565667</v>
      </c>
      <c r="S18" s="5">
        <f t="shared" si="4"/>
        <v>0</v>
      </c>
      <c r="T18" s="5">
        <f t="shared" si="5"/>
        <v>0.1703681845766685</v>
      </c>
      <c r="U18" s="5">
        <f t="shared" si="6"/>
        <v>0.34413116185825865</v>
      </c>
      <c r="V18" s="5">
        <f t="shared" si="7"/>
        <v>0.2025771522930806</v>
      </c>
      <c r="W18" s="5">
        <f t="shared" si="8"/>
        <v>3.466434210229353E-3</v>
      </c>
      <c r="X18" s="5">
        <f t="shared" si="9"/>
        <v>3.6302653772394299E-2</v>
      </c>
      <c r="Y18" s="5">
        <f t="shared" si="10"/>
        <v>9.3730094696165452E-3</v>
      </c>
      <c r="Z18" s="5">
        <f t="shared" si="11"/>
        <v>0</v>
      </c>
      <c r="AA18" s="5">
        <f t="shared" si="12"/>
        <v>1.424433117928959E-3</v>
      </c>
      <c r="AB18" s="5">
        <f t="shared" si="13"/>
        <v>1.4143461769547121</v>
      </c>
      <c r="AC18" s="5">
        <f t="shared" si="14"/>
        <v>6.9366362072376411E-2</v>
      </c>
      <c r="AD18" s="5">
        <f t="shared" si="15"/>
        <v>0.32688880825697003</v>
      </c>
      <c r="AE18" s="5">
        <f t="shared" si="16"/>
        <v>0</v>
      </c>
      <c r="AF18" s="5">
        <f t="shared" si="17"/>
        <v>0.1703681845766685</v>
      </c>
      <c r="AG18" s="5">
        <f t="shared" si="18"/>
        <v>0.34413116185825865</v>
      </c>
      <c r="AH18" s="5">
        <f t="shared" si="19"/>
        <v>0.2025771522930806</v>
      </c>
      <c r="AI18" s="5">
        <f t="shared" si="20"/>
        <v>3.466434210229353E-3</v>
      </c>
      <c r="AJ18" s="5">
        <f t="shared" si="21"/>
        <v>3.6302653772394299E-2</v>
      </c>
      <c r="AK18" s="5">
        <f t="shared" si="22"/>
        <v>9.3730094696165452E-3</v>
      </c>
      <c r="AL18" s="5">
        <f t="shared" si="23"/>
        <v>2.5768199434643071</v>
      </c>
      <c r="AM18" s="4">
        <f t="shared" si="24"/>
        <v>12.624072610298381</v>
      </c>
      <c r="AN18" s="4">
        <f t="shared" si="25"/>
        <v>0.61914544386820736</v>
      </c>
      <c r="AO18" s="4">
        <f t="shared" si="26"/>
        <v>2.917721359996317</v>
      </c>
      <c r="AP18" s="4">
        <f t="shared" si="27"/>
        <v>0</v>
      </c>
      <c r="AQ18" s="4">
        <f t="shared" si="28"/>
        <v>1.5206604773460968</v>
      </c>
      <c r="AR18" s="4">
        <f t="shared" si="29"/>
        <v>3.0716219590022682</v>
      </c>
      <c r="AS18" s="4">
        <f t="shared" si="30"/>
        <v>1.8081490383363261</v>
      </c>
      <c r="AT18" s="4">
        <f t="shared" si="31"/>
        <v>3.0940457068990186E-2</v>
      </c>
      <c r="AU18" s="4">
        <f t="shared" si="32"/>
        <v>0.32402769890182448</v>
      </c>
      <c r="AV18" s="4">
        <f t="shared" si="33"/>
        <v>8.3660955181584507E-2</v>
      </c>
      <c r="AW18" s="4">
        <f t="shared" si="34"/>
        <v>22.999999999999993</v>
      </c>
      <c r="AX18" s="5">
        <f t="shared" si="35"/>
        <v>6.3120363051491903</v>
      </c>
      <c r="AY18" s="5">
        <f t="shared" si="36"/>
        <v>0.30957272193410368</v>
      </c>
      <c r="AZ18" s="5">
        <f t="shared" si="37"/>
        <v>1.9451475733308781</v>
      </c>
      <c r="BA18" s="5">
        <f t="shared" si="38"/>
        <v>0</v>
      </c>
      <c r="BB18" s="5">
        <f t="shared" si="39"/>
        <v>1.5206604773460968</v>
      </c>
      <c r="BC18" s="5">
        <f t="shared" si="40"/>
        <v>3.0716219590022682</v>
      </c>
      <c r="BD18" s="5">
        <f t="shared" si="41"/>
        <v>1.8081490383363261</v>
      </c>
      <c r="BE18" s="5">
        <f t="shared" si="42"/>
        <v>3.0940457068990186E-2</v>
      </c>
      <c r="BF18" s="5">
        <f t="shared" si="43"/>
        <v>0.64805539780364896</v>
      </c>
      <c r="BG18" s="5">
        <f t="shared" si="44"/>
        <v>0.16732191036316901</v>
      </c>
      <c r="BH18" s="5">
        <f t="shared" si="45"/>
        <v>0</v>
      </c>
      <c r="BI18" s="5">
        <f t="shared" si="46"/>
        <v>1.2714105925585353E-2</v>
      </c>
      <c r="BJ18" s="5">
        <f t="shared" si="47"/>
        <v>1.9872858940744147</v>
      </c>
      <c r="BK18" s="5">
        <f t="shared" si="48"/>
        <v>15.81350584033467</v>
      </c>
      <c r="BL18" s="11">
        <f t="shared" si="49"/>
        <v>1</v>
      </c>
      <c r="BM18" s="11">
        <f t="shared" si="50"/>
        <v>1</v>
      </c>
      <c r="BN18" s="11">
        <f t="shared" si="51"/>
        <v>1</v>
      </c>
      <c r="BO18" s="11">
        <f t="shared" si="52"/>
        <v>1</v>
      </c>
      <c r="BP18" s="11">
        <f>1</f>
        <v>1</v>
      </c>
      <c r="BQ18" s="11">
        <f t="shared" si="53"/>
        <v>0.9688533182420288</v>
      </c>
      <c r="BR18" s="11">
        <f t="shared" si="54"/>
        <v>0.95870022154515999</v>
      </c>
      <c r="BS18" s="11">
        <f t="shared" si="55"/>
        <v>0.97801516719816439</v>
      </c>
      <c r="BT18" s="11">
        <f t="shared" si="56"/>
        <v>0.65974234575867663</v>
      </c>
      <c r="BU18" s="11">
        <f t="shared" si="57"/>
        <v>0.96694216353595441</v>
      </c>
      <c r="BV18" s="5">
        <f t="shared" si="58"/>
        <v>1</v>
      </c>
      <c r="BW18" s="11">
        <f t="shared" si="59"/>
        <v>0.97801516719816439</v>
      </c>
      <c r="BX18" s="11">
        <f t="shared" si="60"/>
        <v>0.98900758359908214</v>
      </c>
      <c r="BY18" s="11">
        <f t="shared" si="61"/>
        <v>6.2426517737452798</v>
      </c>
      <c r="BZ18" s="11">
        <f t="shared" si="62"/>
        <v>0.30616976966823845</v>
      </c>
      <c r="CA18" s="11">
        <f t="shared" si="63"/>
        <v>1.9237657012435903</v>
      </c>
      <c r="CB18" s="11">
        <f t="shared" si="64"/>
        <v>0</v>
      </c>
      <c r="CC18" s="11">
        <f t="shared" si="65"/>
        <v>1.50394474417469</v>
      </c>
      <c r="CD18" s="11">
        <f t="shared" si="66"/>
        <v>3.0378574114027121</v>
      </c>
      <c r="CE18" s="11">
        <f t="shared" si="67"/>
        <v>1.788273111192014</v>
      </c>
      <c r="CF18" s="11">
        <f t="shared" si="68"/>
        <v>3.0600346681253124E-2</v>
      </c>
      <c r="CG18" s="11">
        <f t="shared" si="69"/>
        <v>0.64093170302012881</v>
      </c>
      <c r="CH18" s="11">
        <f t="shared" si="70"/>
        <v>0.16548263825146001</v>
      </c>
      <c r="CI18" s="11">
        <f t="shared" si="71"/>
        <v>15.639677199379365</v>
      </c>
      <c r="CJ18" s="11">
        <f t="shared" si="72"/>
        <v>0.50565115444222153</v>
      </c>
      <c r="CK18" s="11">
        <f t="shared" si="73"/>
        <v>0.99829358973246851</v>
      </c>
      <c r="CL18" s="13">
        <f t="shared" si="74"/>
        <v>4.498974691576052E-2</v>
      </c>
      <c r="CN18" s="32">
        <f t="shared" si="75"/>
        <v>15233</v>
      </c>
      <c r="CO18" s="12">
        <f t="shared" si="76"/>
        <v>0.56066294343631995</v>
      </c>
      <c r="CP18" s="12">
        <f t="shared" si="77"/>
        <v>0.43933705656368005</v>
      </c>
      <c r="CQ18" s="12">
        <f t="shared" si="78"/>
        <v>8.3208737494435248E-2</v>
      </c>
      <c r="CR18" s="12">
        <f t="shared" si="79"/>
        <v>0.16548263825146001</v>
      </c>
      <c r="CS18" s="14">
        <f t="shared" si="80"/>
        <v>0.3603228006206366</v>
      </c>
      <c r="CT18" s="14">
        <f t="shared" si="81"/>
        <v>0.47419456112790348</v>
      </c>
      <c r="CU18" s="14">
        <f t="shared" si="82"/>
        <v>8.3368570946112719E-2</v>
      </c>
      <c r="CV18" s="12">
        <f t="shared" si="83"/>
        <v>0.89413655559600702</v>
      </c>
      <c r="CW18" s="2" t="str">
        <f t="shared" si="84"/>
        <v>26hHP04.7</v>
      </c>
      <c r="CY18" s="5">
        <f t="shared" si="85"/>
        <v>13.189979493831526</v>
      </c>
      <c r="CZ18" s="5">
        <f t="shared" si="86"/>
        <v>6.2211220271657206</v>
      </c>
      <c r="DA18" s="5">
        <f t="shared" si="87"/>
        <v>0.30511384699463973</v>
      </c>
      <c r="DB18" s="5">
        <f t="shared" si="88"/>
        <v>1.9171309906226304</v>
      </c>
      <c r="DC18" s="5">
        <f t="shared" si="89"/>
        <v>0</v>
      </c>
      <c r="DD18" s="5">
        <f t="shared" si="90"/>
        <v>1.4987579180653243</v>
      </c>
      <c r="DE18" s="5">
        <f t="shared" si="91"/>
        <v>3.0273804053830262</v>
      </c>
      <c r="DF18" s="5">
        <f t="shared" si="92"/>
        <v>1.7821056893503977</v>
      </c>
      <c r="DG18" s="5">
        <f t="shared" si="93"/>
        <v>3.0494811768659601E-2</v>
      </c>
      <c r="DH18" s="5">
        <f t="shared" si="94"/>
        <v>0.63872124861053592</v>
      </c>
      <c r="DI18" s="5">
        <f t="shared" si="95"/>
        <v>0.16491191936564056</v>
      </c>
      <c r="DJ18" s="5">
        <f t="shared" si="96"/>
        <v>0</v>
      </c>
      <c r="DK18" s="5">
        <f t="shared" si="97"/>
        <v>1.2530980590978676E-2</v>
      </c>
      <c r="DL18" s="5">
        <f t="shared" si="98"/>
        <v>1.9586623796533837</v>
      </c>
      <c r="DM18" s="5">
        <f t="shared" si="99"/>
        <v>13</v>
      </c>
      <c r="DN18" s="5">
        <f t="shared" si="100"/>
        <v>14.998128532167852</v>
      </c>
      <c r="DO18" s="5">
        <f t="shared" si="101"/>
        <v>6.3128239216091435</v>
      </c>
      <c r="DP18" s="5">
        <f t="shared" si="102"/>
        <v>0.30961135044629223</v>
      </c>
      <c r="DQ18" s="5">
        <f t="shared" si="103"/>
        <v>1.9453902890206698</v>
      </c>
      <c r="DR18" s="5">
        <f t="shared" si="104"/>
        <v>0</v>
      </c>
      <c r="DS18" s="5">
        <f t="shared" si="105"/>
        <v>1.5208502254977323</v>
      </c>
      <c r="DT18" s="5">
        <f t="shared" si="106"/>
        <v>3.072005236267592</v>
      </c>
      <c r="DU18" s="5">
        <f t="shared" si="107"/>
        <v>1.8083746593365542</v>
      </c>
      <c r="DV18" s="5">
        <f t="shared" si="108"/>
        <v>3.0944317822016298E-2</v>
      </c>
      <c r="DW18" s="5">
        <f t="shared" si="109"/>
        <v>0.64813626221468779</v>
      </c>
      <c r="DX18" s="5">
        <f t="shared" si="110"/>
        <v>0.16734278880624853</v>
      </c>
      <c r="DY18" s="5">
        <f t="shared" si="111"/>
        <v>0</v>
      </c>
      <c r="DZ18" s="5">
        <f t="shared" si="112"/>
        <v>1.2715692392870468E-2</v>
      </c>
      <c r="EA18" s="5">
        <f t="shared" si="113"/>
        <v>1.9875338677876726</v>
      </c>
      <c r="EB18" s="5">
        <f t="shared" si="114"/>
        <v>15</v>
      </c>
      <c r="EC18" s="5">
        <f t="shared" si="115"/>
        <v>45.337447285620328</v>
      </c>
      <c r="ED18" s="1">
        <f t="shared" si="116"/>
        <v>6.2211220271657206</v>
      </c>
      <c r="EE18" s="5">
        <f t="shared" si="117"/>
        <v>0.30511384699463973</v>
      </c>
      <c r="EF18" s="5">
        <f t="shared" si="118"/>
        <v>1.9171309906226304</v>
      </c>
      <c r="EG18" s="5">
        <f t="shared" si="119"/>
        <v>0</v>
      </c>
      <c r="EH18" s="5">
        <f t="shared" si="120"/>
        <v>0.66255271437967167</v>
      </c>
      <c r="EI18" s="5">
        <f t="shared" si="121"/>
        <v>0.83620520368565265</v>
      </c>
      <c r="EJ18" s="5">
        <f t="shared" si="122"/>
        <v>3.0273804053830262</v>
      </c>
      <c r="EK18" s="5">
        <f t="shared" si="123"/>
        <v>1.7821056893503977</v>
      </c>
      <c r="EL18" s="5">
        <f t="shared" si="124"/>
        <v>3.0494811768659601E-2</v>
      </c>
      <c r="EM18" s="5">
        <f t="shared" si="125"/>
        <v>0.63872124861053592</v>
      </c>
      <c r="EN18" s="5">
        <f t="shared" si="126"/>
        <v>0.16491191936564056</v>
      </c>
      <c r="EO18" s="5">
        <f t="shared" si="127"/>
        <v>6.0134024828718804</v>
      </c>
      <c r="EP18" s="5">
        <f t="shared" si="128"/>
        <v>6.8290893210589081</v>
      </c>
      <c r="EQ18" s="5">
        <f t="shared" si="129"/>
        <v>2.0057730682007677</v>
      </c>
      <c r="ER18" s="5">
        <f t="shared" si="130"/>
        <v>99.877564872131572</v>
      </c>
      <c r="ES18" s="5">
        <f t="shared" si="131"/>
        <v>6.2211220271657206</v>
      </c>
      <c r="ET18" s="5">
        <f t="shared" si="132"/>
        <v>1.7788779728342794</v>
      </c>
      <c r="EU18" s="5">
        <f t="shared" si="133"/>
        <v>0</v>
      </c>
      <c r="EV18" s="44">
        <f t="shared" si="134"/>
        <v>8</v>
      </c>
      <c r="EW18" s="5">
        <f t="shared" si="135"/>
        <v>0.13825301778835097</v>
      </c>
      <c r="EX18" s="5">
        <f t="shared" si="136"/>
        <v>0.30511384699463973</v>
      </c>
      <c r="EY18" s="5">
        <f t="shared" si="137"/>
        <v>0</v>
      </c>
      <c r="EZ18" s="5">
        <f t="shared" si="138"/>
        <v>0.66255271437967167</v>
      </c>
      <c r="FA18" s="5">
        <f t="shared" si="139"/>
        <v>3.0273804053830262</v>
      </c>
      <c r="FB18" s="5">
        <f t="shared" si="140"/>
        <v>0.83620520368565265</v>
      </c>
      <c r="FC18" s="5">
        <f t="shared" si="141"/>
        <v>3.0494811768659601E-2</v>
      </c>
      <c r="FD18" s="44">
        <f t="shared" si="142"/>
        <v>5.0000000000000009</v>
      </c>
      <c r="FE18" s="5">
        <f t="shared" si="143"/>
        <v>0</v>
      </c>
      <c r="FF18" s="5">
        <f t="shared" si="144"/>
        <v>1.7821056893503977</v>
      </c>
      <c r="FG18" s="5">
        <f t="shared" si="145"/>
        <v>0.2178943106496023</v>
      </c>
      <c r="FH18" s="44">
        <f t="shared" si="146"/>
        <v>2</v>
      </c>
      <c r="FI18" s="5">
        <f t="shared" si="147"/>
        <v>0.42082693796093362</v>
      </c>
      <c r="FJ18" s="5">
        <f t="shared" si="148"/>
        <v>0.16491191936564056</v>
      </c>
      <c r="FK18" s="44">
        <f t="shared" si="149"/>
        <v>0.58573885732657416</v>
      </c>
      <c r="FL18" s="1" t="str">
        <f t="shared" si="150"/>
        <v>Pass</v>
      </c>
      <c r="FM18" s="5">
        <f t="shared" si="151"/>
        <v>7.2114539102750758E-2</v>
      </c>
      <c r="FN18" s="1" t="str">
        <f t="shared" si="152"/>
        <v>Mg-Hst</v>
      </c>
      <c r="FO18" s="5">
        <f t="shared" si="153"/>
        <v>7.2206204399419791</v>
      </c>
      <c r="FP18" s="5">
        <f t="shared" si="154"/>
        <v>1.9171309906226304</v>
      </c>
      <c r="FQ18" s="5">
        <f t="shared" si="155"/>
        <v>2.8918180671368874</v>
      </c>
      <c r="FR18" s="5">
        <f t="shared" si="156"/>
        <v>-1.4605369716232512</v>
      </c>
      <c r="FS18" s="1" t="str">
        <f t="shared" si="157"/>
        <v>YES</v>
      </c>
      <c r="FT18" s="32">
        <f t="shared" si="158"/>
        <v>947.16987141450954</v>
      </c>
      <c r="FU18" s="32">
        <f t="shared" si="159"/>
        <v>302.53993452613486</v>
      </c>
      <c r="FV18" s="46">
        <f t="shared" si="160"/>
        <v>0.74414890237304299</v>
      </c>
      <c r="FW18" s="47">
        <f t="shared" si="161"/>
        <v>-10.299186563325684</v>
      </c>
      <c r="FX18" s="46">
        <f t="shared" si="162"/>
        <v>4.6632996929847446</v>
      </c>
      <c r="FY18" s="50">
        <f t="shared" si="163"/>
        <v>451.42615291199371</v>
      </c>
      <c r="FZ18" s="32">
        <f t="shared" si="164"/>
        <v>306.22034299034357</v>
      </c>
      <c r="GA18" s="32">
        <f t="shared" si="165"/>
        <v>368.87962069008086</v>
      </c>
      <c r="GB18" s="32">
        <f t="shared" si="166"/>
        <v>464.33227094325042</v>
      </c>
      <c r="GC18" s="32">
        <f t="shared" si="167"/>
        <v>644.56308487402498</v>
      </c>
      <c r="GD18" s="32">
        <f t="shared" si="168"/>
        <v>158.11192795290685</v>
      </c>
      <c r="GE18" s="4">
        <f t="shared" si="169"/>
        <v>-0.42783726799205546</v>
      </c>
      <c r="GF18" s="32">
        <f t="shared" si="170"/>
        <v>306.22034299034357</v>
      </c>
      <c r="GG18" s="1">
        <f t="shared" si="171"/>
        <v>370.59153026237846</v>
      </c>
      <c r="GH18" s="32">
        <f t="shared" si="172"/>
        <v>378.82324795116864</v>
      </c>
      <c r="GI18" s="32">
        <f t="shared" si="173"/>
        <v>950.84690501994237</v>
      </c>
      <c r="GJ18" s="46">
        <f t="shared" si="174"/>
        <v>2.2663424186477785</v>
      </c>
      <c r="GK18" s="46">
        <f t="shared" si="175"/>
        <v>66.174297762984978</v>
      </c>
      <c r="GL18" s="46">
        <f t="shared" si="176"/>
        <v>0.42631368131121317</v>
      </c>
      <c r="GM18" s="46">
        <f t="shared" si="177"/>
        <v>16.976021477164203</v>
      </c>
      <c r="GN18" s="46">
        <f t="shared" si="178"/>
        <v>2.9535819698049592</v>
      </c>
      <c r="GO18" s="46">
        <f t="shared" si="179"/>
        <v>1.1393044589141506</v>
      </c>
      <c r="GP18" s="46">
        <f t="shared" si="180"/>
        <v>2.0750598254017358</v>
      </c>
      <c r="GQ18" s="46">
        <f t="shared" si="181"/>
        <v>3.7931955700058753</v>
      </c>
      <c r="GR18" s="46">
        <f t="shared" si="182"/>
        <v>5.422990729892935</v>
      </c>
      <c r="GS18" s="46">
        <f t="shared" si="183"/>
        <v>98.960765475480059</v>
      </c>
      <c r="GU18" s="32">
        <f t="shared" si="184"/>
        <v>15233</v>
      </c>
      <c r="GV18" s="32">
        <f t="shared" si="185"/>
        <v>302.53993452613486</v>
      </c>
      <c r="GW18" s="32">
        <f t="shared" si="186"/>
        <v>947.16987141450954</v>
      </c>
      <c r="GX18" s="32">
        <f t="shared" si="187"/>
        <v>378.82324795116864</v>
      </c>
      <c r="GY18" s="32">
        <f t="shared" si="188"/>
        <v>950.84690501994237</v>
      </c>
    </row>
    <row r="19" spans="1:207">
      <c r="A19" s="35">
        <v>15234</v>
      </c>
      <c r="B19" s="2" t="s">
        <v>148</v>
      </c>
      <c r="C19" s="36">
        <v>42.79</v>
      </c>
      <c r="D19" s="36">
        <v>2.73</v>
      </c>
      <c r="E19" s="36">
        <v>10.97</v>
      </c>
      <c r="F19" s="36"/>
      <c r="G19" s="36">
        <v>12</v>
      </c>
      <c r="H19" s="36">
        <v>13.8</v>
      </c>
      <c r="I19" s="36">
        <v>11.49</v>
      </c>
      <c r="J19" s="36">
        <v>0.2152</v>
      </c>
      <c r="K19" s="36">
        <v>2.25</v>
      </c>
      <c r="L19" s="36">
        <v>0.88470000000000004</v>
      </c>
      <c r="M19" s="36"/>
      <c r="N19" s="36">
        <v>4.4600000000000001E-2</v>
      </c>
      <c r="O19" s="4">
        <f t="shared" si="0"/>
        <v>97.174499999999981</v>
      </c>
      <c r="P19" s="5">
        <f t="shared" si="1"/>
        <v>0.71216607333363291</v>
      </c>
      <c r="Q19" s="5">
        <f t="shared" si="2"/>
        <v>3.4182340876820871E-2</v>
      </c>
      <c r="R19" s="5">
        <f t="shared" si="3"/>
        <v>0.10758986578394723</v>
      </c>
      <c r="S19" s="5">
        <f t="shared" si="4"/>
        <v>0</v>
      </c>
      <c r="T19" s="5">
        <f t="shared" si="5"/>
        <v>0.16702763193791029</v>
      </c>
      <c r="U19" s="5">
        <f t="shared" si="6"/>
        <v>0.34239437877750323</v>
      </c>
      <c r="V19" s="5">
        <f t="shared" si="7"/>
        <v>0.20489537674713876</v>
      </c>
      <c r="W19" s="5">
        <f t="shared" si="8"/>
        <v>3.0336585686919753E-3</v>
      </c>
      <c r="X19" s="5">
        <f t="shared" si="9"/>
        <v>3.6302653772394299E-2</v>
      </c>
      <c r="Y19" s="5">
        <f t="shared" si="10"/>
        <v>9.3921185612977198E-3</v>
      </c>
      <c r="Z19" s="5">
        <f t="shared" si="11"/>
        <v>0</v>
      </c>
      <c r="AA19" s="5">
        <f t="shared" si="12"/>
        <v>1.258014199200625E-3</v>
      </c>
      <c r="AB19" s="5">
        <f t="shared" si="13"/>
        <v>1.4243321466672658</v>
      </c>
      <c r="AC19" s="5">
        <f t="shared" si="14"/>
        <v>6.8364681753641743E-2</v>
      </c>
      <c r="AD19" s="5">
        <f t="shared" si="15"/>
        <v>0.32276959735184169</v>
      </c>
      <c r="AE19" s="5">
        <f t="shared" si="16"/>
        <v>0</v>
      </c>
      <c r="AF19" s="5">
        <f t="shared" si="17"/>
        <v>0.16702763193791029</v>
      </c>
      <c r="AG19" s="5">
        <f t="shared" si="18"/>
        <v>0.34239437877750323</v>
      </c>
      <c r="AH19" s="5">
        <f t="shared" si="19"/>
        <v>0.20489537674713876</v>
      </c>
      <c r="AI19" s="5">
        <f t="shared" si="20"/>
        <v>3.0336585686919753E-3</v>
      </c>
      <c r="AJ19" s="5">
        <f t="shared" si="21"/>
        <v>3.6302653772394299E-2</v>
      </c>
      <c r="AK19" s="5">
        <f t="shared" si="22"/>
        <v>9.3921185612977198E-3</v>
      </c>
      <c r="AL19" s="5">
        <f t="shared" si="23"/>
        <v>2.5785122441376855</v>
      </c>
      <c r="AM19" s="4">
        <f t="shared" si="24"/>
        <v>12.704860893263936</v>
      </c>
      <c r="AN19" s="4">
        <f t="shared" si="25"/>
        <v>0.60980423261848926</v>
      </c>
      <c r="AO19" s="4">
        <f t="shared" si="26"/>
        <v>2.8790635979993251</v>
      </c>
      <c r="AP19" s="4">
        <f t="shared" si="27"/>
        <v>0</v>
      </c>
      <c r="AQ19" s="4">
        <f t="shared" si="28"/>
        <v>1.4898651512343968</v>
      </c>
      <c r="AR19" s="4">
        <f t="shared" si="29"/>
        <v>3.0541141426753944</v>
      </c>
      <c r="AS19" s="4">
        <f t="shared" si="30"/>
        <v>1.8276406000779695</v>
      </c>
      <c r="AT19" s="4">
        <f t="shared" si="31"/>
        <v>2.7059847103130405E-2</v>
      </c>
      <c r="AU19" s="4">
        <f t="shared" si="32"/>
        <v>0.32381503662174743</v>
      </c>
      <c r="AV19" s="4">
        <f t="shared" si="33"/>
        <v>8.3776498405610342E-2</v>
      </c>
      <c r="AW19" s="4">
        <f t="shared" si="34"/>
        <v>23</v>
      </c>
      <c r="AX19" s="5">
        <f t="shared" si="35"/>
        <v>6.3524304466319679</v>
      </c>
      <c r="AY19" s="5">
        <f t="shared" si="36"/>
        <v>0.30490211630924463</v>
      </c>
      <c r="AZ19" s="5">
        <f t="shared" si="37"/>
        <v>1.9193757319995501</v>
      </c>
      <c r="BA19" s="5">
        <f t="shared" si="38"/>
        <v>0</v>
      </c>
      <c r="BB19" s="5">
        <f t="shared" si="39"/>
        <v>1.4898651512343968</v>
      </c>
      <c r="BC19" s="5">
        <f t="shared" si="40"/>
        <v>3.0541141426753944</v>
      </c>
      <c r="BD19" s="5">
        <f t="shared" si="41"/>
        <v>1.8276406000779695</v>
      </c>
      <c r="BE19" s="5">
        <f t="shared" si="42"/>
        <v>2.7059847103130405E-2</v>
      </c>
      <c r="BF19" s="5">
        <f t="shared" si="43"/>
        <v>0.64763007324349486</v>
      </c>
      <c r="BG19" s="5">
        <f t="shared" si="44"/>
        <v>0.16755299681122068</v>
      </c>
      <c r="BH19" s="5">
        <f t="shared" si="45"/>
        <v>0</v>
      </c>
      <c r="BI19" s="5">
        <f t="shared" si="46"/>
        <v>1.1221326036902604E-2</v>
      </c>
      <c r="BJ19" s="5">
        <f t="shared" si="47"/>
        <v>1.9887786739630975</v>
      </c>
      <c r="BK19" s="5">
        <f t="shared" si="48"/>
        <v>15.79057110608637</v>
      </c>
      <c r="BL19" s="11">
        <f t="shared" si="49"/>
        <v>1</v>
      </c>
      <c r="BM19" s="11">
        <f t="shared" si="50"/>
        <v>1</v>
      </c>
      <c r="BN19" s="11">
        <f t="shared" si="51"/>
        <v>1</v>
      </c>
      <c r="BO19" s="11">
        <f t="shared" si="52"/>
        <v>1</v>
      </c>
      <c r="BP19" s="11">
        <f>1</f>
        <v>1</v>
      </c>
      <c r="BQ19" s="11">
        <f t="shared" si="53"/>
        <v>0.9671406494830993</v>
      </c>
      <c r="BR19" s="11">
        <f t="shared" si="54"/>
        <v>0.96012178281318938</v>
      </c>
      <c r="BS19" s="11">
        <f t="shared" si="55"/>
        <v>0.9811566629827253</v>
      </c>
      <c r="BT19" s="11">
        <f t="shared" si="56"/>
        <v>0.65962204619323261</v>
      </c>
      <c r="BU19" s="11">
        <f t="shared" si="57"/>
        <v>0.96761162714707838</v>
      </c>
      <c r="BV19" s="5">
        <f t="shared" si="58"/>
        <v>1</v>
      </c>
      <c r="BW19" s="11">
        <f t="shared" si="59"/>
        <v>0.9811566629827253</v>
      </c>
      <c r="BX19" s="11">
        <f t="shared" si="60"/>
        <v>0.99057833149136265</v>
      </c>
      <c r="BY19" s="11">
        <f t="shared" si="61"/>
        <v>6.2925799527396267</v>
      </c>
      <c r="BZ19" s="11">
        <f t="shared" si="62"/>
        <v>0.30202942964179696</v>
      </c>
      <c r="CA19" s="11">
        <f t="shared" si="63"/>
        <v>1.9012920101091273</v>
      </c>
      <c r="CB19" s="11">
        <f t="shared" si="64"/>
        <v>0</v>
      </c>
      <c r="CC19" s="11">
        <f t="shared" si="65"/>
        <v>1.4758281356568954</v>
      </c>
      <c r="CD19" s="11">
        <f t="shared" si="66"/>
        <v>3.0253392916355657</v>
      </c>
      <c r="CE19" s="11">
        <f t="shared" si="67"/>
        <v>1.8104211761911078</v>
      </c>
      <c r="CF19" s="11">
        <f t="shared" si="68"/>
        <v>2.68048981938303E-2</v>
      </c>
      <c r="CG19" s="11">
        <f t="shared" si="69"/>
        <v>0.64152831737717009</v>
      </c>
      <c r="CH19" s="11">
        <f t="shared" si="70"/>
        <v>0.1659743680176366</v>
      </c>
      <c r="CI19" s="11">
        <f t="shared" si="71"/>
        <v>15.641797579562757</v>
      </c>
      <c r="CJ19" s="11">
        <f t="shared" si="72"/>
        <v>0.43339675139731804</v>
      </c>
      <c r="CK19" s="11">
        <f t="shared" si="73"/>
        <v>1.0424313842595774</v>
      </c>
      <c r="CL19" s="13">
        <f t="shared" si="74"/>
        <v>2.3873717976842457E-2</v>
      </c>
      <c r="CN19" s="32">
        <f t="shared" si="75"/>
        <v>15234</v>
      </c>
      <c r="CO19" s="12">
        <f t="shared" si="76"/>
        <v>0.57314498818490667</v>
      </c>
      <c r="CP19" s="12">
        <f t="shared" si="77"/>
        <v>0.42685501181509333</v>
      </c>
      <c r="CQ19" s="12">
        <f t="shared" si="78"/>
        <v>9.6935981424376649E-2</v>
      </c>
      <c r="CR19" s="12">
        <f t="shared" si="79"/>
        <v>0.1659743680176366</v>
      </c>
      <c r="CS19" s="14">
        <f t="shared" si="80"/>
        <v>0.3582024204372431</v>
      </c>
      <c r="CT19" s="14">
        <f t="shared" si="81"/>
        <v>0.47582321154512019</v>
      </c>
      <c r="CU19" s="14">
        <f t="shared" si="82"/>
        <v>8.2852552916024891E-2</v>
      </c>
      <c r="CV19" s="12">
        <f t="shared" si="83"/>
        <v>0.90521058809555388</v>
      </c>
      <c r="CW19" s="2" t="str">
        <f t="shared" si="84"/>
        <v>26hHP04.8</v>
      </c>
      <c r="CY19" s="5">
        <f t="shared" si="85"/>
        <v>13.147747435953685</v>
      </c>
      <c r="CZ19" s="5">
        <f t="shared" si="86"/>
        <v>6.2810451910864114</v>
      </c>
      <c r="DA19" s="5">
        <f t="shared" si="87"/>
        <v>0.30147578749353021</v>
      </c>
      <c r="DB19" s="5">
        <f t="shared" si="88"/>
        <v>1.8978068020808647</v>
      </c>
      <c r="DC19" s="5">
        <f t="shared" si="89"/>
        <v>0</v>
      </c>
      <c r="DD19" s="5">
        <f t="shared" si="90"/>
        <v>1.4731228341885367</v>
      </c>
      <c r="DE19" s="5">
        <f t="shared" si="91"/>
        <v>3.0197936223057811</v>
      </c>
      <c r="DF19" s="5">
        <f t="shared" si="92"/>
        <v>1.8071025410817985</v>
      </c>
      <c r="DG19" s="5">
        <f t="shared" si="93"/>
        <v>2.6755762844875391E-2</v>
      </c>
      <c r="DH19" s="5">
        <f t="shared" si="94"/>
        <v>0.64035234880937908</v>
      </c>
      <c r="DI19" s="5">
        <f t="shared" si="95"/>
        <v>0.16567012479943274</v>
      </c>
      <c r="DJ19" s="5">
        <f t="shared" si="96"/>
        <v>0</v>
      </c>
      <c r="DK19" s="5">
        <f t="shared" si="97"/>
        <v>1.109522670634968E-2</v>
      </c>
      <c r="DL19" s="5">
        <f t="shared" si="98"/>
        <v>1.9664298304681354</v>
      </c>
      <c r="DM19" s="5">
        <f t="shared" si="99"/>
        <v>13</v>
      </c>
      <c r="DN19" s="5">
        <f t="shared" si="100"/>
        <v>14.975388036031655</v>
      </c>
      <c r="DO19" s="5">
        <f t="shared" si="101"/>
        <v>6.3628706294764958</v>
      </c>
      <c r="DP19" s="5">
        <f t="shared" si="102"/>
        <v>0.30540322118094615</v>
      </c>
      <c r="DQ19" s="5">
        <f t="shared" si="103"/>
        <v>1.9225302149581236</v>
      </c>
      <c r="DR19" s="5">
        <f t="shared" si="104"/>
        <v>0</v>
      </c>
      <c r="DS19" s="5">
        <f t="shared" si="105"/>
        <v>1.492313736027769</v>
      </c>
      <c r="DT19" s="5">
        <f t="shared" si="106"/>
        <v>3.0591335616750146</v>
      </c>
      <c r="DU19" s="5">
        <f t="shared" si="107"/>
        <v>1.8306443168756894</v>
      </c>
      <c r="DV19" s="5">
        <f t="shared" si="108"/>
        <v>2.7104319805960456E-2</v>
      </c>
      <c r="DW19" s="5">
        <f t="shared" si="109"/>
        <v>0.64869444953806132</v>
      </c>
      <c r="DX19" s="5">
        <f t="shared" si="110"/>
        <v>0.16782836919625563</v>
      </c>
      <c r="DY19" s="5">
        <f t="shared" si="111"/>
        <v>0</v>
      </c>
      <c r="DZ19" s="5">
        <f t="shared" si="112"/>
        <v>1.1239768221601446E-2</v>
      </c>
      <c r="EA19" s="5">
        <f t="shared" si="113"/>
        <v>1.9920472202569781</v>
      </c>
      <c r="EB19" s="5">
        <f t="shared" si="114"/>
        <v>15.000000000000002</v>
      </c>
      <c r="EC19" s="5">
        <f t="shared" si="115"/>
        <v>45.48307631501315</v>
      </c>
      <c r="ED19" s="1">
        <f t="shared" si="116"/>
        <v>6.2810451910864114</v>
      </c>
      <c r="EE19" s="5">
        <f t="shared" si="117"/>
        <v>0.30147578749353021</v>
      </c>
      <c r="EF19" s="5">
        <f t="shared" si="118"/>
        <v>1.8978068020808647</v>
      </c>
      <c r="EG19" s="5">
        <f t="shared" si="119"/>
        <v>0</v>
      </c>
      <c r="EH19" s="5">
        <f t="shared" si="120"/>
        <v>0.51692368498684971</v>
      </c>
      <c r="EI19" s="5">
        <f t="shared" si="121"/>
        <v>0.95619914920168703</v>
      </c>
      <c r="EJ19" s="5">
        <f t="shared" si="122"/>
        <v>3.0197936223057811</v>
      </c>
      <c r="EK19" s="5">
        <f t="shared" si="123"/>
        <v>1.8071025410817985</v>
      </c>
      <c r="EL19" s="5">
        <f t="shared" si="124"/>
        <v>2.6755762844875391E-2</v>
      </c>
      <c r="EM19" s="5">
        <f t="shared" si="125"/>
        <v>0.64035234880937908</v>
      </c>
      <c r="EN19" s="5">
        <f t="shared" si="126"/>
        <v>0.16567012479943274</v>
      </c>
      <c r="EO19" s="5">
        <f t="shared" si="127"/>
        <v>4.6797065863456551</v>
      </c>
      <c r="EP19" s="5">
        <f t="shared" si="128"/>
        <v>7.7891602275928751</v>
      </c>
      <c r="EQ19" s="5">
        <f t="shared" si="129"/>
        <v>2.011648101463078</v>
      </c>
      <c r="ER19" s="5">
        <f t="shared" si="130"/>
        <v>99.655014915401594</v>
      </c>
      <c r="ES19" s="5">
        <f t="shared" si="131"/>
        <v>6.2810451910864114</v>
      </c>
      <c r="ET19" s="5">
        <f t="shared" si="132"/>
        <v>1.7189548089135886</v>
      </c>
      <c r="EU19" s="5">
        <f t="shared" si="133"/>
        <v>0</v>
      </c>
      <c r="EV19" s="44">
        <f t="shared" si="134"/>
        <v>8</v>
      </c>
      <c r="EW19" s="5">
        <f t="shared" si="135"/>
        <v>0.17885199316727607</v>
      </c>
      <c r="EX19" s="5">
        <f t="shared" si="136"/>
        <v>0.30147578749353021</v>
      </c>
      <c r="EY19" s="5">
        <f t="shared" si="137"/>
        <v>0</v>
      </c>
      <c r="EZ19" s="5">
        <f t="shared" si="138"/>
        <v>0.51692368498684971</v>
      </c>
      <c r="FA19" s="5">
        <f t="shared" si="139"/>
        <v>3.0197936223057811</v>
      </c>
      <c r="FB19" s="5">
        <f t="shared" si="140"/>
        <v>0.95619914920168703</v>
      </c>
      <c r="FC19" s="5">
        <f t="shared" si="141"/>
        <v>2.6755762844875391E-2</v>
      </c>
      <c r="FD19" s="44">
        <f t="shared" si="142"/>
        <v>5</v>
      </c>
      <c r="FE19" s="5">
        <f t="shared" si="143"/>
        <v>0</v>
      </c>
      <c r="FF19" s="5">
        <f t="shared" si="144"/>
        <v>1.8071025410817985</v>
      </c>
      <c r="FG19" s="5">
        <f t="shared" si="145"/>
        <v>0.19289745891820154</v>
      </c>
      <c r="FH19" s="44">
        <f t="shared" si="146"/>
        <v>2</v>
      </c>
      <c r="FI19" s="5">
        <f t="shared" si="147"/>
        <v>0.44745488989117754</v>
      </c>
      <c r="FJ19" s="5">
        <f t="shared" si="148"/>
        <v>0.16567012479943274</v>
      </c>
      <c r="FK19" s="44">
        <f t="shared" si="149"/>
        <v>0.61312501469061031</v>
      </c>
      <c r="FL19" s="1" t="str">
        <f t="shared" si="150"/>
        <v>Pass</v>
      </c>
      <c r="FM19" s="5">
        <f t="shared" si="151"/>
        <v>9.4241412229723515E-2</v>
      </c>
      <c r="FN19" s="1" t="str">
        <f t="shared" si="152"/>
        <v>Mg-Hst</v>
      </c>
      <c r="FO19" s="5">
        <f t="shared" si="153"/>
        <v>7.2502481829266596</v>
      </c>
      <c r="FP19" s="5">
        <f t="shared" si="154"/>
        <v>1.8978068020808647</v>
      </c>
      <c r="FQ19" s="5">
        <f t="shared" si="155"/>
        <v>2.8557987078755898</v>
      </c>
      <c r="FR19" s="5">
        <f t="shared" si="156"/>
        <v>-1.4449578475562583</v>
      </c>
      <c r="FS19" s="1" t="str">
        <f t="shared" si="157"/>
        <v>YES</v>
      </c>
      <c r="FT19" s="32">
        <f t="shared" si="158"/>
        <v>942.68165351298921</v>
      </c>
      <c r="FU19" s="32">
        <f t="shared" si="159"/>
        <v>294.24863305205082</v>
      </c>
      <c r="FV19" s="46">
        <f t="shared" si="160"/>
        <v>0.68493307574746964</v>
      </c>
      <c r="FW19" s="47">
        <f t="shared" si="161"/>
        <v>-10.43491485341775</v>
      </c>
      <c r="FX19" s="46">
        <f t="shared" si="162"/>
        <v>4.7445448249941125</v>
      </c>
      <c r="FY19" s="50">
        <f t="shared" si="163"/>
        <v>403.50361929888805</v>
      </c>
      <c r="FZ19" s="32">
        <f t="shared" si="164"/>
        <v>289.93160427317639</v>
      </c>
      <c r="GA19" s="32">
        <f t="shared" si="165"/>
        <v>345.0136994226051</v>
      </c>
      <c r="GB19" s="32">
        <f t="shared" si="166"/>
        <v>448.84498894610573</v>
      </c>
      <c r="GC19" s="32">
        <f t="shared" si="167"/>
        <v>695.9147482941728</v>
      </c>
      <c r="GD19" s="32">
        <f t="shared" si="168"/>
        <v>158.91338467292934</v>
      </c>
      <c r="GE19" s="4">
        <f t="shared" si="169"/>
        <v>-0.72468031266576183</v>
      </c>
      <c r="GF19" s="32">
        <f t="shared" si="170"/>
        <v>289.93160427317639</v>
      </c>
      <c r="GG19" s="1">
        <f t="shared" si="171"/>
        <v>319.88179150085273</v>
      </c>
      <c r="GH19" s="32">
        <f t="shared" si="172"/>
        <v>346.71761178603219</v>
      </c>
      <c r="GI19" s="32">
        <f t="shared" si="173"/>
        <v>933.94003623942422</v>
      </c>
      <c r="GJ19" s="46">
        <f t="shared" si="174"/>
        <v>2.2697049903127069</v>
      </c>
      <c r="GK19" s="46">
        <f t="shared" si="175"/>
        <v>67.00419765523705</v>
      </c>
      <c r="GL19" s="46">
        <f t="shared" si="176"/>
        <v>0.40866978653218589</v>
      </c>
      <c r="GM19" s="46">
        <f t="shared" si="177"/>
        <v>16.768530369537629</v>
      </c>
      <c r="GN19" s="46">
        <f t="shared" si="178"/>
        <v>2.7025246691561211</v>
      </c>
      <c r="GO19" s="46">
        <f t="shared" si="179"/>
        <v>1.0665253530012295</v>
      </c>
      <c r="GP19" s="46">
        <f t="shared" si="180"/>
        <v>2.0545061974738594</v>
      </c>
      <c r="GQ19" s="46">
        <f t="shared" si="181"/>
        <v>3.9448583378276605</v>
      </c>
      <c r="GR19" s="46">
        <f t="shared" si="182"/>
        <v>5.5238083109977563</v>
      </c>
      <c r="GS19" s="46">
        <f t="shared" si="183"/>
        <v>99.473620679763471</v>
      </c>
      <c r="GU19" s="32">
        <f t="shared" si="184"/>
        <v>15234</v>
      </c>
      <c r="GV19" s="32">
        <f t="shared" si="185"/>
        <v>294.24863305205082</v>
      </c>
      <c r="GW19" s="32">
        <f t="shared" si="186"/>
        <v>942.68165351298921</v>
      </c>
      <c r="GX19" s="32">
        <f t="shared" si="187"/>
        <v>346.71761178603219</v>
      </c>
      <c r="GY19" s="32">
        <f t="shared" si="188"/>
        <v>933.94003623942422</v>
      </c>
    </row>
    <row r="20" spans="1:207">
      <c r="A20" s="35">
        <v>15235</v>
      </c>
      <c r="B20" s="2" t="s">
        <v>149</v>
      </c>
      <c r="C20" s="36">
        <v>42.96</v>
      </c>
      <c r="D20" s="36">
        <v>2.4500000000000002</v>
      </c>
      <c r="E20" s="36">
        <v>10.6</v>
      </c>
      <c r="F20" s="36"/>
      <c r="G20" s="36">
        <v>13.09</v>
      </c>
      <c r="H20" s="36">
        <v>13.1</v>
      </c>
      <c r="I20" s="36">
        <v>11.55</v>
      </c>
      <c r="J20" s="36">
        <v>0.28849999999999998</v>
      </c>
      <c r="K20" s="36">
        <v>2.0699999999999998</v>
      </c>
      <c r="L20" s="36">
        <v>0.87760000000000005</v>
      </c>
      <c r="M20" s="36"/>
      <c r="N20" s="36">
        <v>7.1499999999999994E-2</v>
      </c>
      <c r="O20" s="4">
        <f t="shared" si="0"/>
        <v>97.057599999999994</v>
      </c>
      <c r="P20" s="5">
        <f t="shared" si="1"/>
        <v>0.71499543141885658</v>
      </c>
      <c r="Q20" s="5">
        <f t="shared" si="2"/>
        <v>3.0676459761249501E-2</v>
      </c>
      <c r="R20" s="5">
        <f t="shared" si="3"/>
        <v>0.1039610371294294</v>
      </c>
      <c r="S20" s="5">
        <f t="shared" si="4"/>
        <v>0</v>
      </c>
      <c r="T20" s="5">
        <f t="shared" si="5"/>
        <v>0.18219930850560379</v>
      </c>
      <c r="U20" s="5">
        <f t="shared" si="6"/>
        <v>0.32502654796994868</v>
      </c>
      <c r="V20" s="5">
        <f t="shared" si="7"/>
        <v>0.20596532649516561</v>
      </c>
      <c r="W20" s="5">
        <f t="shared" si="8"/>
        <v>4.0669632763365932E-3</v>
      </c>
      <c r="X20" s="5">
        <f t="shared" si="9"/>
        <v>3.3398441470602752E-2</v>
      </c>
      <c r="Y20" s="5">
        <f t="shared" si="10"/>
        <v>9.316743810777529E-3</v>
      </c>
      <c r="Z20" s="5">
        <f t="shared" si="11"/>
        <v>0</v>
      </c>
      <c r="AA20" s="5">
        <f t="shared" si="12"/>
        <v>2.0167716422162486E-3</v>
      </c>
      <c r="AB20" s="5">
        <f t="shared" si="13"/>
        <v>1.4299908628377132</v>
      </c>
      <c r="AC20" s="5">
        <f t="shared" si="14"/>
        <v>6.1352919522499001E-2</v>
      </c>
      <c r="AD20" s="5">
        <f t="shared" si="15"/>
        <v>0.31188311138828823</v>
      </c>
      <c r="AE20" s="5">
        <f t="shared" si="16"/>
        <v>0</v>
      </c>
      <c r="AF20" s="5">
        <f t="shared" si="17"/>
        <v>0.18219930850560379</v>
      </c>
      <c r="AG20" s="5">
        <f t="shared" si="18"/>
        <v>0.32502654796994868</v>
      </c>
      <c r="AH20" s="5">
        <f t="shared" si="19"/>
        <v>0.20596532649516561</v>
      </c>
      <c r="AI20" s="5">
        <f t="shared" si="20"/>
        <v>4.0669632763365932E-3</v>
      </c>
      <c r="AJ20" s="5">
        <f t="shared" si="21"/>
        <v>3.3398441470602752E-2</v>
      </c>
      <c r="AK20" s="5">
        <f t="shared" si="22"/>
        <v>9.316743810777529E-3</v>
      </c>
      <c r="AL20" s="5">
        <f t="shared" si="23"/>
        <v>2.563200225276935</v>
      </c>
      <c r="AM20" s="4">
        <f t="shared" si="24"/>
        <v>12.831533612132818</v>
      </c>
      <c r="AN20" s="4">
        <f t="shared" si="25"/>
        <v>0.55052942610638855</v>
      </c>
      <c r="AO20" s="4">
        <f t="shared" si="26"/>
        <v>2.7985763621550888</v>
      </c>
      <c r="AP20" s="4">
        <f t="shared" si="27"/>
        <v>0</v>
      </c>
      <c r="AQ20" s="4">
        <f t="shared" si="28"/>
        <v>1.6349031395610638</v>
      </c>
      <c r="AR20" s="4">
        <f t="shared" si="29"/>
        <v>2.9165144921525332</v>
      </c>
      <c r="AS20" s="4">
        <f t="shared" si="30"/>
        <v>1.8481593683837123</v>
      </c>
      <c r="AT20" s="4">
        <f t="shared" si="31"/>
        <v>3.6493503095582525E-2</v>
      </c>
      <c r="AU20" s="4">
        <f t="shared" si="32"/>
        <v>0.29968948435968118</v>
      </c>
      <c r="AV20" s="4">
        <f t="shared" si="33"/>
        <v>8.3600612053134168E-2</v>
      </c>
      <c r="AW20" s="4">
        <f t="shared" si="34"/>
        <v>23.000000000000004</v>
      </c>
      <c r="AX20" s="5">
        <f t="shared" si="35"/>
        <v>6.4157668060664088</v>
      </c>
      <c r="AY20" s="5">
        <f t="shared" si="36"/>
        <v>0.27526471305319428</v>
      </c>
      <c r="AZ20" s="5">
        <f t="shared" si="37"/>
        <v>1.8657175747700592</v>
      </c>
      <c r="BA20" s="5">
        <f t="shared" si="38"/>
        <v>0</v>
      </c>
      <c r="BB20" s="5">
        <f t="shared" si="39"/>
        <v>1.6349031395610638</v>
      </c>
      <c r="BC20" s="5">
        <f t="shared" si="40"/>
        <v>2.9165144921525332</v>
      </c>
      <c r="BD20" s="5">
        <f t="shared" si="41"/>
        <v>1.8481593683837123</v>
      </c>
      <c r="BE20" s="5">
        <f t="shared" si="42"/>
        <v>3.6493503095582525E-2</v>
      </c>
      <c r="BF20" s="5">
        <f t="shared" si="43"/>
        <v>0.59937896871936236</v>
      </c>
      <c r="BG20" s="5">
        <f t="shared" si="44"/>
        <v>0.16720122410626834</v>
      </c>
      <c r="BH20" s="5">
        <f t="shared" si="45"/>
        <v>0</v>
      </c>
      <c r="BI20" s="5">
        <f t="shared" si="46"/>
        <v>1.8096810117891621E-2</v>
      </c>
      <c r="BJ20" s="5">
        <f t="shared" si="47"/>
        <v>1.9819031898821085</v>
      </c>
      <c r="BK20" s="5">
        <f t="shared" si="48"/>
        <v>15.759399789908185</v>
      </c>
      <c r="BL20" s="11">
        <f t="shared" si="49"/>
        <v>1</v>
      </c>
      <c r="BM20" s="11">
        <f t="shared" si="50"/>
        <v>1</v>
      </c>
      <c r="BN20" s="11">
        <f t="shared" si="51"/>
        <v>1</v>
      </c>
      <c r="BO20" s="11">
        <f t="shared" si="52"/>
        <v>1</v>
      </c>
      <c r="BP20" s="11">
        <f>1</f>
        <v>1</v>
      </c>
      <c r="BQ20" s="11">
        <f t="shared" si="53"/>
        <v>0.96601039525138421</v>
      </c>
      <c r="BR20" s="11">
        <f t="shared" si="54"/>
        <v>0.96201955976235609</v>
      </c>
      <c r="BS20" s="11">
        <f t="shared" si="55"/>
        <v>0.98138710134441709</v>
      </c>
      <c r="BT20" s="11">
        <f t="shared" si="56"/>
        <v>0.65986336425665049</v>
      </c>
      <c r="BU20" s="11">
        <f t="shared" si="57"/>
        <v>0.96445862740084642</v>
      </c>
      <c r="BV20" s="5">
        <f t="shared" si="58"/>
        <v>1</v>
      </c>
      <c r="BW20" s="11">
        <f t="shared" si="59"/>
        <v>0.98138710134441709</v>
      </c>
      <c r="BX20" s="11">
        <f t="shared" si="60"/>
        <v>0.99069355067220854</v>
      </c>
      <c r="BY20" s="11">
        <f t="shared" si="61"/>
        <v>6.356058797386825</v>
      </c>
      <c r="BZ20" s="11">
        <f t="shared" si="62"/>
        <v>0.27270297594943566</v>
      </c>
      <c r="CA20" s="11">
        <f t="shared" si="63"/>
        <v>1.8483543687004917</v>
      </c>
      <c r="CB20" s="11">
        <f t="shared" si="64"/>
        <v>0</v>
      </c>
      <c r="CC20" s="11">
        <f t="shared" si="65"/>
        <v>1.6196879963368915</v>
      </c>
      <c r="CD20" s="11">
        <f t="shared" si="66"/>
        <v>2.8893720978175463</v>
      </c>
      <c r="CE20" s="11">
        <f t="shared" si="67"/>
        <v>1.8309595668721663</v>
      </c>
      <c r="CF20" s="11">
        <f t="shared" si="68"/>
        <v>3.6153878158229888E-2</v>
      </c>
      <c r="CG20" s="11">
        <f t="shared" si="69"/>
        <v>0.59380087871883169</v>
      </c>
      <c r="CH20" s="11">
        <f t="shared" si="70"/>
        <v>0.16564517438657864</v>
      </c>
      <c r="CI20" s="11">
        <f t="shared" si="71"/>
        <v>15.612735734326998</v>
      </c>
      <c r="CJ20" s="11">
        <f t="shared" si="72"/>
        <v>0.42809666907840693</v>
      </c>
      <c r="CK20" s="11">
        <f t="shared" si="73"/>
        <v>1.1915913272584846</v>
      </c>
      <c r="CL20" s="13">
        <f t="shared" si="74"/>
        <v>2.2330114349419006E-2</v>
      </c>
      <c r="CN20" s="32">
        <f t="shared" si="75"/>
        <v>15235</v>
      </c>
      <c r="CO20" s="12">
        <f t="shared" si="76"/>
        <v>0.58901469934670625</v>
      </c>
      <c r="CP20" s="12">
        <f t="shared" si="77"/>
        <v>0.41098530065329375</v>
      </c>
      <c r="CQ20" s="12">
        <f t="shared" si="78"/>
        <v>0.10220658304365848</v>
      </c>
      <c r="CR20" s="12">
        <f t="shared" si="79"/>
        <v>0.16564517438657864</v>
      </c>
      <c r="CS20" s="14">
        <f t="shared" si="80"/>
        <v>0.38726426567300432</v>
      </c>
      <c r="CT20" s="14">
        <f t="shared" si="81"/>
        <v>0.44709055994041691</v>
      </c>
      <c r="CU20" s="14">
        <f t="shared" si="82"/>
        <v>7.3355159389207336E-2</v>
      </c>
      <c r="CV20" s="12">
        <f t="shared" si="83"/>
        <v>0.91547978343608316</v>
      </c>
      <c r="CW20" s="2" t="str">
        <f t="shared" si="84"/>
        <v>26hHP04.9</v>
      </c>
      <c r="CY20" s="5">
        <f t="shared" si="85"/>
        <v>13.144660228698843</v>
      </c>
      <c r="CZ20" s="5">
        <f t="shared" si="86"/>
        <v>6.3451597095499332</v>
      </c>
      <c r="DA20" s="5">
        <f t="shared" si="87"/>
        <v>0.27223535697626372</v>
      </c>
      <c r="DB20" s="5">
        <f t="shared" si="88"/>
        <v>1.8451848925737995</v>
      </c>
      <c r="DC20" s="5">
        <f t="shared" si="89"/>
        <v>0</v>
      </c>
      <c r="DD20" s="5">
        <f t="shared" si="90"/>
        <v>1.6169106271678568</v>
      </c>
      <c r="DE20" s="5">
        <f t="shared" si="91"/>
        <v>2.8844175306413384</v>
      </c>
      <c r="DF20" s="5">
        <f t="shared" si="92"/>
        <v>1.82781991858047</v>
      </c>
      <c r="DG20" s="5">
        <f t="shared" si="93"/>
        <v>3.6091883090806527E-2</v>
      </c>
      <c r="DH20" s="5">
        <f t="shared" si="94"/>
        <v>0.59278265529751273</v>
      </c>
      <c r="DI20" s="5">
        <f t="shared" si="95"/>
        <v>0.16536113338523695</v>
      </c>
      <c r="DJ20" s="5">
        <f t="shared" si="96"/>
        <v>0</v>
      </c>
      <c r="DK20" s="5">
        <f t="shared" si="97"/>
        <v>1.7897650257931295E-2</v>
      </c>
      <c r="DL20" s="5">
        <f t="shared" si="98"/>
        <v>1.9600918563277157</v>
      </c>
      <c r="DM20" s="5">
        <f t="shared" si="99"/>
        <v>12.999999999999996</v>
      </c>
      <c r="DN20" s="5">
        <f t="shared" si="100"/>
        <v>14.992819597082555</v>
      </c>
      <c r="DO20" s="5">
        <f t="shared" si="101"/>
        <v>6.4188394629735113</v>
      </c>
      <c r="DP20" s="5">
        <f t="shared" si="102"/>
        <v>0.27539654359620047</v>
      </c>
      <c r="DQ20" s="5">
        <f t="shared" si="103"/>
        <v>1.8666111094271169</v>
      </c>
      <c r="DR20" s="5">
        <f t="shared" si="104"/>
        <v>0</v>
      </c>
      <c r="DS20" s="5">
        <f t="shared" si="105"/>
        <v>1.6356861319259774</v>
      </c>
      <c r="DT20" s="5">
        <f t="shared" si="106"/>
        <v>2.9179112773958042</v>
      </c>
      <c r="DU20" s="5">
        <f t="shared" si="107"/>
        <v>1.8490444940156667</v>
      </c>
      <c r="DV20" s="5">
        <f t="shared" si="108"/>
        <v>3.651098066572192E-2</v>
      </c>
      <c r="DW20" s="5">
        <f t="shared" si="109"/>
        <v>0.59966602496437216</v>
      </c>
      <c r="DX20" s="5">
        <f t="shared" si="110"/>
        <v>0.16728130058218396</v>
      </c>
      <c r="DY20" s="5">
        <f t="shared" si="111"/>
        <v>0</v>
      </c>
      <c r="DZ20" s="5">
        <f t="shared" si="112"/>
        <v>1.8105477092594115E-2</v>
      </c>
      <c r="EA20" s="5">
        <f t="shared" si="113"/>
        <v>1.9828523684775405</v>
      </c>
      <c r="EB20" s="5">
        <f t="shared" si="114"/>
        <v>15</v>
      </c>
      <c r="EC20" s="5">
        <f t="shared" si="115"/>
        <v>45.493758651469882</v>
      </c>
      <c r="ED20" s="1">
        <f t="shared" si="116"/>
        <v>6.3451597095499332</v>
      </c>
      <c r="EE20" s="5">
        <f t="shared" si="117"/>
        <v>0.27223535697626372</v>
      </c>
      <c r="EF20" s="5">
        <f t="shared" si="118"/>
        <v>1.8451848925737995</v>
      </c>
      <c r="EG20" s="5">
        <f t="shared" si="119"/>
        <v>0</v>
      </c>
      <c r="EH20" s="5">
        <f t="shared" si="120"/>
        <v>0.50624134853011782</v>
      </c>
      <c r="EI20" s="5">
        <f t="shared" si="121"/>
        <v>1.110669278637739</v>
      </c>
      <c r="EJ20" s="5">
        <f t="shared" si="122"/>
        <v>2.8844175306413384</v>
      </c>
      <c r="EK20" s="5">
        <f t="shared" si="123"/>
        <v>1.82781991858047</v>
      </c>
      <c r="EL20" s="5">
        <f t="shared" si="124"/>
        <v>3.6091883090806527E-2</v>
      </c>
      <c r="EM20" s="5">
        <f t="shared" si="125"/>
        <v>0.59278265529751273</v>
      </c>
      <c r="EN20" s="5">
        <f t="shared" si="126"/>
        <v>0.16536113338523695</v>
      </c>
      <c r="EO20" s="5">
        <f t="shared" si="127"/>
        <v>4.55471443293363</v>
      </c>
      <c r="EP20" s="5">
        <f t="shared" si="128"/>
        <v>8.9916292298935439</v>
      </c>
      <c r="EQ20" s="5">
        <f t="shared" si="129"/>
        <v>1.9904721147001687</v>
      </c>
      <c r="ER20" s="5">
        <f t="shared" si="130"/>
        <v>99.504415777527328</v>
      </c>
      <c r="ES20" s="5">
        <f t="shared" si="131"/>
        <v>6.3451597095499332</v>
      </c>
      <c r="ET20" s="5">
        <f t="shared" si="132"/>
        <v>1.6548402904500668</v>
      </c>
      <c r="EU20" s="5">
        <f t="shared" si="133"/>
        <v>0</v>
      </c>
      <c r="EV20" s="44">
        <f t="shared" si="134"/>
        <v>8</v>
      </c>
      <c r="EW20" s="5">
        <f t="shared" si="135"/>
        <v>0.19034460212373272</v>
      </c>
      <c r="EX20" s="5">
        <f t="shared" si="136"/>
        <v>0.27223535697626372</v>
      </c>
      <c r="EY20" s="5">
        <f t="shared" si="137"/>
        <v>0</v>
      </c>
      <c r="EZ20" s="5">
        <f t="shared" si="138"/>
        <v>0.50624134853011782</v>
      </c>
      <c r="FA20" s="5">
        <f t="shared" si="139"/>
        <v>2.8844175306413384</v>
      </c>
      <c r="FB20" s="5">
        <f t="shared" si="140"/>
        <v>1.110669278637739</v>
      </c>
      <c r="FC20" s="5">
        <f t="shared" si="141"/>
        <v>3.6091883090806527E-2</v>
      </c>
      <c r="FD20" s="44">
        <f t="shared" si="142"/>
        <v>4.9999999999999982</v>
      </c>
      <c r="FE20" s="5">
        <f t="shared" si="143"/>
        <v>0</v>
      </c>
      <c r="FF20" s="5">
        <f t="shared" si="144"/>
        <v>1.82781991858047</v>
      </c>
      <c r="FG20" s="5">
        <f t="shared" si="145"/>
        <v>0.17218008141953001</v>
      </c>
      <c r="FH20" s="44">
        <f t="shared" si="146"/>
        <v>2</v>
      </c>
      <c r="FI20" s="5">
        <f t="shared" si="147"/>
        <v>0.42060257387798272</v>
      </c>
      <c r="FJ20" s="5">
        <f t="shared" si="148"/>
        <v>0.16536113338523695</v>
      </c>
      <c r="FK20" s="44">
        <f t="shared" si="149"/>
        <v>0.58596370726321967</v>
      </c>
      <c r="FL20" s="1" t="str">
        <f t="shared" si="150"/>
        <v>Pass</v>
      </c>
      <c r="FM20" s="5">
        <f t="shared" si="151"/>
        <v>0.10315746833274041</v>
      </c>
      <c r="FN20" s="1" t="str">
        <f t="shared" si="152"/>
        <v>Mg-Hst</v>
      </c>
      <c r="FO20" s="5">
        <f t="shared" si="153"/>
        <v>7.3628086601743314</v>
      </c>
      <c r="FP20" s="5">
        <f t="shared" si="154"/>
        <v>1.8451848925737995</v>
      </c>
      <c r="FQ20" s="5">
        <f t="shared" si="155"/>
        <v>2.7967543631639069</v>
      </c>
      <c r="FR20" s="5">
        <f t="shared" si="156"/>
        <v>-1.3847230099263961</v>
      </c>
      <c r="FS20" s="1" t="str">
        <f t="shared" si="157"/>
        <v>YES</v>
      </c>
      <c r="FT20" s="32">
        <f t="shared" si="158"/>
        <v>925.63020449617102</v>
      </c>
      <c r="FU20" s="32">
        <f t="shared" si="159"/>
        <v>272.80432903114621</v>
      </c>
      <c r="FV20" s="46">
        <f t="shared" si="160"/>
        <v>0.58786417304146266</v>
      </c>
      <c r="FW20" s="47">
        <f t="shared" si="161"/>
        <v>-10.824095786153567</v>
      </c>
      <c r="FX20" s="46">
        <f t="shared" si="162"/>
        <v>5.058669503233844</v>
      </c>
      <c r="FY20" s="50">
        <f t="shared" si="163"/>
        <v>337.56808258034482</v>
      </c>
      <c r="FZ20" s="32">
        <f t="shared" si="164"/>
        <v>262.45822651517028</v>
      </c>
      <c r="GA20" s="32">
        <f t="shared" si="165"/>
        <v>319.71185615869882</v>
      </c>
      <c r="GB20" s="32">
        <f t="shared" si="166"/>
        <v>275.41566666298746</v>
      </c>
      <c r="GC20" s="32">
        <f t="shared" si="167"/>
        <v>631.35038338123229</v>
      </c>
      <c r="GD20" s="32">
        <f t="shared" si="168"/>
        <v>12.957440147817181</v>
      </c>
      <c r="GE20" s="4">
        <f t="shared" si="169"/>
        <v>-0.87029051607971297</v>
      </c>
      <c r="GF20" s="32">
        <f t="shared" si="170"/>
        <v>262.45822651517028</v>
      </c>
      <c r="GG20" s="1">
        <f t="shared" si="171"/>
        <v>250.08584303961464</v>
      </c>
      <c r="GH20" s="32">
        <f t="shared" si="172"/>
        <v>300.01315454775755</v>
      </c>
      <c r="GI20" s="32">
        <f t="shared" si="173"/>
        <v>906.38256115025433</v>
      </c>
      <c r="GJ20" s="46">
        <f t="shared" si="174"/>
        <v>1.9131935433024121</v>
      </c>
      <c r="GK20" s="46">
        <f t="shared" si="175"/>
        <v>69.002146981395015</v>
      </c>
      <c r="GL20" s="46">
        <f t="shared" si="176"/>
        <v>0.34714136780557658</v>
      </c>
      <c r="GM20" s="46">
        <f t="shared" si="177"/>
        <v>16.163352179497373</v>
      </c>
      <c r="GN20" s="46">
        <f t="shared" si="178"/>
        <v>2.2542501323764728</v>
      </c>
      <c r="GO20" s="46">
        <f t="shared" si="179"/>
        <v>0.8709552741540787</v>
      </c>
      <c r="GP20" s="46">
        <f t="shared" si="180"/>
        <v>1.8680386304450618</v>
      </c>
      <c r="GQ20" s="46">
        <f t="shared" si="181"/>
        <v>4.1548884508719146</v>
      </c>
      <c r="GR20" s="46">
        <f t="shared" si="182"/>
        <v>5.8240109868325867</v>
      </c>
      <c r="GS20" s="46">
        <f t="shared" si="183"/>
        <v>100.48478400337808</v>
      </c>
      <c r="GU20" s="32">
        <f t="shared" si="184"/>
        <v>15235</v>
      </c>
      <c r="GV20" s="32">
        <f t="shared" si="185"/>
        <v>272.80432903114621</v>
      </c>
      <c r="GW20" s="32">
        <f t="shared" si="186"/>
        <v>925.63020449617102</v>
      </c>
      <c r="GX20" s="32">
        <f t="shared" si="187"/>
        <v>300.01315454775755</v>
      </c>
      <c r="GY20" s="32">
        <f t="shared" si="188"/>
        <v>906.38256115025433</v>
      </c>
    </row>
    <row r="21" spans="1:207">
      <c r="A21" s="35">
        <v>15236</v>
      </c>
      <c r="B21" s="2" t="s">
        <v>142</v>
      </c>
      <c r="C21" s="36">
        <v>43.21</v>
      </c>
      <c r="D21" s="36">
        <v>2.2599999999999998</v>
      </c>
      <c r="E21" s="36">
        <v>10.58</v>
      </c>
      <c r="F21" s="36"/>
      <c r="G21" s="36">
        <v>13.4</v>
      </c>
      <c r="H21" s="36">
        <v>13.28</v>
      </c>
      <c r="I21" s="36">
        <v>11.4</v>
      </c>
      <c r="J21" s="36">
        <v>0.33929999999999999</v>
      </c>
      <c r="K21" s="36">
        <v>2.0499999999999998</v>
      </c>
      <c r="L21" s="36">
        <v>0.86099999999999999</v>
      </c>
      <c r="M21" s="36"/>
      <c r="N21" s="36">
        <v>5.9900000000000002E-2</v>
      </c>
      <c r="O21" s="4">
        <f t="shared" si="0"/>
        <v>97.440200000000004</v>
      </c>
      <c r="P21" s="5">
        <f t="shared" si="1"/>
        <v>0.71915625213242063</v>
      </c>
      <c r="Q21" s="5">
        <f t="shared" si="2"/>
        <v>2.8297469004254637E-2</v>
      </c>
      <c r="R21" s="5">
        <f t="shared" si="3"/>
        <v>0.10376488422918521</v>
      </c>
      <c r="S21" s="5">
        <f t="shared" si="4"/>
        <v>0</v>
      </c>
      <c r="T21" s="5">
        <f t="shared" si="5"/>
        <v>0.18651418899733316</v>
      </c>
      <c r="U21" s="5">
        <f t="shared" si="6"/>
        <v>0.32949256160617696</v>
      </c>
      <c r="V21" s="5">
        <f t="shared" si="7"/>
        <v>0.20329045212509853</v>
      </c>
      <c r="W21" s="5">
        <f t="shared" si="8"/>
        <v>4.7830871392062603E-3</v>
      </c>
      <c r="X21" s="5">
        <f t="shared" si="9"/>
        <v>3.307575121484814E-2</v>
      </c>
      <c r="Y21" s="5">
        <f t="shared" si="10"/>
        <v>9.1405155208289096E-3</v>
      </c>
      <c r="Z21" s="5">
        <f t="shared" si="11"/>
        <v>0</v>
      </c>
      <c r="AA21" s="5">
        <f t="shared" si="12"/>
        <v>1.6895751240385078E-3</v>
      </c>
      <c r="AB21" s="5">
        <f t="shared" si="13"/>
        <v>1.4383125042648413</v>
      </c>
      <c r="AC21" s="5">
        <f t="shared" si="14"/>
        <v>5.6594938008509274E-2</v>
      </c>
      <c r="AD21" s="5">
        <f t="shared" si="15"/>
        <v>0.31129465268755563</v>
      </c>
      <c r="AE21" s="5">
        <f t="shared" si="16"/>
        <v>0</v>
      </c>
      <c r="AF21" s="5">
        <f t="shared" si="17"/>
        <v>0.18651418899733316</v>
      </c>
      <c r="AG21" s="5">
        <f t="shared" si="18"/>
        <v>0.32949256160617696</v>
      </c>
      <c r="AH21" s="5">
        <f t="shared" si="19"/>
        <v>0.20329045212509853</v>
      </c>
      <c r="AI21" s="5">
        <f t="shared" si="20"/>
        <v>4.7830871392062603E-3</v>
      </c>
      <c r="AJ21" s="5">
        <f t="shared" si="21"/>
        <v>3.307575121484814E-2</v>
      </c>
      <c r="AK21" s="5">
        <f t="shared" si="22"/>
        <v>9.1405155208289096E-3</v>
      </c>
      <c r="AL21" s="5">
        <f t="shared" si="23"/>
        <v>2.5724986515643984</v>
      </c>
      <c r="AM21" s="4">
        <f t="shared" si="24"/>
        <v>12.859554883721273</v>
      </c>
      <c r="AN21" s="4">
        <f t="shared" si="25"/>
        <v>0.50599971098298857</v>
      </c>
      <c r="AO21" s="4">
        <f t="shared" si="26"/>
        <v>2.7831995198363844</v>
      </c>
      <c r="AP21" s="4">
        <f t="shared" si="27"/>
        <v>0</v>
      </c>
      <c r="AQ21" s="4">
        <f t="shared" si="28"/>
        <v>1.6675718544419511</v>
      </c>
      <c r="AR21" s="4">
        <f t="shared" si="29"/>
        <v>2.9459019977847238</v>
      </c>
      <c r="AS21" s="4">
        <f t="shared" si="30"/>
        <v>1.8175637899883339</v>
      </c>
      <c r="AT21" s="4">
        <f t="shared" si="31"/>
        <v>4.2764261172632163E-2</v>
      </c>
      <c r="AU21" s="4">
        <f t="shared" si="32"/>
        <v>0.29572115712437069</v>
      </c>
      <c r="AV21" s="4">
        <f t="shared" si="33"/>
        <v>8.1722824947339776E-2</v>
      </c>
      <c r="AW21" s="4">
        <f t="shared" si="34"/>
        <v>22.999999999999996</v>
      </c>
      <c r="AX21" s="5">
        <f t="shared" si="35"/>
        <v>6.4297774418606366</v>
      </c>
      <c r="AY21" s="5">
        <f t="shared" si="36"/>
        <v>0.25299985549149429</v>
      </c>
      <c r="AZ21" s="5">
        <f t="shared" si="37"/>
        <v>1.8554663465575896</v>
      </c>
      <c r="BA21" s="5">
        <f t="shared" si="38"/>
        <v>0</v>
      </c>
      <c r="BB21" s="5">
        <f t="shared" si="39"/>
        <v>1.6675718544419511</v>
      </c>
      <c r="BC21" s="5">
        <f t="shared" si="40"/>
        <v>2.9459019977847238</v>
      </c>
      <c r="BD21" s="5">
        <f t="shared" si="41"/>
        <v>1.8175637899883339</v>
      </c>
      <c r="BE21" s="5">
        <f t="shared" si="42"/>
        <v>4.2764261172632163E-2</v>
      </c>
      <c r="BF21" s="5">
        <f t="shared" si="43"/>
        <v>0.59144231424874139</v>
      </c>
      <c r="BG21" s="5">
        <f t="shared" si="44"/>
        <v>0.16344564989467955</v>
      </c>
      <c r="BH21" s="5">
        <f t="shared" si="45"/>
        <v>0</v>
      </c>
      <c r="BI21" s="5">
        <f t="shared" si="46"/>
        <v>1.5106024576243738E-2</v>
      </c>
      <c r="BJ21" s="5">
        <f t="shared" si="47"/>
        <v>1.9848939754237562</v>
      </c>
      <c r="BK21" s="5">
        <f t="shared" si="48"/>
        <v>15.766933511440781</v>
      </c>
      <c r="BL21" s="11">
        <f t="shared" si="49"/>
        <v>1</v>
      </c>
      <c r="BM21" s="11">
        <f t="shared" si="50"/>
        <v>1</v>
      </c>
      <c r="BN21" s="11">
        <f t="shared" si="51"/>
        <v>0.99919760786367129</v>
      </c>
      <c r="BO21" s="11">
        <f t="shared" si="52"/>
        <v>1</v>
      </c>
      <c r="BP21" s="11">
        <f>1</f>
        <v>1</v>
      </c>
      <c r="BQ21" s="11">
        <f t="shared" si="53"/>
        <v>0.96557207057480154</v>
      </c>
      <c r="BR21" s="11">
        <f t="shared" si="54"/>
        <v>0.96132352798931819</v>
      </c>
      <c r="BS21" s="11">
        <f t="shared" si="55"/>
        <v>0.97768144571908644</v>
      </c>
      <c r="BT21" s="11">
        <f t="shared" si="56"/>
        <v>0.66008726344490765</v>
      </c>
      <c r="BU21" s="11">
        <f t="shared" si="57"/>
        <v>0.96374843794691412</v>
      </c>
      <c r="BV21" s="5">
        <f t="shared" si="58"/>
        <v>0.99919760786367129</v>
      </c>
      <c r="BW21" s="11">
        <f t="shared" si="59"/>
        <v>0.97768144571908644</v>
      </c>
      <c r="BX21" s="11">
        <f t="shared" si="60"/>
        <v>0.98843952679137881</v>
      </c>
      <c r="BY21" s="11">
        <f t="shared" si="61"/>
        <v>6.3554461720066096</v>
      </c>
      <c r="BZ21" s="11">
        <f t="shared" si="62"/>
        <v>0.25007505744029984</v>
      </c>
      <c r="CA21" s="11">
        <f t="shared" si="63"/>
        <v>1.8340162775687123</v>
      </c>
      <c r="CB21" s="11">
        <f t="shared" si="64"/>
        <v>0</v>
      </c>
      <c r="CC21" s="11">
        <f t="shared" si="65"/>
        <v>1.6482939346952241</v>
      </c>
      <c r="CD21" s="11">
        <f t="shared" si="66"/>
        <v>2.91184597666411</v>
      </c>
      <c r="CE21" s="11">
        <f t="shared" si="67"/>
        <v>1.7965518924892139</v>
      </c>
      <c r="CF21" s="11">
        <f t="shared" si="68"/>
        <v>4.2269886077059469E-2</v>
      </c>
      <c r="CG21" s="11">
        <f t="shared" si="69"/>
        <v>0.58460496122042394</v>
      </c>
      <c r="CH21" s="11">
        <f t="shared" si="70"/>
        <v>0.16155614083800643</v>
      </c>
      <c r="CI21" s="11">
        <f t="shared" si="71"/>
        <v>15.584660298999658</v>
      </c>
      <c r="CJ21" s="11">
        <f t="shared" si="72"/>
        <v>0.53178176759657481</v>
      </c>
      <c r="CK21" s="11">
        <f t="shared" si="73"/>
        <v>1.1165121670986493</v>
      </c>
      <c r="CL21" s="13">
        <f t="shared" si="74"/>
        <v>4.1947304452015999E-2</v>
      </c>
      <c r="CN21" s="32">
        <f t="shared" si="75"/>
        <v>15236</v>
      </c>
      <c r="CO21" s="12">
        <f t="shared" si="76"/>
        <v>0.58886154300165239</v>
      </c>
      <c r="CP21" s="12">
        <f t="shared" si="77"/>
        <v>0.41113845699834761</v>
      </c>
      <c r="CQ21" s="12">
        <f t="shared" si="78"/>
        <v>9.4731224787660828E-2</v>
      </c>
      <c r="CR21" s="12">
        <f t="shared" si="79"/>
        <v>0.16155614083800643</v>
      </c>
      <c r="CS21" s="14">
        <f t="shared" si="80"/>
        <v>0.41533970100033979</v>
      </c>
      <c r="CT21" s="14">
        <f t="shared" si="81"/>
        <v>0.42310415816165392</v>
      </c>
      <c r="CU21" s="14">
        <f t="shared" si="82"/>
        <v>8.0750401529385063E-2</v>
      </c>
      <c r="CV21" s="12">
        <f t="shared" si="83"/>
        <v>0.89827594624460694</v>
      </c>
      <c r="CW21" s="2" t="str">
        <f t="shared" si="84"/>
        <v>26hHP04.10</v>
      </c>
      <c r="CY21" s="5">
        <f t="shared" si="85"/>
        <v>13.194481757309026</v>
      </c>
      <c r="CZ21" s="5">
        <f t="shared" si="86"/>
        <v>6.3350049120258598</v>
      </c>
      <c r="DA21" s="5">
        <f t="shared" si="87"/>
        <v>0.24927073165018396</v>
      </c>
      <c r="DB21" s="5">
        <f t="shared" si="88"/>
        <v>1.8281174622024778</v>
      </c>
      <c r="DC21" s="5">
        <f t="shared" si="89"/>
        <v>0</v>
      </c>
      <c r="DD21" s="5">
        <f t="shared" si="90"/>
        <v>1.6429924650687162</v>
      </c>
      <c r="DE21" s="5">
        <f t="shared" si="91"/>
        <v>2.9024804971962697</v>
      </c>
      <c r="DF21" s="5">
        <f t="shared" si="92"/>
        <v>1.7907735752303822</v>
      </c>
      <c r="DG21" s="5">
        <f t="shared" si="93"/>
        <v>4.2133931856494486E-2</v>
      </c>
      <c r="DH21" s="5">
        <f t="shared" si="94"/>
        <v>0.5827246743491451</v>
      </c>
      <c r="DI21" s="5">
        <f t="shared" si="95"/>
        <v>0.16103652176060754</v>
      </c>
      <c r="DJ21" s="5">
        <f t="shared" si="96"/>
        <v>0</v>
      </c>
      <c r="DK21" s="5">
        <f t="shared" si="97"/>
        <v>1.4883367388217857E-2</v>
      </c>
      <c r="DL21" s="5">
        <f t="shared" si="98"/>
        <v>1.9556373759215686</v>
      </c>
      <c r="DM21" s="5">
        <f t="shared" si="99"/>
        <v>13</v>
      </c>
      <c r="DN21" s="5">
        <f t="shared" si="100"/>
        <v>15.01204554729736</v>
      </c>
      <c r="DO21" s="5">
        <f t="shared" si="101"/>
        <v>6.4246182390029443</v>
      </c>
      <c r="DP21" s="5">
        <f t="shared" si="102"/>
        <v>0.2527968503969556</v>
      </c>
      <c r="DQ21" s="5">
        <f t="shared" si="103"/>
        <v>1.853977534951889</v>
      </c>
      <c r="DR21" s="5">
        <f t="shared" si="104"/>
        <v>0</v>
      </c>
      <c r="DS21" s="5">
        <f t="shared" si="105"/>
        <v>1.6662338078991836</v>
      </c>
      <c r="DT21" s="5">
        <f t="shared" si="106"/>
        <v>2.9435382291873062</v>
      </c>
      <c r="DU21" s="5">
        <f t="shared" si="107"/>
        <v>1.8161053910959715</v>
      </c>
      <c r="DV21" s="5">
        <f t="shared" si="108"/>
        <v>4.2729947465751331E-2</v>
      </c>
      <c r="DW21" s="5">
        <f t="shared" si="109"/>
        <v>0.59096774558669618</v>
      </c>
      <c r="DX21" s="5">
        <f t="shared" si="110"/>
        <v>0.16331450239048692</v>
      </c>
      <c r="DY21" s="5">
        <f t="shared" si="111"/>
        <v>0</v>
      </c>
      <c r="DZ21" s="5">
        <f t="shared" si="112"/>
        <v>1.509390362091257E-2</v>
      </c>
      <c r="EA21" s="5">
        <f t="shared" si="113"/>
        <v>1.98330131210643</v>
      </c>
      <c r="EB21" s="5">
        <f t="shared" si="114"/>
        <v>15.000000000000002</v>
      </c>
      <c r="EC21" s="5">
        <f t="shared" si="115"/>
        <v>45.321977096125082</v>
      </c>
      <c r="ED21" s="1">
        <f t="shared" si="116"/>
        <v>6.3350049120258598</v>
      </c>
      <c r="EE21" s="5">
        <f t="shared" si="117"/>
        <v>0.24927073165018396</v>
      </c>
      <c r="EF21" s="5">
        <f t="shared" si="118"/>
        <v>1.8281174622024778</v>
      </c>
      <c r="EG21" s="5">
        <f t="shared" si="119"/>
        <v>0</v>
      </c>
      <c r="EH21" s="5">
        <f t="shared" si="120"/>
        <v>0.67802290387491837</v>
      </c>
      <c r="EI21" s="5">
        <f t="shared" si="121"/>
        <v>0.96496956119379784</v>
      </c>
      <c r="EJ21" s="5">
        <f t="shared" si="122"/>
        <v>2.9024804971962697</v>
      </c>
      <c r="EK21" s="5">
        <f t="shared" si="123"/>
        <v>1.7907735752303822</v>
      </c>
      <c r="EL21" s="5">
        <f t="shared" si="124"/>
        <v>4.2133931856494486E-2</v>
      </c>
      <c r="EM21" s="5">
        <f t="shared" si="125"/>
        <v>0.5827246743491451</v>
      </c>
      <c r="EN21" s="5">
        <f t="shared" si="126"/>
        <v>0.16103652176060754</v>
      </c>
      <c r="EO21" s="5">
        <f t="shared" si="127"/>
        <v>6.14558881104593</v>
      </c>
      <c r="EP21" s="5">
        <f t="shared" si="128"/>
        <v>7.8701469391438055</v>
      </c>
      <c r="EQ21" s="5">
        <f t="shared" si="129"/>
        <v>1.9981451801992691</v>
      </c>
      <c r="ER21" s="5">
        <f t="shared" si="130"/>
        <v>100.05408093038901</v>
      </c>
      <c r="ES21" s="5">
        <f t="shared" si="131"/>
        <v>6.3350049120258598</v>
      </c>
      <c r="ET21" s="5">
        <f t="shared" si="132"/>
        <v>1.6649950879741402</v>
      </c>
      <c r="EU21" s="5">
        <f t="shared" si="133"/>
        <v>0</v>
      </c>
      <c r="EV21" s="44">
        <f t="shared" si="134"/>
        <v>8</v>
      </c>
      <c r="EW21" s="5">
        <f t="shared" si="135"/>
        <v>0.16312237422833764</v>
      </c>
      <c r="EX21" s="5">
        <f t="shared" si="136"/>
        <v>0.24927073165018396</v>
      </c>
      <c r="EY21" s="5">
        <f t="shared" si="137"/>
        <v>0</v>
      </c>
      <c r="EZ21" s="5">
        <f t="shared" si="138"/>
        <v>0.67802290387491837</v>
      </c>
      <c r="FA21" s="5">
        <f t="shared" si="139"/>
        <v>2.9024804971962697</v>
      </c>
      <c r="FB21" s="5">
        <f t="shared" si="140"/>
        <v>0.96496956119379784</v>
      </c>
      <c r="FC21" s="5">
        <f t="shared" si="141"/>
        <v>4.2133931856494486E-2</v>
      </c>
      <c r="FD21" s="44">
        <f t="shared" si="142"/>
        <v>5.0000000000000027</v>
      </c>
      <c r="FE21" s="5">
        <f t="shared" si="143"/>
        <v>0</v>
      </c>
      <c r="FF21" s="5">
        <f t="shared" si="144"/>
        <v>1.7907735752303822</v>
      </c>
      <c r="FG21" s="5">
        <f t="shared" si="145"/>
        <v>0.20922642476961784</v>
      </c>
      <c r="FH21" s="44">
        <f t="shared" si="146"/>
        <v>2</v>
      </c>
      <c r="FI21" s="5">
        <f t="shared" si="147"/>
        <v>0.37349824957952726</v>
      </c>
      <c r="FJ21" s="5">
        <f t="shared" si="148"/>
        <v>0.16103652176060754</v>
      </c>
      <c r="FK21" s="44">
        <f t="shared" si="149"/>
        <v>0.53453477134013483</v>
      </c>
      <c r="FL21" s="1" t="str">
        <f t="shared" si="150"/>
        <v>Pass</v>
      </c>
      <c r="FM21" s="5">
        <f t="shared" si="151"/>
        <v>8.9229700826669645E-2</v>
      </c>
      <c r="FN21" s="1" t="str">
        <f t="shared" si="152"/>
        <v>Mg-Hst</v>
      </c>
      <c r="FO21" s="5">
        <f t="shared" si="153"/>
        <v>7.4019188414498878</v>
      </c>
      <c r="FP21" s="5">
        <f t="shared" si="154"/>
        <v>1.8281174622024778</v>
      </c>
      <c r="FQ21" s="5">
        <f t="shared" si="155"/>
        <v>2.8899771084019581</v>
      </c>
      <c r="FR21" s="5">
        <f t="shared" si="156"/>
        <v>-1.3880037505012564</v>
      </c>
      <c r="FS21" s="1" t="str">
        <f t="shared" si="157"/>
        <v>YES</v>
      </c>
      <c r="FT21" s="32">
        <f t="shared" si="158"/>
        <v>919.70552046528087</v>
      </c>
      <c r="FU21" s="32">
        <f t="shared" si="159"/>
        <v>266.19039671299032</v>
      </c>
      <c r="FV21" s="46">
        <f t="shared" si="160"/>
        <v>0.74112236621281902</v>
      </c>
      <c r="FW21" s="47">
        <f t="shared" si="161"/>
        <v>-10.773991080868624</v>
      </c>
      <c r="FX21" s="46">
        <f t="shared" si="162"/>
        <v>5.0415604411359478</v>
      </c>
      <c r="FY21" s="50">
        <f t="shared" si="163"/>
        <v>371.41185053428836</v>
      </c>
      <c r="FZ21" s="32">
        <f t="shared" si="164"/>
        <v>265.92124504712382</v>
      </c>
      <c r="GA21" s="32">
        <f t="shared" si="165"/>
        <v>329.55588274602746</v>
      </c>
      <c r="GB21" s="32">
        <f t="shared" si="166"/>
        <v>282.0386060925324</v>
      </c>
      <c r="GC21" s="32">
        <f t="shared" si="167"/>
        <v>594.18098941659321</v>
      </c>
      <c r="GD21" s="32">
        <f t="shared" si="168"/>
        <v>16.117361045408586</v>
      </c>
      <c r="GE21" s="4">
        <f t="shared" si="169"/>
        <v>-0.59979006744627017</v>
      </c>
      <c r="GF21" s="32">
        <f t="shared" si="170"/>
        <v>265.92124504712382</v>
      </c>
      <c r="GG21" s="1">
        <f t="shared" si="171"/>
        <v>287.96372995472393</v>
      </c>
      <c r="GH21" s="32">
        <f t="shared" si="172"/>
        <v>318.66654779070609</v>
      </c>
      <c r="GI21" s="32">
        <f t="shared" si="173"/>
        <v>915.44493802705642</v>
      </c>
      <c r="GJ21" s="46">
        <f t="shared" si="174"/>
        <v>2.0787868438612618</v>
      </c>
      <c r="GK21" s="46">
        <f t="shared" si="175"/>
        <v>69.606586160987305</v>
      </c>
      <c r="GL21" s="46">
        <f t="shared" si="176"/>
        <v>0.30329894536858282</v>
      </c>
      <c r="GM21" s="46">
        <f t="shared" si="177"/>
        <v>16.103751311574232</v>
      </c>
      <c r="GN21" s="46">
        <f t="shared" si="178"/>
        <v>2.1182832288446134</v>
      </c>
      <c r="GO21" s="46">
        <f t="shared" si="179"/>
        <v>0.76068814751185609</v>
      </c>
      <c r="GP21" s="46">
        <f t="shared" si="180"/>
        <v>1.3740645673721801</v>
      </c>
      <c r="GQ21" s="46">
        <f t="shared" si="181"/>
        <v>4.2413781613855832</v>
      </c>
      <c r="GR21" s="46">
        <f t="shared" si="182"/>
        <v>5.8666507008865745</v>
      </c>
      <c r="GS21" s="46">
        <f t="shared" si="183"/>
        <v>100.37470122393094</v>
      </c>
      <c r="GU21" s="32">
        <f t="shared" si="184"/>
        <v>15236</v>
      </c>
      <c r="GV21" s="32">
        <f t="shared" si="185"/>
        <v>266.19039671299032</v>
      </c>
      <c r="GW21" s="32">
        <f t="shared" si="186"/>
        <v>919.70552046528087</v>
      </c>
      <c r="GX21" s="32">
        <f t="shared" si="187"/>
        <v>318.66654779070609</v>
      </c>
      <c r="GY21" s="32">
        <f t="shared" si="188"/>
        <v>915.44493802705642</v>
      </c>
    </row>
    <row r="22" spans="1:207">
      <c r="A22" s="35">
        <v>15237</v>
      </c>
      <c r="B22" s="2" t="s">
        <v>169</v>
      </c>
      <c r="C22" s="36">
        <v>43.6</v>
      </c>
      <c r="D22" s="36">
        <v>2.5099999999999998</v>
      </c>
      <c r="E22" s="36">
        <v>10.45</v>
      </c>
      <c r="F22" s="36"/>
      <c r="G22" s="36">
        <v>12.27</v>
      </c>
      <c r="H22" s="36">
        <v>13.72</v>
      </c>
      <c r="I22" s="36">
        <v>11.54</v>
      </c>
      <c r="J22" s="36">
        <v>0.21060000000000001</v>
      </c>
      <c r="K22" s="36">
        <v>2.15</v>
      </c>
      <c r="L22" s="36">
        <v>0.89439999999999997</v>
      </c>
      <c r="M22" s="36"/>
      <c r="N22" s="36">
        <v>5.1400000000000001E-2</v>
      </c>
      <c r="O22" s="4">
        <f t="shared" si="0"/>
        <v>97.396400000000014</v>
      </c>
      <c r="P22" s="5">
        <f t="shared" si="1"/>
        <v>0.72564713244558066</v>
      </c>
      <c r="Q22" s="5">
        <f t="shared" si="2"/>
        <v>3.1427720000300502E-2</v>
      </c>
      <c r="R22" s="5">
        <f t="shared" si="3"/>
        <v>0.10248989037759786</v>
      </c>
      <c r="S22" s="5">
        <f t="shared" si="4"/>
        <v>0</v>
      </c>
      <c r="T22" s="5">
        <f t="shared" si="5"/>
        <v>0.17078575365651325</v>
      </c>
      <c r="U22" s="5">
        <f t="shared" si="6"/>
        <v>0.3404094838280684</v>
      </c>
      <c r="V22" s="5">
        <f t="shared" si="7"/>
        <v>0.20578700153716112</v>
      </c>
      <c r="W22" s="5">
        <f t="shared" si="8"/>
        <v>2.9688127070935412E-3</v>
      </c>
      <c r="X22" s="5">
        <f t="shared" si="9"/>
        <v>3.4689202493621216E-2</v>
      </c>
      <c r="Y22" s="5">
        <f t="shared" si="10"/>
        <v>9.4950953331351656E-3</v>
      </c>
      <c r="Z22" s="5">
        <f t="shared" si="11"/>
        <v>0</v>
      </c>
      <c r="AA22" s="5">
        <f t="shared" si="12"/>
        <v>1.4498190546841285E-3</v>
      </c>
      <c r="AB22" s="5">
        <f t="shared" si="13"/>
        <v>1.4512942648911613</v>
      </c>
      <c r="AC22" s="5">
        <f t="shared" si="14"/>
        <v>6.2855440000601004E-2</v>
      </c>
      <c r="AD22" s="5">
        <f t="shared" si="15"/>
        <v>0.30746967113279355</v>
      </c>
      <c r="AE22" s="5">
        <f t="shared" si="16"/>
        <v>0</v>
      </c>
      <c r="AF22" s="5">
        <f t="shared" si="17"/>
        <v>0.17078575365651325</v>
      </c>
      <c r="AG22" s="5">
        <f t="shared" si="18"/>
        <v>0.3404094838280684</v>
      </c>
      <c r="AH22" s="5">
        <f t="shared" si="19"/>
        <v>0.20578700153716112</v>
      </c>
      <c r="AI22" s="5">
        <f t="shared" si="20"/>
        <v>2.9688127070935412E-3</v>
      </c>
      <c r="AJ22" s="5">
        <f t="shared" si="21"/>
        <v>3.4689202493621216E-2</v>
      </c>
      <c r="AK22" s="5">
        <f t="shared" si="22"/>
        <v>9.4950953331351656E-3</v>
      </c>
      <c r="AL22" s="5">
        <f t="shared" si="23"/>
        <v>2.5857547255801481</v>
      </c>
      <c r="AM22" s="4">
        <f t="shared" si="24"/>
        <v>12.909100682396518</v>
      </c>
      <c r="AN22" s="4">
        <f t="shared" si="25"/>
        <v>0.55909213109509714</v>
      </c>
      <c r="AO22" s="4">
        <f t="shared" si="26"/>
        <v>2.734908445141718</v>
      </c>
      <c r="AP22" s="4">
        <f t="shared" si="27"/>
        <v>0</v>
      </c>
      <c r="AQ22" s="4">
        <f t="shared" si="28"/>
        <v>1.5191202379871858</v>
      </c>
      <c r="AR22" s="4">
        <f t="shared" si="29"/>
        <v>3.0279044066288772</v>
      </c>
      <c r="AS22" s="4">
        <f t="shared" si="30"/>
        <v>1.8304524356202314</v>
      </c>
      <c r="AT22" s="4">
        <f t="shared" si="31"/>
        <v>2.6407258038687847E-2</v>
      </c>
      <c r="AU22" s="4">
        <f t="shared" si="32"/>
        <v>0.30855658870517177</v>
      </c>
      <c r="AV22" s="4">
        <f t="shared" si="33"/>
        <v>8.4457814386517574E-2</v>
      </c>
      <c r="AW22" s="4">
        <f t="shared" si="34"/>
        <v>23.000000000000004</v>
      </c>
      <c r="AX22" s="5">
        <f t="shared" si="35"/>
        <v>6.4545503411982592</v>
      </c>
      <c r="AY22" s="5">
        <f t="shared" si="36"/>
        <v>0.27954606554754857</v>
      </c>
      <c r="AZ22" s="5">
        <f t="shared" si="37"/>
        <v>1.8232722967611454</v>
      </c>
      <c r="BA22" s="5">
        <f t="shared" si="38"/>
        <v>0</v>
      </c>
      <c r="BB22" s="5">
        <f t="shared" si="39"/>
        <v>1.5191202379871858</v>
      </c>
      <c r="BC22" s="5">
        <f t="shared" si="40"/>
        <v>3.0279044066288772</v>
      </c>
      <c r="BD22" s="5">
        <f t="shared" si="41"/>
        <v>1.8304524356202314</v>
      </c>
      <c r="BE22" s="5">
        <f t="shared" si="42"/>
        <v>2.6407258038687847E-2</v>
      </c>
      <c r="BF22" s="5">
        <f t="shared" si="43"/>
        <v>0.61711317741034355</v>
      </c>
      <c r="BG22" s="5">
        <f t="shared" si="44"/>
        <v>0.16891562877303515</v>
      </c>
      <c r="BH22" s="5">
        <f t="shared" si="45"/>
        <v>0</v>
      </c>
      <c r="BI22" s="5">
        <f t="shared" si="46"/>
        <v>1.2895978852075144E-2</v>
      </c>
      <c r="BJ22" s="5">
        <f t="shared" si="47"/>
        <v>1.9871040211479249</v>
      </c>
      <c r="BK22" s="5">
        <f t="shared" si="48"/>
        <v>15.747281847965315</v>
      </c>
      <c r="BL22" s="11">
        <f t="shared" si="49"/>
        <v>1</v>
      </c>
      <c r="BM22" s="11">
        <f t="shared" si="50"/>
        <v>1</v>
      </c>
      <c r="BN22" s="11">
        <f t="shared" si="51"/>
        <v>1</v>
      </c>
      <c r="BO22" s="11">
        <f t="shared" si="52"/>
        <v>1</v>
      </c>
      <c r="BP22" s="11">
        <f>1</f>
        <v>1</v>
      </c>
      <c r="BQ22" s="11">
        <f t="shared" si="53"/>
        <v>0.9664377155551267</v>
      </c>
      <c r="BR22" s="11">
        <f t="shared" si="54"/>
        <v>0.96287375639688444</v>
      </c>
      <c r="BS22" s="11">
        <f t="shared" si="55"/>
        <v>0.98242296010089436</v>
      </c>
      <c r="BT22" s="11">
        <f t="shared" si="56"/>
        <v>0.65985587016930158</v>
      </c>
      <c r="BU22" s="11">
        <f t="shared" si="57"/>
        <v>0.9669756470002786</v>
      </c>
      <c r="BV22" s="5">
        <f t="shared" si="58"/>
        <v>1</v>
      </c>
      <c r="BW22" s="11">
        <f t="shared" si="59"/>
        <v>0.98242296010089436</v>
      </c>
      <c r="BX22" s="11">
        <f t="shared" si="60"/>
        <v>0.99121148005044724</v>
      </c>
      <c r="BY22" s="11">
        <f t="shared" si="61"/>
        <v>6.3978243967592459</v>
      </c>
      <c r="BZ22" s="11">
        <f t="shared" si="62"/>
        <v>0.27708926937366496</v>
      </c>
      <c r="CA22" s="11">
        <f t="shared" si="63"/>
        <v>1.8072484318075932</v>
      </c>
      <c r="CB22" s="11">
        <f t="shared" si="64"/>
        <v>0</v>
      </c>
      <c r="CC22" s="11">
        <f t="shared" si="65"/>
        <v>1.5057694194698661</v>
      </c>
      <c r="CD22" s="11">
        <f t="shared" si="66"/>
        <v>3.0012936083458808</v>
      </c>
      <c r="CE22" s="11">
        <f t="shared" si="67"/>
        <v>1.8143654678730756</v>
      </c>
      <c r="CF22" s="11">
        <f t="shared" si="68"/>
        <v>2.6175177324601853E-2</v>
      </c>
      <c r="CG22" s="11">
        <f t="shared" si="69"/>
        <v>0.61168966593954088</v>
      </c>
      <c r="CH22" s="11">
        <f t="shared" si="70"/>
        <v>0.16743111039977207</v>
      </c>
      <c r="CI22" s="11">
        <f t="shared" si="71"/>
        <v>15.608886547293242</v>
      </c>
      <c r="CJ22" s="11">
        <f t="shared" si="72"/>
        <v>0.40427191767942716</v>
      </c>
      <c r="CK22" s="11">
        <f t="shared" si="73"/>
        <v>1.1014975017904389</v>
      </c>
      <c r="CL22" s="13">
        <f t="shared" si="74"/>
        <v>1.5400303080852495E-2</v>
      </c>
      <c r="CN22" s="32">
        <f t="shared" si="75"/>
        <v>15237</v>
      </c>
      <c r="CO22" s="12">
        <f t="shared" si="76"/>
        <v>0.59945609918981146</v>
      </c>
      <c r="CP22" s="12">
        <f t="shared" si="77"/>
        <v>0.40054390081018854</v>
      </c>
      <c r="CQ22" s="12">
        <f t="shared" si="78"/>
        <v>0.10253641428341975</v>
      </c>
      <c r="CR22" s="12">
        <f t="shared" si="79"/>
        <v>0.16743111039977207</v>
      </c>
      <c r="CS22" s="14">
        <f t="shared" si="80"/>
        <v>0.3911134527067589</v>
      </c>
      <c r="CT22" s="14">
        <f t="shared" si="81"/>
        <v>0.44145543689346889</v>
      </c>
      <c r="CU22" s="14">
        <f t="shared" si="82"/>
        <v>8.5117114523035942E-2</v>
      </c>
      <c r="CV22" s="12">
        <f t="shared" si="83"/>
        <v>0.90718273393653781</v>
      </c>
      <c r="CW22" s="2" t="str">
        <f t="shared" si="84"/>
        <v>26hHP04.11</v>
      </c>
      <c r="CY22" s="5">
        <f t="shared" si="85"/>
        <v>13.130800606161705</v>
      </c>
      <c r="CZ22" s="5">
        <f t="shared" si="86"/>
        <v>6.3902542542762015</v>
      </c>
      <c r="DA22" s="5">
        <f t="shared" si="87"/>
        <v>0.2767614071005548</v>
      </c>
      <c r="DB22" s="5">
        <f t="shared" si="88"/>
        <v>1.8051100286125994</v>
      </c>
      <c r="DC22" s="5">
        <f t="shared" si="89"/>
        <v>0</v>
      </c>
      <c r="DD22" s="5">
        <f t="shared" si="90"/>
        <v>1.5039877373940387</v>
      </c>
      <c r="DE22" s="5">
        <f t="shared" si="91"/>
        <v>2.9977423667300376</v>
      </c>
      <c r="DF22" s="5">
        <f t="shared" si="92"/>
        <v>1.8122186435377483</v>
      </c>
      <c r="DG22" s="5">
        <f t="shared" si="93"/>
        <v>2.6144205886566362E-2</v>
      </c>
      <c r="DH22" s="5">
        <f t="shared" si="94"/>
        <v>0.61096589210027874</v>
      </c>
      <c r="DI22" s="5">
        <f t="shared" si="95"/>
        <v>0.16723299971663697</v>
      </c>
      <c r="DJ22" s="5">
        <f t="shared" si="96"/>
        <v>0</v>
      </c>
      <c r="DK22" s="5">
        <f t="shared" si="97"/>
        <v>1.2767517389480973E-2</v>
      </c>
      <c r="DL22" s="5">
        <f t="shared" si="98"/>
        <v>1.9673097665348025</v>
      </c>
      <c r="DM22" s="5">
        <f t="shared" si="99"/>
        <v>12.999999999999996</v>
      </c>
      <c r="DN22" s="5">
        <f t="shared" si="100"/>
        <v>14.961253041781935</v>
      </c>
      <c r="DO22" s="5">
        <f t="shared" si="101"/>
        <v>6.4712664672933382</v>
      </c>
      <c r="DP22" s="5">
        <f t="shared" si="102"/>
        <v>0.28027003964861791</v>
      </c>
      <c r="DQ22" s="5">
        <f t="shared" si="103"/>
        <v>1.8279942445355375</v>
      </c>
      <c r="DR22" s="5">
        <f t="shared" si="104"/>
        <v>0</v>
      </c>
      <c r="DS22" s="5">
        <f t="shared" si="105"/>
        <v>1.5230544865574844</v>
      </c>
      <c r="DT22" s="5">
        <f t="shared" si="106"/>
        <v>3.0357461352063098</v>
      </c>
      <c r="DU22" s="5">
        <f t="shared" si="107"/>
        <v>1.8351929786646584</v>
      </c>
      <c r="DV22" s="5">
        <f t="shared" si="108"/>
        <v>2.6475648094054283E-2</v>
      </c>
      <c r="DW22" s="5">
        <f t="shared" si="109"/>
        <v>0.61871138970139694</v>
      </c>
      <c r="DX22" s="5">
        <f t="shared" si="110"/>
        <v>0.16935308991296566</v>
      </c>
      <c r="DY22" s="5">
        <f t="shared" si="111"/>
        <v>0</v>
      </c>
      <c r="DZ22" s="5">
        <f t="shared" si="112"/>
        <v>1.2929377121081553E-2</v>
      </c>
      <c r="EA22" s="5">
        <f t="shared" si="113"/>
        <v>1.9922502636629968</v>
      </c>
      <c r="EB22" s="5">
        <f t="shared" si="114"/>
        <v>15</v>
      </c>
      <c r="EC22" s="5">
        <f t="shared" si="115"/>
        <v>45.541777530258521</v>
      </c>
      <c r="ED22" s="1">
        <f t="shared" si="116"/>
        <v>6.3902542542762015</v>
      </c>
      <c r="EE22" s="5">
        <f t="shared" si="117"/>
        <v>0.2767614071005548</v>
      </c>
      <c r="EF22" s="5">
        <f t="shared" si="118"/>
        <v>1.8051100286125994</v>
      </c>
      <c r="EG22" s="5">
        <f t="shared" si="119"/>
        <v>0</v>
      </c>
      <c r="EH22" s="5">
        <f t="shared" si="120"/>
        <v>0.45822246974147873</v>
      </c>
      <c r="EI22" s="5">
        <f t="shared" si="121"/>
        <v>1.0457652676525599</v>
      </c>
      <c r="EJ22" s="5">
        <f t="shared" si="122"/>
        <v>2.9977423667300376</v>
      </c>
      <c r="EK22" s="5">
        <f t="shared" si="123"/>
        <v>1.8122186435377483</v>
      </c>
      <c r="EL22" s="5">
        <f t="shared" si="124"/>
        <v>2.6144205886566362E-2</v>
      </c>
      <c r="EM22" s="5">
        <f t="shared" si="125"/>
        <v>0.61096589210027874</v>
      </c>
      <c r="EN22" s="5">
        <f t="shared" si="126"/>
        <v>0.16723299971663697</v>
      </c>
      <c r="EO22" s="5">
        <f t="shared" si="127"/>
        <v>4.1545745551694662</v>
      </c>
      <c r="EP22" s="5">
        <f t="shared" si="128"/>
        <v>8.5316784938221204</v>
      </c>
      <c r="EQ22" s="5">
        <f t="shared" si="129"/>
        <v>2.0175040017009689</v>
      </c>
      <c r="ER22" s="5">
        <f t="shared" si="130"/>
        <v>99.830157050692563</v>
      </c>
      <c r="ES22" s="5">
        <f t="shared" si="131"/>
        <v>6.3902542542762015</v>
      </c>
      <c r="ET22" s="5">
        <f t="shared" si="132"/>
        <v>1.6097457457237985</v>
      </c>
      <c r="EU22" s="5">
        <f t="shared" si="133"/>
        <v>0</v>
      </c>
      <c r="EV22" s="44">
        <f t="shared" si="134"/>
        <v>8</v>
      </c>
      <c r="EW22" s="5">
        <f t="shared" si="135"/>
        <v>0.19536428288880092</v>
      </c>
      <c r="EX22" s="5">
        <f t="shared" si="136"/>
        <v>0.2767614071005548</v>
      </c>
      <c r="EY22" s="5">
        <f t="shared" si="137"/>
        <v>0</v>
      </c>
      <c r="EZ22" s="5">
        <f t="shared" si="138"/>
        <v>0.45822246974147873</v>
      </c>
      <c r="FA22" s="5">
        <f t="shared" si="139"/>
        <v>2.9977423667300376</v>
      </c>
      <c r="FB22" s="5">
        <f t="shared" si="140"/>
        <v>1.0457652676525599</v>
      </c>
      <c r="FC22" s="5">
        <f t="shared" si="141"/>
        <v>2.6144205886566362E-2</v>
      </c>
      <c r="FD22" s="44">
        <f t="shared" si="142"/>
        <v>4.9999999999999982</v>
      </c>
      <c r="FE22" s="5">
        <f t="shared" si="143"/>
        <v>0</v>
      </c>
      <c r="FF22" s="5">
        <f t="shared" si="144"/>
        <v>1.8122186435377483</v>
      </c>
      <c r="FG22" s="5">
        <f t="shared" si="145"/>
        <v>0.18778135646225169</v>
      </c>
      <c r="FH22" s="44">
        <f t="shared" si="146"/>
        <v>2</v>
      </c>
      <c r="FI22" s="5">
        <f t="shared" si="147"/>
        <v>0.42318453563802705</v>
      </c>
      <c r="FJ22" s="5">
        <f t="shared" si="148"/>
        <v>0.16723299971663697</v>
      </c>
      <c r="FK22" s="44">
        <f t="shared" si="149"/>
        <v>0.59041753535466401</v>
      </c>
      <c r="FL22" s="1" t="str">
        <f t="shared" si="150"/>
        <v>Pass</v>
      </c>
      <c r="FM22" s="5">
        <f t="shared" si="151"/>
        <v>0.10822846241619806</v>
      </c>
      <c r="FN22" s="1" t="str">
        <f t="shared" si="152"/>
        <v>Mg-Hst</v>
      </c>
      <c r="FO22" s="5">
        <f t="shared" si="153"/>
        <v>7.3860000717069427</v>
      </c>
      <c r="FP22" s="5">
        <f t="shared" si="154"/>
        <v>1.8051100286125994</v>
      </c>
      <c r="FQ22" s="5">
        <f t="shared" si="155"/>
        <v>2.8785265448023698</v>
      </c>
      <c r="FR22" s="5">
        <f t="shared" si="156"/>
        <v>-1.4500938505518832</v>
      </c>
      <c r="FS22" s="1" t="str">
        <f t="shared" si="157"/>
        <v>YES</v>
      </c>
      <c r="FT22" s="32">
        <f t="shared" si="158"/>
        <v>922.11700713733035</v>
      </c>
      <c r="FU22" s="32">
        <f t="shared" si="159"/>
        <v>257.52766219903322</v>
      </c>
      <c r="FV22" s="46">
        <f t="shared" si="160"/>
        <v>0.72229763965509619</v>
      </c>
      <c r="FW22" s="47">
        <f t="shared" si="161"/>
        <v>-10.755074865643136</v>
      </c>
      <c r="FX22" s="46">
        <f t="shared" si="162"/>
        <v>4.7177605693719284</v>
      </c>
      <c r="FY22" s="50">
        <f t="shared" si="163"/>
        <v>327.79100803504303</v>
      </c>
      <c r="FZ22" s="32">
        <f t="shared" si="164"/>
        <v>251.59460055336703</v>
      </c>
      <c r="GA22" s="32">
        <f t="shared" si="165"/>
        <v>296.7353305245955</v>
      </c>
      <c r="GB22" s="32">
        <f t="shared" si="166"/>
        <v>333.49024441245854</v>
      </c>
      <c r="GC22" s="32">
        <f t="shared" si="167"/>
        <v>663.68500253421439</v>
      </c>
      <c r="GD22" s="32">
        <f t="shared" si="168"/>
        <v>81.895643859091507</v>
      </c>
      <c r="GE22" s="4">
        <f t="shared" si="169"/>
        <v>-1.0247199778685268</v>
      </c>
      <c r="GF22" s="32">
        <f t="shared" si="170"/>
        <v>251.59460055336703</v>
      </c>
      <c r="GG22" s="1">
        <f t="shared" si="171"/>
        <v>240.94225072250254</v>
      </c>
      <c r="GH22" s="32">
        <f t="shared" si="172"/>
        <v>289.69280429420502</v>
      </c>
      <c r="GI22" s="32">
        <f t="shared" si="173"/>
        <v>903.65714297939621</v>
      </c>
      <c r="GJ22" s="46">
        <f t="shared" si="174"/>
        <v>2.1800580759965045</v>
      </c>
      <c r="GK22" s="46">
        <f t="shared" si="175"/>
        <v>69.574765743927529</v>
      </c>
      <c r="GL22" s="46">
        <f t="shared" si="176"/>
        <v>0.33846389755091288</v>
      </c>
      <c r="GM22" s="46">
        <f t="shared" si="177"/>
        <v>16.134061773712013</v>
      </c>
      <c r="GN22" s="46">
        <f t="shared" si="178"/>
        <v>2.096218494861354</v>
      </c>
      <c r="GO22" s="46">
        <f t="shared" si="179"/>
        <v>0.77353628926776408</v>
      </c>
      <c r="GP22" s="46">
        <f t="shared" si="180"/>
        <v>1.5538945208702106</v>
      </c>
      <c r="GQ22" s="46">
        <f t="shared" si="181"/>
        <v>4.5302103941897718</v>
      </c>
      <c r="GR22" s="46">
        <f t="shared" si="182"/>
        <v>5.6251857389605835</v>
      </c>
      <c r="GS22" s="46">
        <f t="shared" si="183"/>
        <v>100.62633685334012</v>
      </c>
      <c r="GU22" s="32">
        <f t="shared" si="184"/>
        <v>15237</v>
      </c>
      <c r="GV22" s="32">
        <f t="shared" si="185"/>
        <v>257.52766219903322</v>
      </c>
      <c r="GW22" s="32">
        <f t="shared" si="186"/>
        <v>922.11700713733035</v>
      </c>
      <c r="GX22" s="32">
        <f t="shared" si="187"/>
        <v>289.69280429420502</v>
      </c>
      <c r="GY22" s="32">
        <f t="shared" si="188"/>
        <v>903.65714297939621</v>
      </c>
    </row>
    <row r="23" spans="1:207">
      <c r="A23" s="35">
        <v>15238</v>
      </c>
      <c r="B23" s="2" t="s">
        <v>170</v>
      </c>
      <c r="C23" s="36">
        <v>43.1</v>
      </c>
      <c r="D23" s="36">
        <v>2.76</v>
      </c>
      <c r="E23" s="36">
        <v>10.84</v>
      </c>
      <c r="F23" s="36"/>
      <c r="G23" s="36">
        <v>12.27</v>
      </c>
      <c r="H23" s="36">
        <v>13.6</v>
      </c>
      <c r="I23" s="36">
        <v>11.37</v>
      </c>
      <c r="J23" s="36">
        <v>0.23619999999999999</v>
      </c>
      <c r="K23" s="36">
        <v>2.2200000000000002</v>
      </c>
      <c r="L23" s="36">
        <v>0.83050000000000002</v>
      </c>
      <c r="M23" s="36"/>
      <c r="N23" s="36">
        <v>4.8399999999999999E-2</v>
      </c>
      <c r="O23" s="4">
        <f t="shared" si="0"/>
        <v>97.275099999999995</v>
      </c>
      <c r="P23" s="5">
        <f t="shared" si="1"/>
        <v>0.71732549101845244</v>
      </c>
      <c r="Q23" s="5">
        <f t="shared" si="2"/>
        <v>3.4557970996346374E-2</v>
      </c>
      <c r="R23" s="5">
        <f t="shared" si="3"/>
        <v>0.10631487193235989</v>
      </c>
      <c r="S23" s="5">
        <f t="shared" si="4"/>
        <v>0</v>
      </c>
      <c r="T23" s="5">
        <f t="shared" si="5"/>
        <v>0.17078575365651325</v>
      </c>
      <c r="U23" s="5">
        <f t="shared" si="6"/>
        <v>0.3374321414039162</v>
      </c>
      <c r="V23" s="5">
        <f t="shared" si="7"/>
        <v>0.20275547725108509</v>
      </c>
      <c r="W23" s="5">
        <f t="shared" si="8"/>
        <v>3.3296940238152629E-3</v>
      </c>
      <c r="X23" s="5">
        <f t="shared" si="9"/>
        <v>3.581861838876238E-2</v>
      </c>
      <c r="Y23" s="5">
        <f t="shared" si="10"/>
        <v>8.8167225784534387E-3</v>
      </c>
      <c r="Z23" s="5">
        <f t="shared" si="11"/>
        <v>0</v>
      </c>
      <c r="AA23" s="5">
        <f t="shared" si="12"/>
        <v>1.3651992655002298E-3</v>
      </c>
      <c r="AB23" s="5">
        <f t="shared" si="13"/>
        <v>1.4346509820369049</v>
      </c>
      <c r="AC23" s="5">
        <f t="shared" si="14"/>
        <v>6.9115941992692748E-2</v>
      </c>
      <c r="AD23" s="5">
        <f t="shared" si="15"/>
        <v>0.31894461579707967</v>
      </c>
      <c r="AE23" s="5">
        <f t="shared" si="16"/>
        <v>0</v>
      </c>
      <c r="AF23" s="5">
        <f t="shared" si="17"/>
        <v>0.17078575365651325</v>
      </c>
      <c r="AG23" s="5">
        <f t="shared" si="18"/>
        <v>0.3374321414039162</v>
      </c>
      <c r="AH23" s="5">
        <f t="shared" si="19"/>
        <v>0.20275547725108509</v>
      </c>
      <c r="AI23" s="5">
        <f t="shared" si="20"/>
        <v>3.3296940238152629E-3</v>
      </c>
      <c r="AJ23" s="5">
        <f t="shared" si="21"/>
        <v>3.581861838876238E-2</v>
      </c>
      <c r="AK23" s="5">
        <f t="shared" si="22"/>
        <v>8.8167225784534387E-3</v>
      </c>
      <c r="AL23" s="5">
        <f t="shared" si="23"/>
        <v>2.5816499471292227</v>
      </c>
      <c r="AM23" s="4">
        <f t="shared" si="24"/>
        <v>12.781350400948519</v>
      </c>
      <c r="AN23" s="4">
        <f t="shared" si="25"/>
        <v>0.61575608559930128</v>
      </c>
      <c r="AO23" s="4">
        <f t="shared" si="26"/>
        <v>2.8414875422944581</v>
      </c>
      <c r="AP23" s="4">
        <f t="shared" si="27"/>
        <v>0</v>
      </c>
      <c r="AQ23" s="4">
        <f t="shared" si="28"/>
        <v>1.5215356127068251</v>
      </c>
      <c r="AR23" s="4">
        <f t="shared" si="29"/>
        <v>3.0061934852632461</v>
      </c>
      <c r="AS23" s="4">
        <f t="shared" si="30"/>
        <v>1.8063548785770123</v>
      </c>
      <c r="AT23" s="4">
        <f t="shared" si="31"/>
        <v>2.9664348039481796E-2</v>
      </c>
      <c r="AU23" s="4">
        <f t="shared" si="32"/>
        <v>0.31910918978679748</v>
      </c>
      <c r="AV23" s="4">
        <f t="shared" si="33"/>
        <v>7.8548456784361578E-2</v>
      </c>
      <c r="AW23" s="4">
        <f t="shared" si="34"/>
        <v>23</v>
      </c>
      <c r="AX23" s="5">
        <f t="shared" si="35"/>
        <v>6.3906752004742593</v>
      </c>
      <c r="AY23" s="5">
        <f t="shared" si="36"/>
        <v>0.30787804279965064</v>
      </c>
      <c r="AZ23" s="5">
        <f t="shared" si="37"/>
        <v>1.8943250281963053</v>
      </c>
      <c r="BA23" s="5">
        <f t="shared" si="38"/>
        <v>0</v>
      </c>
      <c r="BB23" s="5">
        <f t="shared" si="39"/>
        <v>1.5215356127068251</v>
      </c>
      <c r="BC23" s="5">
        <f t="shared" si="40"/>
        <v>3.0061934852632461</v>
      </c>
      <c r="BD23" s="5">
        <f t="shared" si="41"/>
        <v>1.8063548785770123</v>
      </c>
      <c r="BE23" s="5">
        <f t="shared" si="42"/>
        <v>2.9664348039481796E-2</v>
      </c>
      <c r="BF23" s="5">
        <f t="shared" si="43"/>
        <v>0.63821837957359495</v>
      </c>
      <c r="BG23" s="5">
        <f t="shared" si="44"/>
        <v>0.15709691356872316</v>
      </c>
      <c r="BH23" s="5">
        <f t="shared" si="45"/>
        <v>0</v>
      </c>
      <c r="BI23" s="5">
        <f t="shared" si="46"/>
        <v>1.2162602889451148E-2</v>
      </c>
      <c r="BJ23" s="5">
        <f t="shared" si="47"/>
        <v>1.9878373971105487</v>
      </c>
      <c r="BK23" s="5">
        <f t="shared" si="48"/>
        <v>15.751941889199101</v>
      </c>
      <c r="BL23" s="11">
        <f t="shared" si="49"/>
        <v>1</v>
      </c>
      <c r="BM23" s="11">
        <f t="shared" si="50"/>
        <v>1</v>
      </c>
      <c r="BN23" s="11">
        <f t="shared" si="51"/>
        <v>1</v>
      </c>
      <c r="BO23" s="11">
        <f t="shared" si="52"/>
        <v>1</v>
      </c>
      <c r="BP23" s="11">
        <f>1</f>
        <v>1</v>
      </c>
      <c r="BQ23" s="11">
        <f t="shared" si="53"/>
        <v>0.9656004561491367</v>
      </c>
      <c r="BR23" s="11">
        <f t="shared" si="54"/>
        <v>0.9618563072246038</v>
      </c>
      <c r="BS23" s="11">
        <f t="shared" si="55"/>
        <v>0.98096832347980323</v>
      </c>
      <c r="BT23" s="11">
        <f t="shared" si="56"/>
        <v>0.6594266713871596</v>
      </c>
      <c r="BU23" s="11">
        <f t="shared" si="57"/>
        <v>0.96692313885419945</v>
      </c>
      <c r="BV23" s="5">
        <f t="shared" si="58"/>
        <v>1</v>
      </c>
      <c r="BW23" s="11">
        <f t="shared" si="59"/>
        <v>0.98096832347980323</v>
      </c>
      <c r="BX23" s="11">
        <f t="shared" si="60"/>
        <v>0.99048416173990161</v>
      </c>
      <c r="BY23" s="11">
        <f t="shared" si="61"/>
        <v>6.3298625688937245</v>
      </c>
      <c r="BZ23" s="11">
        <f t="shared" si="62"/>
        <v>0.30494832514053349</v>
      </c>
      <c r="CA23" s="11">
        <f t="shared" si="63"/>
        <v>1.8762989376159329</v>
      </c>
      <c r="CB23" s="11">
        <f t="shared" si="64"/>
        <v>0</v>
      </c>
      <c r="CC23" s="11">
        <f t="shared" si="65"/>
        <v>1.5070569259093274</v>
      </c>
      <c r="CD23" s="11">
        <f t="shared" si="66"/>
        <v>2.9775870342789195</v>
      </c>
      <c r="CE23" s="11">
        <f t="shared" si="67"/>
        <v>1.7891658977121339</v>
      </c>
      <c r="CF23" s="11">
        <f t="shared" si="68"/>
        <v>2.9382066901446822E-2</v>
      </c>
      <c r="CG23" s="11">
        <f t="shared" si="69"/>
        <v>0.63214519669895053</v>
      </c>
      <c r="CH23" s="11">
        <f t="shared" si="70"/>
        <v>0.15560200474804253</v>
      </c>
      <c r="CI23" s="11">
        <f t="shared" si="71"/>
        <v>15.602048957899013</v>
      </c>
      <c r="CJ23" s="11">
        <f t="shared" si="72"/>
        <v>0.43772855996452575</v>
      </c>
      <c r="CK23" s="11">
        <f t="shared" si="73"/>
        <v>1.0693283659448016</v>
      </c>
      <c r="CL23" s="13">
        <f t="shared" si="74"/>
        <v>2.5135858739885109E-2</v>
      </c>
      <c r="CN23" s="32">
        <f t="shared" si="75"/>
        <v>15238</v>
      </c>
      <c r="CO23" s="12">
        <f t="shared" si="76"/>
        <v>0.58246564222343111</v>
      </c>
      <c r="CP23" s="12">
        <f t="shared" si="77"/>
        <v>0.41753435777656889</v>
      </c>
      <c r="CQ23" s="12">
        <f t="shared" si="78"/>
        <v>0.10308075325482857</v>
      </c>
      <c r="CR23" s="12">
        <f t="shared" si="79"/>
        <v>0.15560200474804253</v>
      </c>
      <c r="CS23" s="14">
        <f t="shared" si="80"/>
        <v>0.39795104210098797</v>
      </c>
      <c r="CT23" s="14">
        <f t="shared" si="81"/>
        <v>0.44644695315096961</v>
      </c>
      <c r="CU23" s="14">
        <f t="shared" si="82"/>
        <v>9.2849121773990517E-2</v>
      </c>
      <c r="CV23" s="12">
        <f t="shared" si="83"/>
        <v>0.89458294885606693</v>
      </c>
      <c r="CW23" s="2" t="str">
        <f t="shared" si="84"/>
        <v>26hHP04.12</v>
      </c>
      <c r="CY23" s="5">
        <f t="shared" si="85"/>
        <v>13.15027171747977</v>
      </c>
      <c r="CZ23" s="5">
        <f t="shared" si="86"/>
        <v>6.31764722364895</v>
      </c>
      <c r="DA23" s="5">
        <f t="shared" si="87"/>
        <v>0.30435983699677616</v>
      </c>
      <c r="DB23" s="5">
        <f t="shared" si="88"/>
        <v>1.8726780629040531</v>
      </c>
      <c r="DC23" s="5">
        <f t="shared" si="89"/>
        <v>0</v>
      </c>
      <c r="DD23" s="5">
        <f t="shared" si="90"/>
        <v>1.5041486130584325</v>
      </c>
      <c r="DE23" s="5">
        <f t="shared" si="91"/>
        <v>2.9718408978937756</v>
      </c>
      <c r="DF23" s="5">
        <f t="shared" si="92"/>
        <v>1.7857131720166135</v>
      </c>
      <c r="DG23" s="5">
        <f t="shared" si="93"/>
        <v>2.9325365498011933E-2</v>
      </c>
      <c r="DH23" s="5">
        <f t="shared" si="94"/>
        <v>0.63092528524930058</v>
      </c>
      <c r="DI23" s="5">
        <f t="shared" si="95"/>
        <v>0.15530172457796157</v>
      </c>
      <c r="DJ23" s="5">
        <f t="shared" si="96"/>
        <v>0</v>
      </c>
      <c r="DK23" s="5">
        <f t="shared" si="97"/>
        <v>1.2023617531240427E-2</v>
      </c>
      <c r="DL23" s="5">
        <f t="shared" si="98"/>
        <v>1.9651218406451068</v>
      </c>
      <c r="DM23" s="5">
        <f t="shared" si="99"/>
        <v>13.000000000000002</v>
      </c>
      <c r="DN23" s="5">
        <f t="shared" si="100"/>
        <v>14.956626596056783</v>
      </c>
      <c r="DO23" s="5">
        <f t="shared" si="101"/>
        <v>6.4092078110973754</v>
      </c>
      <c r="DP23" s="5">
        <f t="shared" si="102"/>
        <v>0.30877087238457301</v>
      </c>
      <c r="DQ23" s="5">
        <f t="shared" si="103"/>
        <v>1.8998184677844385</v>
      </c>
      <c r="DR23" s="5">
        <f t="shared" si="104"/>
        <v>0</v>
      </c>
      <c r="DS23" s="5">
        <f t="shared" si="105"/>
        <v>1.5259479832584391</v>
      </c>
      <c r="DT23" s="5">
        <f t="shared" si="106"/>
        <v>3.0149112829250644</v>
      </c>
      <c r="DU23" s="5">
        <f t="shared" si="107"/>
        <v>1.8115932095141489</v>
      </c>
      <c r="DV23" s="5">
        <f t="shared" si="108"/>
        <v>2.9750373035958465E-2</v>
      </c>
      <c r="DW23" s="5">
        <f t="shared" si="109"/>
        <v>0.64006917817469999</v>
      </c>
      <c r="DX23" s="5">
        <f t="shared" si="110"/>
        <v>0.15755248607678093</v>
      </c>
      <c r="DY23" s="5">
        <f t="shared" si="111"/>
        <v>0</v>
      </c>
      <c r="DZ23" s="5">
        <f t="shared" si="112"/>
        <v>1.2197873776555075E-2</v>
      </c>
      <c r="EA23" s="5">
        <f t="shared" si="113"/>
        <v>1.9936020174843061</v>
      </c>
      <c r="EB23" s="5">
        <f t="shared" si="114"/>
        <v>14.999999999999996</v>
      </c>
      <c r="EC23" s="5">
        <f t="shared" si="115"/>
        <v>45.474345538055985</v>
      </c>
      <c r="ED23" s="1">
        <f t="shared" si="116"/>
        <v>6.31764722364895</v>
      </c>
      <c r="EE23" s="5">
        <f t="shared" si="117"/>
        <v>0.30435983699677616</v>
      </c>
      <c r="EF23" s="5">
        <f t="shared" si="118"/>
        <v>1.8726780629040531</v>
      </c>
      <c r="EG23" s="5">
        <f t="shared" si="119"/>
        <v>0</v>
      </c>
      <c r="EH23" s="5">
        <f t="shared" si="120"/>
        <v>0.52565446194401488</v>
      </c>
      <c r="EI23" s="5">
        <f t="shared" si="121"/>
        <v>0.97849415111441762</v>
      </c>
      <c r="EJ23" s="5">
        <f t="shared" si="122"/>
        <v>2.9718408978937756</v>
      </c>
      <c r="EK23" s="5">
        <f t="shared" si="123"/>
        <v>1.7857131720166135</v>
      </c>
      <c r="EL23" s="5">
        <f t="shared" si="124"/>
        <v>2.9325365498011933E-2</v>
      </c>
      <c r="EM23" s="5">
        <f t="shared" si="125"/>
        <v>0.63092528524930058</v>
      </c>
      <c r="EN23" s="5">
        <f t="shared" si="126"/>
        <v>0.15530172457796157</v>
      </c>
      <c r="EO23" s="5">
        <f t="shared" si="127"/>
        <v>4.7654517652736166</v>
      </c>
      <c r="EP23" s="5">
        <f t="shared" si="128"/>
        <v>7.9820059866035962</v>
      </c>
      <c r="EQ23" s="5">
        <f t="shared" si="129"/>
        <v>2.0156680133019313</v>
      </c>
      <c r="ER23" s="5">
        <f t="shared" si="130"/>
        <v>99.768225765179139</v>
      </c>
      <c r="ES23" s="5">
        <f t="shared" si="131"/>
        <v>6.31764722364895</v>
      </c>
      <c r="ET23" s="5">
        <f t="shared" si="132"/>
        <v>1.68235277635105</v>
      </c>
      <c r="EU23" s="5">
        <f t="shared" si="133"/>
        <v>0</v>
      </c>
      <c r="EV23" s="44">
        <f t="shared" si="134"/>
        <v>8</v>
      </c>
      <c r="EW23" s="5">
        <f t="shared" si="135"/>
        <v>0.19032528655300318</v>
      </c>
      <c r="EX23" s="5">
        <f t="shared" si="136"/>
        <v>0.30435983699677616</v>
      </c>
      <c r="EY23" s="5">
        <f t="shared" si="137"/>
        <v>0</v>
      </c>
      <c r="EZ23" s="5">
        <f t="shared" si="138"/>
        <v>0.52565446194401488</v>
      </c>
      <c r="FA23" s="5">
        <f t="shared" si="139"/>
        <v>2.9718408978937756</v>
      </c>
      <c r="FB23" s="5">
        <f t="shared" si="140"/>
        <v>0.97849415111441762</v>
      </c>
      <c r="FC23" s="5">
        <f t="shared" si="141"/>
        <v>2.9325365498011933E-2</v>
      </c>
      <c r="FD23" s="44">
        <f t="shared" si="142"/>
        <v>5</v>
      </c>
      <c r="FE23" s="5">
        <f t="shared" si="143"/>
        <v>0</v>
      </c>
      <c r="FF23" s="5">
        <f t="shared" si="144"/>
        <v>1.7857131720166135</v>
      </c>
      <c r="FG23" s="5">
        <f t="shared" si="145"/>
        <v>0.2142868279833865</v>
      </c>
      <c r="FH23" s="44">
        <f t="shared" si="146"/>
        <v>2</v>
      </c>
      <c r="FI23" s="5">
        <f t="shared" si="147"/>
        <v>0.41663845726591409</v>
      </c>
      <c r="FJ23" s="5">
        <f t="shared" si="148"/>
        <v>0.15530172457796157</v>
      </c>
      <c r="FK23" s="44">
        <f t="shared" si="149"/>
        <v>0.57194018184387563</v>
      </c>
      <c r="FL23" s="1" t="str">
        <f t="shared" si="150"/>
        <v>Pass</v>
      </c>
      <c r="FM23" s="5">
        <f t="shared" si="151"/>
        <v>0.10163267799370516</v>
      </c>
      <c r="FN23" s="1" t="str">
        <f t="shared" si="152"/>
        <v>Mg-Hst</v>
      </c>
      <c r="FO23" s="5">
        <f t="shared" si="153"/>
        <v>7.3150893604398997</v>
      </c>
      <c r="FP23" s="5">
        <f t="shared" si="154"/>
        <v>1.8726780629040531</v>
      </c>
      <c r="FQ23" s="5">
        <f t="shared" si="155"/>
        <v>2.8266584280099654</v>
      </c>
      <c r="FR23" s="5">
        <f t="shared" si="156"/>
        <v>-1.403420736729543</v>
      </c>
      <c r="FS23" s="1" t="str">
        <f t="shared" si="157"/>
        <v>YES</v>
      </c>
      <c r="FT23" s="32">
        <f t="shared" si="158"/>
        <v>932.85905805504103</v>
      </c>
      <c r="FU23" s="32">
        <f t="shared" si="159"/>
        <v>283.80573535366597</v>
      </c>
      <c r="FV23" s="46">
        <f t="shared" si="160"/>
        <v>0.63702645564838267</v>
      </c>
      <c r="FW23" s="47">
        <f t="shared" si="161"/>
        <v>-10.649344741805514</v>
      </c>
      <c r="FX23" s="46">
        <f t="shared" si="162"/>
        <v>4.9611608579554325</v>
      </c>
      <c r="FY23" s="50">
        <f t="shared" si="163"/>
        <v>382.6020545923688</v>
      </c>
      <c r="FZ23" s="32">
        <f t="shared" si="164"/>
        <v>282.96332240994502</v>
      </c>
      <c r="GA23" s="32">
        <f t="shared" si="165"/>
        <v>334.45443076003477</v>
      </c>
      <c r="GB23" s="32">
        <f t="shared" si="166"/>
        <v>399.33250426437553</v>
      </c>
      <c r="GC23" s="32">
        <f t="shared" si="167"/>
        <v>662.88646621626162</v>
      </c>
      <c r="GD23" s="32">
        <f t="shared" si="168"/>
        <v>116.36918185443051</v>
      </c>
      <c r="GE23" s="4">
        <f t="shared" si="169"/>
        <v>-0.73257424590286879</v>
      </c>
      <c r="GF23" s="32">
        <f t="shared" si="170"/>
        <v>282.96332240994502</v>
      </c>
      <c r="GG23" s="1">
        <f t="shared" si="171"/>
        <v>297.57259477148591</v>
      </c>
      <c r="GH23" s="32">
        <f t="shared" si="172"/>
        <v>332.78268850115694</v>
      </c>
      <c r="GI23" s="32">
        <f t="shared" si="173"/>
        <v>929.61944412314756</v>
      </c>
      <c r="GJ23" s="46">
        <f t="shared" si="174"/>
        <v>1.9260996418587637</v>
      </c>
      <c r="GK23" s="46">
        <f t="shared" si="175"/>
        <v>67.302663962928236</v>
      </c>
      <c r="GL23" s="46">
        <f t="shared" si="176"/>
        <v>0.40235304479493794</v>
      </c>
      <c r="GM23" s="46">
        <f t="shared" si="177"/>
        <v>16.545783815538424</v>
      </c>
      <c r="GN23" s="46">
        <f t="shared" si="178"/>
        <v>2.7023075856980081</v>
      </c>
      <c r="GO23" s="46">
        <f t="shared" si="179"/>
        <v>1.0603756921360483</v>
      </c>
      <c r="GP23" s="46">
        <f t="shared" si="180"/>
        <v>2.1427652261584118</v>
      </c>
      <c r="GQ23" s="46">
        <f t="shared" si="181"/>
        <v>3.7399310454087766</v>
      </c>
      <c r="GR23" s="46">
        <f t="shared" si="182"/>
        <v>5.3912391545523333</v>
      </c>
      <c r="GS23" s="46">
        <f t="shared" si="183"/>
        <v>99.287419527215192</v>
      </c>
      <c r="GU23" s="32">
        <f t="shared" si="184"/>
        <v>15238</v>
      </c>
      <c r="GV23" s="32">
        <f t="shared" si="185"/>
        <v>283.80573535366597</v>
      </c>
      <c r="GW23" s="32">
        <f t="shared" si="186"/>
        <v>932.85905805504103</v>
      </c>
      <c r="GX23" s="32">
        <f t="shared" si="187"/>
        <v>332.78268850115694</v>
      </c>
      <c r="GY23" s="32">
        <f t="shared" si="188"/>
        <v>929.61944412314756</v>
      </c>
    </row>
    <row r="24" spans="1:207">
      <c r="A24" s="35">
        <v>15244</v>
      </c>
      <c r="B24" s="2" t="s">
        <v>154</v>
      </c>
      <c r="C24" s="36">
        <v>46.12</v>
      </c>
      <c r="D24" s="36">
        <v>1.2141</v>
      </c>
      <c r="E24" s="36">
        <v>7.66</v>
      </c>
      <c r="F24" s="36"/>
      <c r="G24" s="36">
        <v>15.65</v>
      </c>
      <c r="H24" s="36">
        <v>12.68</v>
      </c>
      <c r="I24" s="36">
        <v>11.64</v>
      </c>
      <c r="J24" s="36">
        <v>0.38319999999999999</v>
      </c>
      <c r="K24" s="36">
        <v>1.57</v>
      </c>
      <c r="L24" s="36">
        <v>0.91520000000000001</v>
      </c>
      <c r="M24" s="36"/>
      <c r="N24" s="36">
        <v>0.11360000000000001</v>
      </c>
      <c r="O24" s="4">
        <f t="shared" si="0"/>
        <v>97.946100000000015</v>
      </c>
      <c r="P24" s="5">
        <f t="shared" si="1"/>
        <v>0.76758820523830684</v>
      </c>
      <c r="Q24" s="5">
        <f t="shared" si="2"/>
        <v>1.520175093719715E-2</v>
      </c>
      <c r="R24" s="5">
        <f t="shared" si="3"/>
        <v>7.5126560793531069E-2</v>
      </c>
      <c r="S24" s="5">
        <f t="shared" si="4"/>
        <v>0</v>
      </c>
      <c r="T24" s="5">
        <f t="shared" si="5"/>
        <v>0.21783186998569132</v>
      </c>
      <c r="U24" s="5">
        <f t="shared" si="6"/>
        <v>0.31460584948541598</v>
      </c>
      <c r="V24" s="5">
        <f t="shared" si="7"/>
        <v>0.20757025111720587</v>
      </c>
      <c r="W24" s="5">
        <f t="shared" si="8"/>
        <v>5.4019422096782755E-3</v>
      </c>
      <c r="X24" s="5">
        <f t="shared" si="9"/>
        <v>2.5331185076737355E-2</v>
      </c>
      <c r="Y24" s="5">
        <f t="shared" si="10"/>
        <v>9.7159115036731924E-3</v>
      </c>
      <c r="Z24" s="5">
        <f t="shared" si="11"/>
        <v>0</v>
      </c>
      <c r="AA24" s="5">
        <f t="shared" si="12"/>
        <v>3.2042693504302916E-3</v>
      </c>
      <c r="AB24" s="5">
        <f t="shared" si="13"/>
        <v>1.5351764104766137</v>
      </c>
      <c r="AC24" s="5">
        <f t="shared" si="14"/>
        <v>3.0403501874394299E-2</v>
      </c>
      <c r="AD24" s="5">
        <f t="shared" si="15"/>
        <v>0.22537968238059319</v>
      </c>
      <c r="AE24" s="5">
        <f t="shared" si="16"/>
        <v>0</v>
      </c>
      <c r="AF24" s="5">
        <f t="shared" si="17"/>
        <v>0.21783186998569132</v>
      </c>
      <c r="AG24" s="5">
        <f t="shared" si="18"/>
        <v>0.31460584948541598</v>
      </c>
      <c r="AH24" s="5">
        <f t="shared" si="19"/>
        <v>0.20757025111720587</v>
      </c>
      <c r="AI24" s="5">
        <f t="shared" si="20"/>
        <v>5.4019422096782755E-3</v>
      </c>
      <c r="AJ24" s="5">
        <f t="shared" si="21"/>
        <v>2.5331185076737355E-2</v>
      </c>
      <c r="AK24" s="5">
        <f t="shared" si="22"/>
        <v>9.7159115036731924E-3</v>
      </c>
      <c r="AL24" s="5">
        <f t="shared" si="23"/>
        <v>2.5714166041100031</v>
      </c>
      <c r="AM24" s="4">
        <f t="shared" si="24"/>
        <v>13.731364021110451</v>
      </c>
      <c r="AN24" s="4">
        <f t="shared" si="25"/>
        <v>0.27194369904642424</v>
      </c>
      <c r="AO24" s="4">
        <f t="shared" si="26"/>
        <v>2.0159054298973826</v>
      </c>
      <c r="AP24" s="4">
        <f t="shared" si="27"/>
        <v>0</v>
      </c>
      <c r="AQ24" s="4">
        <f t="shared" si="28"/>
        <v>1.9483941270593783</v>
      </c>
      <c r="AR24" s="4">
        <f t="shared" si="29"/>
        <v>2.8139876387976455</v>
      </c>
      <c r="AS24" s="4">
        <f t="shared" si="30"/>
        <v>1.8566092200171165</v>
      </c>
      <c r="AT24" s="4">
        <f t="shared" si="31"/>
        <v>4.8317596854595579E-2</v>
      </c>
      <c r="AU24" s="4">
        <f t="shared" si="32"/>
        <v>0.22657443209853181</v>
      </c>
      <c r="AV24" s="4">
        <f t="shared" si="33"/>
        <v>8.6903835118474534E-2</v>
      </c>
      <c r="AW24" s="4">
        <f t="shared" si="34"/>
        <v>22.999999999999996</v>
      </c>
      <c r="AX24" s="5">
        <f t="shared" si="35"/>
        <v>6.8656820105552256</v>
      </c>
      <c r="AY24" s="5">
        <f t="shared" si="36"/>
        <v>0.13597184952321212</v>
      </c>
      <c r="AZ24" s="5">
        <f t="shared" si="37"/>
        <v>1.3439369532649217</v>
      </c>
      <c r="BA24" s="5">
        <f t="shared" si="38"/>
        <v>0</v>
      </c>
      <c r="BB24" s="5">
        <f t="shared" si="39"/>
        <v>1.9483941270593783</v>
      </c>
      <c r="BC24" s="5">
        <f t="shared" si="40"/>
        <v>2.8139876387976455</v>
      </c>
      <c r="BD24" s="5">
        <f t="shared" si="41"/>
        <v>1.8566092200171165</v>
      </c>
      <c r="BE24" s="5">
        <f t="shared" si="42"/>
        <v>4.8317596854595579E-2</v>
      </c>
      <c r="BF24" s="5">
        <f t="shared" si="43"/>
        <v>0.45314886419706363</v>
      </c>
      <c r="BG24" s="5">
        <f t="shared" si="44"/>
        <v>0.17380767023694907</v>
      </c>
      <c r="BH24" s="5">
        <f t="shared" si="45"/>
        <v>0</v>
      </c>
      <c r="BI24" s="5">
        <f t="shared" si="46"/>
        <v>2.8660542574898907E-2</v>
      </c>
      <c r="BJ24" s="5">
        <f t="shared" si="47"/>
        <v>1.9713394574251011</v>
      </c>
      <c r="BK24" s="5">
        <f t="shared" si="48"/>
        <v>15.639855930506107</v>
      </c>
      <c r="BL24" s="11">
        <f t="shared" si="49"/>
        <v>1</v>
      </c>
      <c r="BM24" s="11">
        <f t="shared" si="50"/>
        <v>1</v>
      </c>
      <c r="BN24" s="11">
        <f t="shared" si="51"/>
        <v>0.99914077915719135</v>
      </c>
      <c r="BO24" s="11">
        <f t="shared" si="52"/>
        <v>1</v>
      </c>
      <c r="BP24" s="11">
        <f>1</f>
        <v>1</v>
      </c>
      <c r="BQ24" s="11">
        <f t="shared" si="53"/>
        <v>0.97446666346587574</v>
      </c>
      <c r="BR24" s="11">
        <f t="shared" si="54"/>
        <v>0.9698663645408121</v>
      </c>
      <c r="BS24" s="11">
        <f t="shared" si="55"/>
        <v>0.98051957104735821</v>
      </c>
      <c r="BT24" s="11">
        <f t="shared" si="56"/>
        <v>0.66242724499300132</v>
      </c>
      <c r="BU24" s="11">
        <f t="shared" si="57"/>
        <v>0.95764360593349174</v>
      </c>
      <c r="BV24" s="5">
        <f t="shared" si="58"/>
        <v>0.99914077915719135</v>
      </c>
      <c r="BW24" s="11">
        <f t="shared" si="59"/>
        <v>0.98051957104735821</v>
      </c>
      <c r="BX24" s="11">
        <f t="shared" si="60"/>
        <v>0.98983017510227478</v>
      </c>
      <c r="BY24" s="11">
        <f t="shared" si="61"/>
        <v>6.7958592267044171</v>
      </c>
      <c r="BZ24" s="11">
        <f t="shared" si="62"/>
        <v>0.13458903962254121</v>
      </c>
      <c r="CA24" s="11">
        <f t="shared" si="63"/>
        <v>1.3302693497766351</v>
      </c>
      <c r="CB24" s="11">
        <f t="shared" si="64"/>
        <v>0</v>
      </c>
      <c r="CC24" s="11">
        <f t="shared" si="65"/>
        <v>1.9285792999554283</v>
      </c>
      <c r="CD24" s="11">
        <f t="shared" si="66"/>
        <v>2.7853698772467101</v>
      </c>
      <c r="CE24" s="11">
        <f t="shared" si="67"/>
        <v>1.8377278293460402</v>
      </c>
      <c r="CF24" s="11">
        <f t="shared" si="68"/>
        <v>4.7826215355105464E-2</v>
      </c>
      <c r="CG24" s="11">
        <f t="shared" si="69"/>
        <v>0.44854041959557645</v>
      </c>
      <c r="CH24" s="11">
        <f t="shared" si="70"/>
        <v>0.17204007666475774</v>
      </c>
      <c r="CI24" s="11">
        <f t="shared" si="71"/>
        <v>15.480801334267211</v>
      </c>
      <c r="CJ24" s="11">
        <f t="shared" si="72"/>
        <v>0.46781194529536019</v>
      </c>
      <c r="CK24" s="11">
        <f t="shared" si="73"/>
        <v>1.4607673546600681</v>
      </c>
      <c r="CL24" s="13">
        <f t="shared" si="74"/>
        <v>2.249300866083459E-2</v>
      </c>
      <c r="CN24" s="32">
        <f t="shared" si="75"/>
        <v>15244</v>
      </c>
      <c r="CO24" s="12">
        <f t="shared" si="76"/>
        <v>0.69896480667610428</v>
      </c>
      <c r="CP24" s="12">
        <f t="shared" si="77"/>
        <v>0.30103519332389572</v>
      </c>
      <c r="CQ24" s="12">
        <f t="shared" si="78"/>
        <v>6.3064288240526345E-2</v>
      </c>
      <c r="CR24" s="12">
        <f t="shared" si="79"/>
        <v>0.17204007666475774</v>
      </c>
      <c r="CS24" s="14">
        <f t="shared" si="80"/>
        <v>0.51919866573279105</v>
      </c>
      <c r="CT24" s="14">
        <f t="shared" si="81"/>
        <v>0.30876125760245099</v>
      </c>
      <c r="CU24" s="14">
        <f t="shared" si="82"/>
        <v>6.9889580996562617E-2</v>
      </c>
      <c r="CV24" s="12">
        <f t="shared" si="83"/>
        <v>0.91886391467302009</v>
      </c>
      <c r="CW24" s="2" t="str">
        <f t="shared" si="84"/>
        <v>26hHP06.6</v>
      </c>
      <c r="CY24" s="5">
        <f t="shared" si="85"/>
        <v>13.156290176054979</v>
      </c>
      <c r="CZ24" s="5">
        <f t="shared" si="86"/>
        <v>6.7841211270684685</v>
      </c>
      <c r="DA24" s="5">
        <f t="shared" si="87"/>
        <v>0.13435657165869816</v>
      </c>
      <c r="DB24" s="5">
        <f t="shared" si="88"/>
        <v>1.3279716514798596</v>
      </c>
      <c r="DC24" s="5">
        <f t="shared" si="89"/>
        <v>0</v>
      </c>
      <c r="DD24" s="5">
        <f t="shared" si="90"/>
        <v>1.9252481750419299</v>
      </c>
      <c r="DE24" s="5">
        <f t="shared" si="91"/>
        <v>2.7805588668871053</v>
      </c>
      <c r="DF24" s="5">
        <f t="shared" si="92"/>
        <v>1.8345536269906042</v>
      </c>
      <c r="DG24" s="5">
        <f t="shared" si="93"/>
        <v>4.7743607863937526E-2</v>
      </c>
      <c r="DH24" s="5">
        <f t="shared" si="94"/>
        <v>0.4477656813380102</v>
      </c>
      <c r="DI24" s="5">
        <f t="shared" si="95"/>
        <v>0.17174292166288074</v>
      </c>
      <c r="DJ24" s="5">
        <f t="shared" si="96"/>
        <v>0</v>
      </c>
      <c r="DK24" s="5">
        <f t="shared" si="97"/>
        <v>2.8320069600761048E-2</v>
      </c>
      <c r="DL24" s="5">
        <f t="shared" si="98"/>
        <v>1.947920926308643</v>
      </c>
      <c r="DM24" s="5">
        <f t="shared" si="99"/>
        <v>12.999999999999998</v>
      </c>
      <c r="DN24" s="5">
        <f t="shared" si="100"/>
        <v>15.012899396072095</v>
      </c>
      <c r="DO24" s="5">
        <f t="shared" si="101"/>
        <v>6.8597828734716604</v>
      </c>
      <c r="DP24" s="5">
        <f t="shared" si="102"/>
        <v>0.13585501967606653</v>
      </c>
      <c r="DQ24" s="5">
        <f t="shared" si="103"/>
        <v>1.3427822146232555</v>
      </c>
      <c r="DR24" s="5">
        <f t="shared" si="104"/>
        <v>0</v>
      </c>
      <c r="DS24" s="5">
        <f t="shared" si="105"/>
        <v>1.946720026215403</v>
      </c>
      <c r="DT24" s="5">
        <f t="shared" si="106"/>
        <v>2.8115698019669844</v>
      </c>
      <c r="DU24" s="5">
        <f t="shared" si="107"/>
        <v>1.855013982678327</v>
      </c>
      <c r="DV24" s="5">
        <f t="shared" si="108"/>
        <v>4.8276081368303685E-2</v>
      </c>
      <c r="DW24" s="5">
        <f t="shared" si="109"/>
        <v>0.45275950924805042</v>
      </c>
      <c r="DX24" s="5">
        <f t="shared" si="110"/>
        <v>0.17365833106404147</v>
      </c>
      <c r="DY24" s="5">
        <f t="shared" si="111"/>
        <v>0</v>
      </c>
      <c r="DZ24" s="5">
        <f t="shared" si="112"/>
        <v>2.8635916839352349E-2</v>
      </c>
      <c r="EA24" s="5">
        <f t="shared" si="113"/>
        <v>1.9696456414750301</v>
      </c>
      <c r="EB24" s="5">
        <f t="shared" si="114"/>
        <v>15</v>
      </c>
      <c r="EC24" s="5">
        <f t="shared" si="115"/>
        <v>45.453542905916301</v>
      </c>
      <c r="ED24" s="1">
        <f t="shared" si="116"/>
        <v>6.7841211270684685</v>
      </c>
      <c r="EE24" s="5">
        <f t="shared" si="117"/>
        <v>0.13435657165869816</v>
      </c>
      <c r="EF24" s="5">
        <f t="shared" si="118"/>
        <v>1.3279716514798596</v>
      </c>
      <c r="EG24" s="5">
        <f t="shared" si="119"/>
        <v>0</v>
      </c>
      <c r="EH24" s="5">
        <f t="shared" si="120"/>
        <v>0.54645709408369925</v>
      </c>
      <c r="EI24" s="5">
        <f t="shared" si="121"/>
        <v>1.3787910809582307</v>
      </c>
      <c r="EJ24" s="5">
        <f t="shared" si="122"/>
        <v>2.7805588668871053</v>
      </c>
      <c r="EK24" s="5">
        <f t="shared" si="123"/>
        <v>1.8345536269906042</v>
      </c>
      <c r="EL24" s="5">
        <f t="shared" si="124"/>
        <v>4.7743607863937526E-2</v>
      </c>
      <c r="EM24" s="5">
        <f t="shared" si="125"/>
        <v>0.4477656813380102</v>
      </c>
      <c r="EN24" s="5">
        <f t="shared" si="126"/>
        <v>0.17174292166288074</v>
      </c>
      <c r="EO24" s="5">
        <f t="shared" si="127"/>
        <v>4.9366643221678634</v>
      </c>
      <c r="EP24" s="5">
        <f t="shared" si="128"/>
        <v>11.207947472292169</v>
      </c>
      <c r="EQ24" s="5">
        <f t="shared" si="129"/>
        <v>1.9835526293803181</v>
      </c>
      <c r="ER24" s="5">
        <f t="shared" si="130"/>
        <v>100.42426442384034</v>
      </c>
      <c r="ES24" s="5">
        <f t="shared" si="131"/>
        <v>6.7841211270684685</v>
      </c>
      <c r="ET24" s="5">
        <f t="shared" si="132"/>
        <v>1.2158788729315315</v>
      </c>
      <c r="EU24" s="5">
        <f t="shared" si="133"/>
        <v>0</v>
      </c>
      <c r="EV24" s="44">
        <f t="shared" si="134"/>
        <v>8</v>
      </c>
      <c r="EW24" s="5">
        <f t="shared" si="135"/>
        <v>0.11209277854832811</v>
      </c>
      <c r="EX24" s="5">
        <f t="shared" si="136"/>
        <v>0.13435657165869816</v>
      </c>
      <c r="EY24" s="5">
        <f t="shared" si="137"/>
        <v>0</v>
      </c>
      <c r="EZ24" s="5">
        <f t="shared" si="138"/>
        <v>0.54645709408369925</v>
      </c>
      <c r="FA24" s="5">
        <f t="shared" si="139"/>
        <v>2.7805588668871053</v>
      </c>
      <c r="FB24" s="5">
        <f t="shared" si="140"/>
        <v>1.3787910809582307</v>
      </c>
      <c r="FC24" s="5">
        <f t="shared" si="141"/>
        <v>4.7743607863937526E-2</v>
      </c>
      <c r="FD24" s="44">
        <f t="shared" si="142"/>
        <v>4.9999999999999991</v>
      </c>
      <c r="FE24" s="5">
        <f t="shared" si="143"/>
        <v>0</v>
      </c>
      <c r="FF24" s="5">
        <f t="shared" si="144"/>
        <v>1.8345536269906042</v>
      </c>
      <c r="FG24" s="5">
        <f t="shared" si="145"/>
        <v>0.1654463730093958</v>
      </c>
      <c r="FH24" s="44">
        <f t="shared" si="146"/>
        <v>2</v>
      </c>
      <c r="FI24" s="5">
        <f t="shared" si="147"/>
        <v>0.2823193083286144</v>
      </c>
      <c r="FJ24" s="5">
        <f t="shared" si="148"/>
        <v>0.17174292166288074</v>
      </c>
      <c r="FK24" s="44">
        <f t="shared" si="149"/>
        <v>0.45406222999149515</v>
      </c>
      <c r="FL24" s="1" t="str">
        <f t="shared" si="150"/>
        <v>Pass</v>
      </c>
      <c r="FM24" s="5">
        <f t="shared" si="151"/>
        <v>8.4409014622725279E-2</v>
      </c>
      <c r="FN24" s="1" t="str">
        <f t="shared" si="152"/>
        <v>Mg-Hbl</v>
      </c>
      <c r="FO24" s="5">
        <f t="shared" si="153"/>
        <v>8.0326884220749317</v>
      </c>
      <c r="FP24" s="5">
        <f t="shared" si="154"/>
        <v>1.3279716514798596</v>
      </c>
      <c r="FQ24" s="5">
        <f t="shared" si="155"/>
        <v>3.0155379386574581</v>
      </c>
      <c r="FR24" s="5">
        <f t="shared" si="156"/>
        <v>-1.5308113130815051</v>
      </c>
      <c r="FS24" s="1" t="str">
        <f t="shared" si="157"/>
        <v>YES</v>
      </c>
      <c r="FT24" s="32">
        <f t="shared" si="158"/>
        <v>824.15212900513484</v>
      </c>
      <c r="FU24" s="32">
        <f t="shared" si="159"/>
        <v>129.67121792756649</v>
      </c>
      <c r="FV24" s="46">
        <f t="shared" si="160"/>
        <v>0.94754437115286105</v>
      </c>
      <c r="FW24" s="47">
        <f t="shared" si="161"/>
        <v>-12.399542842586172</v>
      </c>
      <c r="FX24" s="46">
        <f t="shared" si="162"/>
        <v>4.2968190022799506</v>
      </c>
      <c r="FY24" s="50">
        <f t="shared" si="163"/>
        <v>140.98201550898182</v>
      </c>
      <c r="FZ24" s="32">
        <f t="shared" si="164"/>
        <v>124.12278056347213</v>
      </c>
      <c r="GA24" s="32">
        <f t="shared" si="165"/>
        <v>96.033551547645075</v>
      </c>
      <c r="GB24" s="32">
        <f t="shared" si="166"/>
        <v>-339.52156609993676</v>
      </c>
      <c r="GC24" s="32">
        <f t="shared" si="167"/>
        <v>396.85705868255423</v>
      </c>
      <c r="GD24" s="32">
        <f t="shared" si="168"/>
        <v>-463.6443466634089</v>
      </c>
      <c r="GE24" s="4">
        <f t="shared" si="169"/>
        <v>-1.814948114125031</v>
      </c>
      <c r="GF24" s="32">
        <f t="shared" si="170"/>
        <v>124.12278056347213</v>
      </c>
      <c r="GG24" s="1">
        <f t="shared" si="171"/>
        <v>47.34147606770442</v>
      </c>
      <c r="GH24" s="32">
        <f t="shared" si="172"/>
        <v>124.12278056347213</v>
      </c>
      <c r="GI24" s="32">
        <f t="shared" si="173"/>
        <v>782.60410845215836</v>
      </c>
      <c r="GJ24" s="46">
        <f t="shared" si="174"/>
        <v>1.6004468630895476</v>
      </c>
      <c r="GK24" s="46">
        <f t="shared" si="175"/>
        <v>78.599032738558904</v>
      </c>
      <c r="GL24" s="46">
        <f t="shared" si="176"/>
        <v>0.17550520769156278</v>
      </c>
      <c r="GM24" s="46">
        <f t="shared" si="177"/>
        <v>13.30208769886025</v>
      </c>
      <c r="GN24" s="46">
        <f t="shared" si="178"/>
        <v>0.6517451404479232</v>
      </c>
      <c r="GO24" s="46">
        <f t="shared" si="179"/>
        <v>-0.72978104751524242</v>
      </c>
      <c r="GP24" s="46">
        <f t="shared" si="180"/>
        <v>0.18051261760975734</v>
      </c>
      <c r="GQ24" s="46">
        <f t="shared" si="181"/>
        <v>7.9738656484933905</v>
      </c>
      <c r="GR24" s="46">
        <f t="shared" si="182"/>
        <v>5.9384574311477563</v>
      </c>
      <c r="GS24" s="46">
        <f t="shared" si="183"/>
        <v>106.0914254352943</v>
      </c>
      <c r="GU24" s="32">
        <f t="shared" si="184"/>
        <v>15244</v>
      </c>
      <c r="GV24" s="32">
        <f t="shared" si="185"/>
        <v>129.67121792756649</v>
      </c>
      <c r="GW24" s="32">
        <f t="shared" si="186"/>
        <v>824.15212900513484</v>
      </c>
      <c r="GX24" s="32">
        <f t="shared" si="187"/>
        <v>124.12278056347213</v>
      </c>
      <c r="GY24" s="32">
        <f t="shared" si="188"/>
        <v>782.60410845215836</v>
      </c>
    </row>
    <row r="25" spans="1:207">
      <c r="A25" s="35">
        <v>15245</v>
      </c>
      <c r="B25" s="2" t="s">
        <v>155</v>
      </c>
      <c r="C25" s="36">
        <v>46.84</v>
      </c>
      <c r="D25" s="36">
        <v>1.2403999999999999</v>
      </c>
      <c r="E25" s="36">
        <v>7.15</v>
      </c>
      <c r="F25" s="36"/>
      <c r="G25" s="36">
        <v>15.03</v>
      </c>
      <c r="H25" s="36">
        <v>13.06</v>
      </c>
      <c r="I25" s="36">
        <v>11.49</v>
      </c>
      <c r="J25" s="36">
        <v>0.36969999999999997</v>
      </c>
      <c r="K25" s="36">
        <v>1.43</v>
      </c>
      <c r="L25" s="36">
        <v>0.8236</v>
      </c>
      <c r="M25" s="36"/>
      <c r="N25" s="36">
        <v>0.1022</v>
      </c>
      <c r="O25" s="4">
        <f t="shared" si="0"/>
        <v>97.535899999999998</v>
      </c>
      <c r="P25" s="5">
        <f t="shared" si="1"/>
        <v>0.77957136889337153</v>
      </c>
      <c r="Q25" s="5">
        <f t="shared" si="2"/>
        <v>1.5531053341981174E-2</v>
      </c>
      <c r="R25" s="5">
        <f t="shared" si="3"/>
        <v>7.0124661837303801E-2</v>
      </c>
      <c r="S25" s="5">
        <f t="shared" si="4"/>
        <v>0</v>
      </c>
      <c r="T25" s="5">
        <f t="shared" si="5"/>
        <v>0.2092021090022326</v>
      </c>
      <c r="U25" s="5">
        <f t="shared" si="6"/>
        <v>0.32403410049523129</v>
      </c>
      <c r="V25" s="5">
        <f t="shared" si="7"/>
        <v>0.20489537674713876</v>
      </c>
      <c r="W25" s="5">
        <f t="shared" si="8"/>
        <v>5.2116337028133052E-3</v>
      </c>
      <c r="X25" s="5">
        <f t="shared" si="9"/>
        <v>2.3072353286455044E-2</v>
      </c>
      <c r="Y25" s="5">
        <f t="shared" si="10"/>
        <v>8.7434710603422651E-3</v>
      </c>
      <c r="Z25" s="5">
        <f t="shared" si="11"/>
        <v>0</v>
      </c>
      <c r="AA25" s="5">
        <f t="shared" si="12"/>
        <v>2.8827141515314772E-3</v>
      </c>
      <c r="AB25" s="5">
        <f t="shared" si="13"/>
        <v>1.5591427377867431</v>
      </c>
      <c r="AC25" s="5">
        <f t="shared" si="14"/>
        <v>3.1062106683962348E-2</v>
      </c>
      <c r="AD25" s="5">
        <f t="shared" si="15"/>
        <v>0.21037398551191139</v>
      </c>
      <c r="AE25" s="5">
        <f t="shared" si="16"/>
        <v>0</v>
      </c>
      <c r="AF25" s="5">
        <f t="shared" si="17"/>
        <v>0.2092021090022326</v>
      </c>
      <c r="AG25" s="5">
        <f t="shared" si="18"/>
        <v>0.32403410049523129</v>
      </c>
      <c r="AH25" s="5">
        <f t="shared" si="19"/>
        <v>0.20489537674713876</v>
      </c>
      <c r="AI25" s="5">
        <f t="shared" si="20"/>
        <v>5.2116337028133052E-3</v>
      </c>
      <c r="AJ25" s="5">
        <f t="shared" si="21"/>
        <v>2.3072353286455044E-2</v>
      </c>
      <c r="AK25" s="5">
        <f t="shared" si="22"/>
        <v>8.7434710603422651E-3</v>
      </c>
      <c r="AL25" s="5">
        <f t="shared" si="23"/>
        <v>2.5757378742768302</v>
      </c>
      <c r="AM25" s="4">
        <f t="shared" si="24"/>
        <v>13.922333994938557</v>
      </c>
      <c r="AN25" s="4">
        <f t="shared" si="25"/>
        <v>0.27736846239903912</v>
      </c>
      <c r="AO25" s="4">
        <f t="shared" si="26"/>
        <v>1.8785303097398676</v>
      </c>
      <c r="AP25" s="4">
        <f t="shared" si="27"/>
        <v>0</v>
      </c>
      <c r="AQ25" s="4">
        <f t="shared" si="28"/>
        <v>1.8680660618085134</v>
      </c>
      <c r="AR25" s="4">
        <f t="shared" si="29"/>
        <v>2.893456040624002</v>
      </c>
      <c r="AS25" s="4">
        <f t="shared" si="30"/>
        <v>1.8296091819930664</v>
      </c>
      <c r="AT25" s="4">
        <f t="shared" si="31"/>
        <v>4.6537179253288846E-2</v>
      </c>
      <c r="AU25" s="4">
        <f t="shared" si="32"/>
        <v>0.20602411871489695</v>
      </c>
      <c r="AV25" s="4">
        <f t="shared" si="33"/>
        <v>7.8074650528766762E-2</v>
      </c>
      <c r="AW25" s="4">
        <f t="shared" si="34"/>
        <v>22.999999999999996</v>
      </c>
      <c r="AX25" s="5">
        <f t="shared" si="35"/>
        <v>6.9611669974692783</v>
      </c>
      <c r="AY25" s="5">
        <f t="shared" si="36"/>
        <v>0.13868423119951956</v>
      </c>
      <c r="AZ25" s="5">
        <f t="shared" si="37"/>
        <v>1.2523535398265784</v>
      </c>
      <c r="BA25" s="5">
        <f t="shared" si="38"/>
        <v>0</v>
      </c>
      <c r="BB25" s="5">
        <f t="shared" si="39"/>
        <v>1.8680660618085134</v>
      </c>
      <c r="BC25" s="5">
        <f t="shared" si="40"/>
        <v>2.893456040624002</v>
      </c>
      <c r="BD25" s="5">
        <f t="shared" si="41"/>
        <v>1.8296091819930664</v>
      </c>
      <c r="BE25" s="5">
        <f t="shared" si="42"/>
        <v>4.6537179253288846E-2</v>
      </c>
      <c r="BF25" s="5">
        <f t="shared" si="43"/>
        <v>0.41204823742979391</v>
      </c>
      <c r="BG25" s="5">
        <f t="shared" si="44"/>
        <v>0.15614930105753352</v>
      </c>
      <c r="BH25" s="5">
        <f t="shared" si="45"/>
        <v>0</v>
      </c>
      <c r="BI25" s="5">
        <f t="shared" si="46"/>
        <v>2.5741138548051667E-2</v>
      </c>
      <c r="BJ25" s="5">
        <f t="shared" si="47"/>
        <v>1.9742588614519483</v>
      </c>
      <c r="BK25" s="5">
        <f t="shared" si="48"/>
        <v>15.558070770661574</v>
      </c>
      <c r="BL25" s="11">
        <f t="shared" si="49"/>
        <v>1</v>
      </c>
      <c r="BM25" s="11">
        <f t="shared" si="50"/>
        <v>1</v>
      </c>
      <c r="BN25" s="11">
        <f t="shared" si="51"/>
        <v>1</v>
      </c>
      <c r="BO25" s="11">
        <f t="shared" si="52"/>
        <v>1</v>
      </c>
      <c r="BP25" s="11">
        <f>1</f>
        <v>1</v>
      </c>
      <c r="BQ25" s="11">
        <f t="shared" si="53"/>
        <v>0.97400377385966164</v>
      </c>
      <c r="BR25" s="11">
        <f t="shared" si="54"/>
        <v>0.9739044592327496</v>
      </c>
      <c r="BS25" s="11">
        <f t="shared" si="55"/>
        <v>0.98022349329855607</v>
      </c>
      <c r="BT25" s="11">
        <f t="shared" si="56"/>
        <v>0.66234663622821388</v>
      </c>
      <c r="BU25" s="11">
        <f t="shared" si="57"/>
        <v>0.95938986822155403</v>
      </c>
      <c r="BV25" s="5">
        <f t="shared" si="58"/>
        <v>1</v>
      </c>
      <c r="BW25" s="11">
        <f t="shared" si="59"/>
        <v>0.98022349329855607</v>
      </c>
      <c r="BX25" s="11">
        <f t="shared" si="60"/>
        <v>0.99011174664927804</v>
      </c>
      <c r="BY25" s="11">
        <f t="shared" si="61"/>
        <v>6.8923332145816172</v>
      </c>
      <c r="BZ25" s="11">
        <f t="shared" si="62"/>
        <v>0.1373128863856686</v>
      </c>
      <c r="CA25" s="11">
        <f t="shared" si="63"/>
        <v>1.2399699507400996</v>
      </c>
      <c r="CB25" s="11">
        <f t="shared" si="64"/>
        <v>0</v>
      </c>
      <c r="CC25" s="11">
        <f t="shared" si="65"/>
        <v>1.8495941513134655</v>
      </c>
      <c r="CD25" s="11">
        <f t="shared" si="66"/>
        <v>2.864844814235135</v>
      </c>
      <c r="CE25" s="11">
        <f t="shared" si="67"/>
        <v>1.8115175428687118</v>
      </c>
      <c r="CF25" s="11">
        <f t="shared" si="68"/>
        <v>4.6077007834604361E-2</v>
      </c>
      <c r="CG25" s="11">
        <f t="shared" si="69"/>
        <v>0.40797380006536965</v>
      </c>
      <c r="CH25" s="11">
        <f t="shared" si="70"/>
        <v>0.15460525720813847</v>
      </c>
      <c r="CI25" s="11">
        <f t="shared" si="71"/>
        <v>15.404228625232811</v>
      </c>
      <c r="CJ25" s="11">
        <f t="shared" si="72"/>
        <v>0.45485965413321039</v>
      </c>
      <c r="CK25" s="11">
        <f t="shared" si="73"/>
        <v>1.3947344971802551</v>
      </c>
      <c r="CL25" s="13">
        <f t="shared" si="74"/>
        <v>3.0132025090590986E-2</v>
      </c>
      <c r="CN25" s="32">
        <f t="shared" si="75"/>
        <v>15245</v>
      </c>
      <c r="CO25" s="12">
        <f t="shared" si="76"/>
        <v>0.7230833036454043</v>
      </c>
      <c r="CP25" s="12">
        <f t="shared" si="77"/>
        <v>0.2769166963545957</v>
      </c>
      <c r="CQ25" s="12">
        <f t="shared" si="78"/>
        <v>6.6151582660858743E-2</v>
      </c>
      <c r="CR25" s="12">
        <f t="shared" si="79"/>
        <v>0.15460525720813847</v>
      </c>
      <c r="CS25" s="14">
        <f t="shared" si="80"/>
        <v>0.59577137476718911</v>
      </c>
      <c r="CT25" s="14">
        <f t="shared" si="81"/>
        <v>0.24962336802467266</v>
      </c>
      <c r="CU25" s="14">
        <f t="shared" si="82"/>
        <v>7.9175216020348604E-2</v>
      </c>
      <c r="CV25" s="12">
        <f t="shared" si="83"/>
        <v>0.9057587714343559</v>
      </c>
      <c r="CW25" s="2" t="str">
        <f t="shared" si="84"/>
        <v>26hHP06.7</v>
      </c>
      <c r="CY25" s="5">
        <f t="shared" si="85"/>
        <v>13.16026405018118</v>
      </c>
      <c r="CZ25" s="5">
        <f t="shared" si="86"/>
        <v>6.8763947761256929</v>
      </c>
      <c r="DA25" s="5">
        <f t="shared" si="87"/>
        <v>0.13699535197159921</v>
      </c>
      <c r="DB25" s="5">
        <f t="shared" si="88"/>
        <v>1.2371025349997731</v>
      </c>
      <c r="DC25" s="5">
        <f t="shared" si="89"/>
        <v>0</v>
      </c>
      <c r="DD25" s="5">
        <f t="shared" si="90"/>
        <v>1.8453169868712731</v>
      </c>
      <c r="DE25" s="5">
        <f t="shared" si="91"/>
        <v>2.8582198947287969</v>
      </c>
      <c r="DF25" s="5">
        <f t="shared" si="92"/>
        <v>1.8073284301299724</v>
      </c>
      <c r="DG25" s="5">
        <f t="shared" si="93"/>
        <v>4.5970455302864997E-2</v>
      </c>
      <c r="DH25" s="5">
        <f t="shared" si="94"/>
        <v>0.40703036551258065</v>
      </c>
      <c r="DI25" s="5">
        <f t="shared" si="95"/>
        <v>0.15424773439253214</v>
      </c>
      <c r="DJ25" s="5">
        <f t="shared" si="96"/>
        <v>0</v>
      </c>
      <c r="DK25" s="5">
        <f t="shared" si="97"/>
        <v>2.5427666181216529E-2</v>
      </c>
      <c r="DL25" s="5">
        <f t="shared" si="98"/>
        <v>1.9502165838778887</v>
      </c>
      <c r="DM25" s="5">
        <f t="shared" si="99"/>
        <v>13</v>
      </c>
      <c r="DN25" s="5">
        <f t="shared" si="100"/>
        <v>14.989873232174247</v>
      </c>
      <c r="DO25" s="5">
        <f t="shared" si="101"/>
        <v>6.9658697805340717</v>
      </c>
      <c r="DP25" s="5">
        <f t="shared" si="102"/>
        <v>0.13877792265298936</v>
      </c>
      <c r="DQ25" s="5">
        <f t="shared" si="103"/>
        <v>1.253199597250624</v>
      </c>
      <c r="DR25" s="5">
        <f t="shared" si="104"/>
        <v>0</v>
      </c>
      <c r="DS25" s="5">
        <f t="shared" si="105"/>
        <v>1.8693280785713036</v>
      </c>
      <c r="DT25" s="5">
        <f t="shared" si="106"/>
        <v>2.8954107841420811</v>
      </c>
      <c r="DU25" s="5">
        <f t="shared" si="107"/>
        <v>1.830845218289767</v>
      </c>
      <c r="DV25" s="5">
        <f t="shared" si="108"/>
        <v>4.6568618559163159E-2</v>
      </c>
      <c r="DW25" s="5">
        <f t="shared" si="109"/>
        <v>0.41232660648394348</v>
      </c>
      <c r="DX25" s="5">
        <f t="shared" si="110"/>
        <v>0.15625479145718341</v>
      </c>
      <c r="DY25" s="5">
        <f t="shared" si="111"/>
        <v>0</v>
      </c>
      <c r="DZ25" s="5">
        <f t="shared" si="112"/>
        <v>2.5758528590623019E-2</v>
      </c>
      <c r="EA25" s="5">
        <f t="shared" si="113"/>
        <v>1.9755926193035456</v>
      </c>
      <c r="EB25" s="5">
        <f t="shared" si="114"/>
        <v>15</v>
      </c>
      <c r="EC25" s="5">
        <f t="shared" si="115"/>
        <v>45.439817751359421</v>
      </c>
      <c r="ED25" s="1">
        <f t="shared" si="116"/>
        <v>6.8763947761256929</v>
      </c>
      <c r="EE25" s="5">
        <f t="shared" si="117"/>
        <v>0.13699535197159921</v>
      </c>
      <c r="EF25" s="5">
        <f t="shared" si="118"/>
        <v>1.2371025349997731</v>
      </c>
      <c r="EG25" s="5">
        <f t="shared" si="119"/>
        <v>0</v>
      </c>
      <c r="EH25" s="5">
        <f t="shared" si="120"/>
        <v>0.56018224864057942</v>
      </c>
      <c r="EI25" s="5">
        <f t="shared" si="121"/>
        <v>1.2851347382306937</v>
      </c>
      <c r="EJ25" s="5">
        <f t="shared" si="122"/>
        <v>2.8582198947287969</v>
      </c>
      <c r="EK25" s="5">
        <f t="shared" si="123"/>
        <v>1.8073284301299724</v>
      </c>
      <c r="EL25" s="5">
        <f t="shared" si="124"/>
        <v>4.5970455302864997E-2</v>
      </c>
      <c r="EM25" s="5">
        <f t="shared" si="125"/>
        <v>0.40703036551258065</v>
      </c>
      <c r="EN25" s="5">
        <f t="shared" si="126"/>
        <v>0.15424773439253214</v>
      </c>
      <c r="EO25" s="5">
        <f t="shared" si="127"/>
        <v>5.0706922273934874</v>
      </c>
      <c r="EP25" s="5">
        <f t="shared" si="128"/>
        <v>10.467348023689306</v>
      </c>
      <c r="EQ25" s="5">
        <f t="shared" si="129"/>
        <v>1.9928850249505443</v>
      </c>
      <c r="ER25" s="5">
        <f t="shared" si="130"/>
        <v>100.03682527603334</v>
      </c>
      <c r="ES25" s="5">
        <f t="shared" si="131"/>
        <v>6.8763947761256929</v>
      </c>
      <c r="ET25" s="5">
        <f t="shared" si="132"/>
        <v>1.1236052238743071</v>
      </c>
      <c r="EU25" s="5">
        <f t="shared" si="133"/>
        <v>0</v>
      </c>
      <c r="EV25" s="44">
        <f t="shared" si="134"/>
        <v>8</v>
      </c>
      <c r="EW25" s="5">
        <f t="shared" si="135"/>
        <v>0.11349731112546602</v>
      </c>
      <c r="EX25" s="5">
        <f t="shared" si="136"/>
        <v>0.13699535197159921</v>
      </c>
      <c r="EY25" s="5">
        <f t="shared" si="137"/>
        <v>0</v>
      </c>
      <c r="EZ25" s="5">
        <f t="shared" si="138"/>
        <v>0.56018224864057942</v>
      </c>
      <c r="FA25" s="5">
        <f t="shared" si="139"/>
        <v>2.8582198947287969</v>
      </c>
      <c r="FB25" s="5">
        <f t="shared" si="140"/>
        <v>1.2851347382306937</v>
      </c>
      <c r="FC25" s="5">
        <f t="shared" si="141"/>
        <v>4.5970455302864997E-2</v>
      </c>
      <c r="FD25" s="44">
        <f t="shared" si="142"/>
        <v>5.0000000000000009</v>
      </c>
      <c r="FE25" s="5">
        <f t="shared" si="143"/>
        <v>0</v>
      </c>
      <c r="FF25" s="5">
        <f t="shared" si="144"/>
        <v>1.8073284301299724</v>
      </c>
      <c r="FG25" s="5">
        <f t="shared" si="145"/>
        <v>0.19267156987002765</v>
      </c>
      <c r="FH25" s="44">
        <f t="shared" si="146"/>
        <v>2</v>
      </c>
      <c r="FI25" s="5">
        <f t="shared" si="147"/>
        <v>0.214358795642553</v>
      </c>
      <c r="FJ25" s="5">
        <f t="shared" si="148"/>
        <v>0.15424773439253214</v>
      </c>
      <c r="FK25" s="44">
        <f t="shared" si="149"/>
        <v>0.36860653003508514</v>
      </c>
      <c r="FL25" s="1" t="str">
        <f t="shared" si="150"/>
        <v>Pass</v>
      </c>
      <c r="FM25" s="5">
        <f t="shared" si="151"/>
        <v>9.174446572893559E-2</v>
      </c>
      <c r="FN25" s="1" t="str">
        <f t="shared" si="152"/>
        <v>Mg-Hbl</v>
      </c>
      <c r="FO25" s="5">
        <f t="shared" si="153"/>
        <v>8.149956281794033</v>
      </c>
      <c r="FP25" s="5">
        <f t="shared" si="154"/>
        <v>1.2371025349997731</v>
      </c>
      <c r="FQ25" s="5">
        <f t="shared" si="155"/>
        <v>3.1119026364918385</v>
      </c>
      <c r="FR25" s="5">
        <f t="shared" si="156"/>
        <v>-1.5207117781562141</v>
      </c>
      <c r="FS25" s="1" t="str">
        <f t="shared" si="157"/>
        <v>YES</v>
      </c>
      <c r="FT25" s="32">
        <f t="shared" si="158"/>
        <v>806.38757273986744</v>
      </c>
      <c r="FU25" s="32">
        <f t="shared" si="159"/>
        <v>113.78746480587775</v>
      </c>
      <c r="FV25" s="46">
        <f t="shared" si="160"/>
        <v>1.1059679343925826</v>
      </c>
      <c r="FW25" s="47">
        <f t="shared" si="161"/>
        <v>-12.613835129123435</v>
      </c>
      <c r="FX25" s="46">
        <f t="shared" si="162"/>
        <v>4.3494880769153434</v>
      </c>
      <c r="FY25" s="50">
        <f t="shared" ref="FY25:FY63" si="189">IF(FS25="yes", EXP(125.93-9.5876*$ED25-10.116*$EE25-8.1735*$EF25-9.2261*($EH25+$EI25)-8.7934*$EJ25-1.6659*$EK25+2.4835*$EM25+2.5192*$EN25), "")</f>
        <v>113.82217847582129</v>
      </c>
      <c r="FZ25" s="32">
        <f t="shared" ref="FZ25:FZ63" si="190">IF(FS25="yes", EXP(38.723-2.6957*$ED25-2.3565*$EE25-1.3006*$EF25-2.778*($EH25+$EI25)-2.4838*$EJ25-0.6614*$EK25-0.2705*$EM25+0.1117*$EN25), "")</f>
        <v>114.51674632036065</v>
      </c>
      <c r="GA25" s="32">
        <f t="shared" ref="GA25:GA63" si="191">IF(FS25="yes", 24023-1925.3*$ED25-1720.6*$EE25-1478.5*$EF25-1843.2*($EH25+$EI25)-1746.9*$EJ25-158.28*$EK25-40.444*$EM25+253.52*$EN25, "")</f>
        <v>61.373238222270473</v>
      </c>
      <c r="GB25" s="32">
        <f t="shared" ref="GB25:GB63" si="192">IF(FS25="yes", 26106-1991.9*$ED25-3035*$EE25-1472.2*$EF25-2454.8*($EH25+$EI25)-2125.8*$EJ25-830.64*$EK25+2708.8*$EM25+2204.1*$EN25, "")</f>
        <v>-492.71999313941672</v>
      </c>
      <c r="GC25" s="32">
        <f t="shared" ref="GC25:GC63" si="193">IF(FS25="yes", EXP(26.543-1.2085*$ED25-3.8593*$EE25-1.1054*$EF25-2.9068*($EH25+$EI25)-2.6483*$EJ25+0.5134*$EK25+2.9752*$EM25+1.8147*$EN25), "")</f>
        <v>337.67333628232115</v>
      </c>
      <c r="GD25" s="32">
        <f t="shared" ref="GD25:GD63" si="194">IF(FS25="yes", GB25-FZ25, "")</f>
        <v>-607.23673945977737</v>
      </c>
      <c r="GE25" s="4">
        <f t="shared" ref="GE25:GE63" si="195">IF(FS25="yes", (FY25-GC25)/FY25, "")</f>
        <v>-1.9666743406606957</v>
      </c>
      <c r="GF25" s="32">
        <f t="shared" ref="GF25:GF63" si="196">IF(FZ25&lt;335,FZ25,IF(GA25&lt;415,GA25,IF(GB25&lt;470,GA25,IF(GD25&gt;500,GC25,IF(GD25&gt;250,GB25,IF(GD25&lt;100,GA25,IF(GE25&lt;-0.45,GA25,AVERAGE(FZ25,GA25,GC25))))))))</f>
        <v>114.51674632036065</v>
      </c>
      <c r="GG25" s="1">
        <f t="shared" ref="GG25:GG63" si="197">IF(FS25="yes", ABS((FY25-GF25*200/(FY25+GF25))), "")</f>
        <v>13.517995627820525</v>
      </c>
      <c r="GH25" s="32">
        <f t="shared" ref="GH25:GH63" si="198">IF(FS25="yes", IF(GG25&lt;50, GF25, AVERAGE(FY25, GF25)), "")</f>
        <v>114.51674632036065</v>
      </c>
      <c r="GI25" s="32">
        <f t="shared" ref="GI25:GI63" si="199">IF(FS25="yes", 17098-1322.3*$ED25-1035.1*$EE25-1208.2*$EF25-1230.4*($EH25+$EI25)-1152.9*$EJ25-130.4*$EK25+200.54*$EM25+29.408*$EN25+24.41*LN(GH25), "")</f>
        <v>769.35963950016742</v>
      </c>
      <c r="GJ25" s="46">
        <f t="shared" ref="GJ25:GJ63" si="200">IF(FS25="yes", 214.39-17.042*$ED25-26.08*$EE25-16.389*$EF25-18.397*($EH25+$EI25)-15.152*$EJ25+0.2162*$EK25+6.1987*$EM25+14.389*$EN25, "")</f>
        <v>1.2319977308048546</v>
      </c>
      <c r="GK25" s="46">
        <f t="shared" ref="GK25:GK63" si="201">IF(FS25="yes", -142.31+22.008*$ED25-15.306*$EE25+2.188*$EF25+16.455*($EH25+$EI25)+12.868*$EJ25+0.4085*$EK25+6.71*$EM25+20.98*$EN25-9.6423*(10^8*GH25^-4), "")</f>
        <v>77.878809831129672</v>
      </c>
      <c r="GL25" s="46">
        <f t="shared" ref="GL25:GL63" si="202">IF(FS25="yes", EXP(97.954-9.0415*$ED25-4.2383*$EE25-4.4955*$EF25-8.4409*($EH25+$EI25)-7.2865*$EJ25-1.9255*$EK25-0.5651*$EM25+0.1928*$EN25+42.139*(GH25^(-1/3))), "")</f>
        <v>0.17096666242376049</v>
      </c>
      <c r="GM25" s="46">
        <f t="shared" ref="GM25:GM63" si="203">IF(FS25="yes", -52.839+3.3116*$ED25+6.8641*$EE25+8.64*$EF25+6.076*($EH25+$EI25)+6.9081*$EJ25-0.3402*$EK25+1.9713*$EM25-0.7151*$EN25+4.8816*(10^28*GH25^-14), "")</f>
        <v>13.327829150765066</v>
      </c>
      <c r="GN25" s="46">
        <f t="shared" ref="GN25:GN63" si="204">IF(FS25="yes", EXP(-8.6576+0.007*$ED25+4.5518*$EE25+1.8145*$EF25+1.1984*($EH25+$EI25)+1.2713*$EJ25+0.3236*$EK25-0.803*$EM25-5.3301*$EN25), "")</f>
        <v>0.63113583697027897</v>
      </c>
      <c r="GO25" s="46">
        <f t="shared" ref="GO25:GO63" si="205">IF(FS25="yes", 73.818-6.2053*$ED25-0.32*$EE25-3.9986*$EF25-6.2767*($EH25+$EI25)-5.3359*$EJ25+1.1256*$EK25-2.8936*$EM25-5.5058*$EN25+8.6765*(10^-62*GH25^20), "")</f>
        <v>-0.66899724186338572</v>
      </c>
      <c r="GP25" s="46">
        <f t="shared" ref="GP25:GP63" si="206">IF(FS25="yes", 130.54-12.941*$ED25-2.2341*$EE25+3.0863*$EF25-12.813*($EH25+$EI25)-10.362*$EJ25-4.016*$EK25-7.4515*$EM25-13.561*$EN25+224.48*GH25^-0.5, "")</f>
        <v>0.39768021768110628</v>
      </c>
      <c r="GQ25" s="46">
        <f t="shared" ref="GQ25:GQ63" si="207">IF(FS25="yes", EXP(7.1059-0.1302*$ED25-2.1327*$EE25-1.0459*$EF25-0.5768*($EH25+$EI25)-0.5424*$EJ25-0.9955*$EK25+1.0093*$EM25+9.231*$EN25-0.00051*GH25), "")</f>
        <v>7.2931689806475672</v>
      </c>
      <c r="GR25" s="46">
        <f t="shared" ref="GR25:GR63" si="208">IF(FS25="yes", EXP(-65.907+5.0981*$ED25+3.1308*$EE25+4.9211*$EF25+4.9744*($EH25+$EI25)+4.6536*$EJ25+1.0018*$EK25-0.789*$EM25-0.539*$EN25+0.4642*LN(GH25)), "")</f>
        <v>5.7756645115589054</v>
      </c>
      <c r="GS25" s="46">
        <f t="shared" ref="GS25:GS63" si="209">IF(FS25="yes", SUM(GK25:GR25), "")</f>
        <v>104.80625794931296</v>
      </c>
      <c r="GU25" s="32">
        <f t="shared" si="184"/>
        <v>15245</v>
      </c>
      <c r="GV25" s="32">
        <f t="shared" si="185"/>
        <v>113.78746480587775</v>
      </c>
      <c r="GW25" s="32">
        <f t="shared" si="186"/>
        <v>806.38757273986744</v>
      </c>
      <c r="GX25" s="32">
        <f t="shared" si="187"/>
        <v>114.51674632036065</v>
      </c>
      <c r="GY25" s="32">
        <f t="shared" si="188"/>
        <v>769.35963950016742</v>
      </c>
    </row>
    <row r="26" spans="1:207">
      <c r="A26" s="35">
        <v>15246</v>
      </c>
      <c r="B26" s="2" t="s">
        <v>156</v>
      </c>
      <c r="C26" s="36">
        <v>45.97</v>
      </c>
      <c r="D26" s="36">
        <v>1.3248</v>
      </c>
      <c r="E26" s="36">
        <v>7.63</v>
      </c>
      <c r="F26" s="36"/>
      <c r="G26" s="36">
        <v>15.35</v>
      </c>
      <c r="H26" s="36">
        <v>12.86</v>
      </c>
      <c r="I26" s="36">
        <v>11.67</v>
      </c>
      <c r="J26" s="36">
        <v>0.42680000000000001</v>
      </c>
      <c r="K26" s="36">
        <v>1.6</v>
      </c>
      <c r="L26" s="36">
        <v>0.89439999999999997</v>
      </c>
      <c r="M26" s="36"/>
      <c r="N26" s="36">
        <v>0.1396</v>
      </c>
      <c r="O26" s="4">
        <f t="shared" si="0"/>
        <v>97.865600000000001</v>
      </c>
      <c r="P26" s="5">
        <f t="shared" si="1"/>
        <v>0.76509171281016841</v>
      </c>
      <c r="Q26" s="5">
        <f t="shared" si="2"/>
        <v>1.658782607824626E-2</v>
      </c>
      <c r="R26" s="5">
        <f t="shared" si="3"/>
        <v>7.4832331443164757E-2</v>
      </c>
      <c r="S26" s="5">
        <f t="shared" si="4"/>
        <v>0</v>
      </c>
      <c r="T26" s="5">
        <f t="shared" si="5"/>
        <v>0.21365617918724356</v>
      </c>
      <c r="U26" s="5">
        <f t="shared" si="6"/>
        <v>0.31907186312164426</v>
      </c>
      <c r="V26" s="5">
        <f t="shared" si="7"/>
        <v>0.20810522599121925</v>
      </c>
      <c r="W26" s="5">
        <f t="shared" si="8"/>
        <v>6.0165682022199586E-3</v>
      </c>
      <c r="X26" s="5">
        <f t="shared" si="9"/>
        <v>2.5815220460369281E-2</v>
      </c>
      <c r="Y26" s="5">
        <f t="shared" si="10"/>
        <v>9.4950953331351656E-3</v>
      </c>
      <c r="Z26" s="5">
        <f t="shared" si="11"/>
        <v>0</v>
      </c>
      <c r="AA26" s="5">
        <f t="shared" si="12"/>
        <v>3.9376408566907453E-3</v>
      </c>
      <c r="AB26" s="5">
        <f t="shared" si="13"/>
        <v>1.5301834256203368</v>
      </c>
      <c r="AC26" s="5">
        <f t="shared" si="14"/>
        <v>3.317565215649252E-2</v>
      </c>
      <c r="AD26" s="5">
        <f t="shared" si="15"/>
        <v>0.22449699432949427</v>
      </c>
      <c r="AE26" s="5">
        <f t="shared" si="16"/>
        <v>0</v>
      </c>
      <c r="AF26" s="5">
        <f t="shared" si="17"/>
        <v>0.21365617918724356</v>
      </c>
      <c r="AG26" s="5">
        <f t="shared" si="18"/>
        <v>0.31907186312164426</v>
      </c>
      <c r="AH26" s="5">
        <f t="shared" si="19"/>
        <v>0.20810522599121925</v>
      </c>
      <c r="AI26" s="5">
        <f t="shared" si="20"/>
        <v>6.0165682022199586E-3</v>
      </c>
      <c r="AJ26" s="5">
        <f t="shared" si="21"/>
        <v>2.5815220460369281E-2</v>
      </c>
      <c r="AK26" s="5">
        <f t="shared" si="22"/>
        <v>9.4950953331351656E-3</v>
      </c>
      <c r="AL26" s="5">
        <f t="shared" si="23"/>
        <v>2.5700162244021549</v>
      </c>
      <c r="AM26" s="4">
        <f t="shared" si="24"/>
        <v>13.694162104931742</v>
      </c>
      <c r="AN26" s="4">
        <f t="shared" si="25"/>
        <v>0.2969008492453501</v>
      </c>
      <c r="AO26" s="4">
        <f t="shared" si="26"/>
        <v>2.0091043864049931</v>
      </c>
      <c r="AP26" s="4">
        <f t="shared" si="27"/>
        <v>0</v>
      </c>
      <c r="AQ26" s="4">
        <f t="shared" si="28"/>
        <v>1.9120860306824456</v>
      </c>
      <c r="AR26" s="4">
        <f t="shared" si="29"/>
        <v>2.8554889195319992</v>
      </c>
      <c r="AS26" s="4">
        <f t="shared" si="30"/>
        <v>1.8624085530477437</v>
      </c>
      <c r="AT26" s="4">
        <f t="shared" si="31"/>
        <v>5.3844433874439712E-2</v>
      </c>
      <c r="AU26" s="4">
        <f t="shared" si="32"/>
        <v>0.2310296973812348</v>
      </c>
      <c r="AV26" s="4">
        <f t="shared" si="33"/>
        <v>8.4975024900051252E-2</v>
      </c>
      <c r="AW26" s="4">
        <f t="shared" si="34"/>
        <v>22.999999999999996</v>
      </c>
      <c r="AX26" s="5">
        <f t="shared" si="35"/>
        <v>6.847081052465871</v>
      </c>
      <c r="AY26" s="5">
        <f t="shared" si="36"/>
        <v>0.14845042462267505</v>
      </c>
      <c r="AZ26" s="5">
        <f t="shared" si="37"/>
        <v>1.3394029242699954</v>
      </c>
      <c r="BA26" s="5">
        <f t="shared" si="38"/>
        <v>0</v>
      </c>
      <c r="BB26" s="5">
        <f t="shared" si="39"/>
        <v>1.9120860306824456</v>
      </c>
      <c r="BC26" s="5">
        <f t="shared" si="40"/>
        <v>2.8554889195319992</v>
      </c>
      <c r="BD26" s="5">
        <f t="shared" si="41"/>
        <v>1.8624085530477437</v>
      </c>
      <c r="BE26" s="5">
        <f t="shared" si="42"/>
        <v>5.3844433874439712E-2</v>
      </c>
      <c r="BF26" s="5">
        <f t="shared" si="43"/>
        <v>0.4620593947624696</v>
      </c>
      <c r="BG26" s="5">
        <f t="shared" si="44"/>
        <v>0.1699500498001025</v>
      </c>
      <c r="BH26" s="5">
        <f t="shared" si="45"/>
        <v>0</v>
      </c>
      <c r="BI26" s="5">
        <f t="shared" si="46"/>
        <v>3.5239364967415657E-2</v>
      </c>
      <c r="BJ26" s="5">
        <f t="shared" si="47"/>
        <v>1.9647606350325844</v>
      </c>
      <c r="BK26" s="5">
        <f t="shared" si="48"/>
        <v>15.650771783057742</v>
      </c>
      <c r="BL26" s="11">
        <f t="shared" si="49"/>
        <v>1</v>
      </c>
      <c r="BM26" s="11">
        <f t="shared" si="50"/>
        <v>1</v>
      </c>
      <c r="BN26" s="11">
        <f t="shared" si="51"/>
        <v>0.99875074003620923</v>
      </c>
      <c r="BO26" s="11">
        <f t="shared" si="52"/>
        <v>1</v>
      </c>
      <c r="BP26" s="11">
        <f>1</f>
        <v>1</v>
      </c>
      <c r="BQ26" s="11">
        <f t="shared" si="53"/>
        <v>0.97722050427682849</v>
      </c>
      <c r="BR26" s="11">
        <f t="shared" si="54"/>
        <v>0.96894081324993975</v>
      </c>
      <c r="BS26" s="11">
        <f t="shared" si="55"/>
        <v>0.98051483035284548</v>
      </c>
      <c r="BT26" s="11">
        <f t="shared" si="56"/>
        <v>0.66255716320695301</v>
      </c>
      <c r="BU26" s="11">
        <f t="shared" si="57"/>
        <v>0.95843291237646855</v>
      </c>
      <c r="BV26" s="5">
        <f t="shared" si="58"/>
        <v>0.99875074003620923</v>
      </c>
      <c r="BW26" s="11">
        <f t="shared" si="59"/>
        <v>0.98051483035284548</v>
      </c>
      <c r="BX26" s="11">
        <f t="shared" si="60"/>
        <v>0.98963278519452735</v>
      </c>
      <c r="BY26" s="11">
        <f t="shared" si="61"/>
        <v>6.7760958924044754</v>
      </c>
      <c r="BZ26" s="11">
        <f t="shared" si="62"/>
        <v>0.14691140718264814</v>
      </c>
      <c r="CA26" s="11">
        <f t="shared" si="63"/>
        <v>1.3255170464430102</v>
      </c>
      <c r="CB26" s="11">
        <f t="shared" si="64"/>
        <v>0</v>
      </c>
      <c r="CC26" s="11">
        <f t="shared" si="65"/>
        <v>1.8922630240758171</v>
      </c>
      <c r="CD26" s="11">
        <f t="shared" si="66"/>
        <v>2.8258854525285639</v>
      </c>
      <c r="CE26" s="11">
        <f t="shared" si="67"/>
        <v>1.8431005635227482</v>
      </c>
      <c r="CF26" s="11">
        <f t="shared" si="68"/>
        <v>5.3286217062384331E-2</v>
      </c>
      <c r="CG26" s="11">
        <f t="shared" si="69"/>
        <v>0.45726912576408041</v>
      </c>
      <c r="CH26" s="11">
        <f t="shared" si="70"/>
        <v>0.16818814112762406</v>
      </c>
      <c r="CI26" s="11">
        <f t="shared" si="71"/>
        <v>15.488516870111352</v>
      </c>
      <c r="CJ26" s="11">
        <f t="shared" si="72"/>
        <v>0.47689188105174174</v>
      </c>
      <c r="CK26" s="11">
        <f t="shared" si="73"/>
        <v>1.4153711430240754</v>
      </c>
      <c r="CL26" s="13">
        <f t="shared" si="74"/>
        <v>1.9959039696898273E-2</v>
      </c>
      <c r="CN26" s="32">
        <f t="shared" si="75"/>
        <v>15246</v>
      </c>
      <c r="CO26" s="12">
        <f t="shared" si="76"/>
        <v>0.69402397310111885</v>
      </c>
      <c r="CP26" s="12">
        <f t="shared" si="77"/>
        <v>0.30597602689888115</v>
      </c>
      <c r="CQ26" s="12">
        <f t="shared" si="78"/>
        <v>5.0806469423743117E-2</v>
      </c>
      <c r="CR26" s="12">
        <f t="shared" si="79"/>
        <v>0.16818814112762406</v>
      </c>
      <c r="CS26" s="14">
        <f t="shared" si="80"/>
        <v>0.51148312988864908</v>
      </c>
      <c r="CT26" s="14">
        <f t="shared" si="81"/>
        <v>0.32032872898372666</v>
      </c>
      <c r="CU26" s="14">
        <f t="shared" si="82"/>
        <v>6.8470198390176762E-2</v>
      </c>
      <c r="CV26" s="12">
        <f t="shared" si="83"/>
        <v>0.9215502817613741</v>
      </c>
      <c r="CW26" s="2" t="str">
        <f t="shared" si="84"/>
        <v>26hHP06.8</v>
      </c>
      <c r="CY26" s="5">
        <f t="shared" si="85"/>
        <v>13.156353785447427</v>
      </c>
      <c r="CZ26" s="5">
        <f t="shared" si="86"/>
        <v>6.7657084275519246</v>
      </c>
      <c r="DA26" s="5">
        <f t="shared" si="87"/>
        <v>0.14668619828614196</v>
      </c>
      <c r="DB26" s="5">
        <f t="shared" si="88"/>
        <v>1.3234850855690772</v>
      </c>
      <c r="DC26" s="5">
        <f t="shared" si="89"/>
        <v>0</v>
      </c>
      <c r="DD26" s="5">
        <f t="shared" si="90"/>
        <v>1.8893622658860751</v>
      </c>
      <c r="DE26" s="5">
        <f t="shared" si="91"/>
        <v>2.8215534911334514</v>
      </c>
      <c r="DF26" s="5">
        <f t="shared" si="92"/>
        <v>1.8402751692799113</v>
      </c>
      <c r="DG26" s="5">
        <f t="shared" si="93"/>
        <v>5.3204531573328398E-2</v>
      </c>
      <c r="DH26" s="5">
        <f t="shared" si="94"/>
        <v>0.4565681517744184</v>
      </c>
      <c r="DI26" s="5">
        <f t="shared" si="95"/>
        <v>0.16793031590904395</v>
      </c>
      <c r="DJ26" s="5">
        <f t="shared" si="96"/>
        <v>0</v>
      </c>
      <c r="DK26" s="5">
        <f t="shared" si="97"/>
        <v>3.4820570505114605E-2</v>
      </c>
      <c r="DL26" s="5">
        <f t="shared" si="98"/>
        <v>1.9414108705161244</v>
      </c>
      <c r="DM26" s="5">
        <f t="shared" si="99"/>
        <v>12.999999999999998</v>
      </c>
      <c r="DN26" s="5">
        <f t="shared" si="100"/>
        <v>15.01876233849517</v>
      </c>
      <c r="DO26" s="5">
        <f t="shared" si="101"/>
        <v>6.8385272682381952</v>
      </c>
      <c r="DP26" s="5">
        <f t="shared" si="102"/>
        <v>0.1482649714505862</v>
      </c>
      <c r="DQ26" s="5">
        <f t="shared" si="103"/>
        <v>1.3377296618213206</v>
      </c>
      <c r="DR26" s="5">
        <f t="shared" si="104"/>
        <v>0</v>
      </c>
      <c r="DS26" s="5">
        <f t="shared" si="105"/>
        <v>1.9096973381569906</v>
      </c>
      <c r="DT26" s="5">
        <f t="shared" si="106"/>
        <v>2.85192167154778</v>
      </c>
      <c r="DU26" s="5">
        <f t="shared" si="107"/>
        <v>1.8600819206061998</v>
      </c>
      <c r="DV26" s="5">
        <f t="shared" si="108"/>
        <v>5.3777168178927394E-2</v>
      </c>
      <c r="DW26" s="5">
        <f t="shared" si="109"/>
        <v>0.46148216245969947</v>
      </c>
      <c r="DX26" s="5">
        <f t="shared" si="110"/>
        <v>0.169737738007043</v>
      </c>
      <c r="DY26" s="5">
        <f t="shared" si="111"/>
        <v>0</v>
      </c>
      <c r="DZ26" s="5">
        <f t="shared" si="112"/>
        <v>3.5195341839612454E-2</v>
      </c>
      <c r="EA26" s="5">
        <f t="shared" si="113"/>
        <v>1.9623061382328062</v>
      </c>
      <c r="EB26" s="5">
        <f t="shared" si="114"/>
        <v>14.999999999999998</v>
      </c>
      <c r="EC26" s="5">
        <f t="shared" si="115"/>
        <v>45.453323143488497</v>
      </c>
      <c r="ED26" s="1">
        <f t="shared" si="116"/>
        <v>6.7657084275519246</v>
      </c>
      <c r="EE26" s="5">
        <f t="shared" si="117"/>
        <v>0.14668619828614196</v>
      </c>
      <c r="EF26" s="5">
        <f t="shared" si="118"/>
        <v>1.3234850855690772</v>
      </c>
      <c r="EG26" s="5">
        <f t="shared" si="119"/>
        <v>0</v>
      </c>
      <c r="EH26" s="5">
        <f t="shared" si="120"/>
        <v>0.54667685651150322</v>
      </c>
      <c r="EI26" s="5">
        <f t="shared" si="121"/>
        <v>1.3426854093745719</v>
      </c>
      <c r="EJ26" s="5">
        <f t="shared" si="122"/>
        <v>2.8215534911334514</v>
      </c>
      <c r="EK26" s="5">
        <f t="shared" si="123"/>
        <v>1.8402751692799113</v>
      </c>
      <c r="EL26" s="5">
        <f t="shared" si="124"/>
        <v>5.3204531573328398E-2</v>
      </c>
      <c r="EM26" s="5">
        <f t="shared" si="125"/>
        <v>0.4565681517744184</v>
      </c>
      <c r="EN26" s="5">
        <f t="shared" si="126"/>
        <v>0.16793031590904395</v>
      </c>
      <c r="EO26" s="5">
        <f t="shared" si="127"/>
        <v>4.9359839470013567</v>
      </c>
      <c r="EP26" s="5">
        <f t="shared" si="128"/>
        <v>10.908559679651416</v>
      </c>
      <c r="EQ26" s="5">
        <f t="shared" si="129"/>
        <v>1.9750850975791203</v>
      </c>
      <c r="ER26" s="5">
        <f t="shared" si="130"/>
        <v>100.33522872423188</v>
      </c>
      <c r="ES26" s="5">
        <f t="shared" si="131"/>
        <v>6.7657084275519246</v>
      </c>
      <c r="ET26" s="5">
        <f t="shared" si="132"/>
        <v>1.2342915724480754</v>
      </c>
      <c r="EU26" s="5">
        <f t="shared" si="133"/>
        <v>0</v>
      </c>
      <c r="EV26" s="44">
        <f t="shared" si="134"/>
        <v>8</v>
      </c>
      <c r="EW26" s="5">
        <f t="shared" si="135"/>
        <v>8.9193513121001766E-2</v>
      </c>
      <c r="EX26" s="5">
        <f t="shared" si="136"/>
        <v>0.14668619828614196</v>
      </c>
      <c r="EY26" s="5">
        <f t="shared" si="137"/>
        <v>0</v>
      </c>
      <c r="EZ26" s="5">
        <f t="shared" si="138"/>
        <v>0.54667685651150322</v>
      </c>
      <c r="FA26" s="5">
        <f t="shared" si="139"/>
        <v>2.8215534911334514</v>
      </c>
      <c r="FB26" s="5">
        <f t="shared" si="140"/>
        <v>1.3426854093745719</v>
      </c>
      <c r="FC26" s="5">
        <f t="shared" si="141"/>
        <v>5.3204531573328398E-2</v>
      </c>
      <c r="FD26" s="44">
        <f t="shared" si="142"/>
        <v>4.9999999999999982</v>
      </c>
      <c r="FE26" s="5">
        <f t="shared" si="143"/>
        <v>0</v>
      </c>
      <c r="FF26" s="5">
        <f t="shared" si="144"/>
        <v>1.8402751692799113</v>
      </c>
      <c r="FG26" s="5">
        <f t="shared" si="145"/>
        <v>0.1597248307200887</v>
      </c>
      <c r="FH26" s="44">
        <f t="shared" si="146"/>
        <v>2</v>
      </c>
      <c r="FI26" s="5">
        <f t="shared" si="147"/>
        <v>0.2968433210543297</v>
      </c>
      <c r="FJ26" s="5">
        <f t="shared" si="148"/>
        <v>0.16793031590904395</v>
      </c>
      <c r="FK26" s="44">
        <f t="shared" si="149"/>
        <v>0.46477363696337365</v>
      </c>
      <c r="FL26" s="1" t="str">
        <f t="shared" si="150"/>
        <v>Pass</v>
      </c>
      <c r="FM26" s="5">
        <f t="shared" si="151"/>
        <v>6.7392911407573586E-2</v>
      </c>
      <c r="FN26" s="1" t="str">
        <f t="shared" si="152"/>
        <v>Mg-Hbl</v>
      </c>
      <c r="FO26" s="5">
        <f t="shared" si="153"/>
        <v>8.0018808188663346</v>
      </c>
      <c r="FP26" s="5">
        <f t="shared" si="154"/>
        <v>1.3234850855690772</v>
      </c>
      <c r="FQ26" s="5">
        <f t="shared" si="155"/>
        <v>3.0291719073786272</v>
      </c>
      <c r="FR26" s="5">
        <f t="shared" si="156"/>
        <v>-1.5559492897092324</v>
      </c>
      <c r="FS26" s="1" t="str">
        <f t="shared" si="157"/>
        <v>YES</v>
      </c>
      <c r="FT26" s="32">
        <f t="shared" si="158"/>
        <v>828.81908039239556</v>
      </c>
      <c r="FU26" s="32">
        <f t="shared" si="159"/>
        <v>128.83731342928829</v>
      </c>
      <c r="FV26" s="46">
        <f t="shared" si="160"/>
        <v>0.96995861573046316</v>
      </c>
      <c r="FW26" s="47">
        <f t="shared" si="161"/>
        <v>-12.28331730223071</v>
      </c>
      <c r="FX26" s="46">
        <f t="shared" si="162"/>
        <v>4.1657244541663534</v>
      </c>
      <c r="FY26" s="50">
        <f t="shared" si="189"/>
        <v>149.97069874037251</v>
      </c>
      <c r="FZ26" s="32">
        <f t="shared" si="190"/>
        <v>126.3384303851941</v>
      </c>
      <c r="GA26" s="32">
        <f t="shared" si="191"/>
        <v>109.2057680722958</v>
      </c>
      <c r="GB26" s="32">
        <f t="shared" si="192"/>
        <v>-322.02602115154224</v>
      </c>
      <c r="GC26" s="32">
        <f t="shared" si="193"/>
        <v>395.89876830118908</v>
      </c>
      <c r="GD26" s="32">
        <f t="shared" si="194"/>
        <v>-448.36445153673634</v>
      </c>
      <c r="GE26" s="4">
        <f t="shared" si="195"/>
        <v>-1.6398407930776151</v>
      </c>
      <c r="GF26" s="32">
        <f t="shared" si="196"/>
        <v>126.3384303851941</v>
      </c>
      <c r="GG26" s="1">
        <f t="shared" si="197"/>
        <v>58.523535351297127</v>
      </c>
      <c r="GH26" s="32">
        <f t="shared" si="198"/>
        <v>138.15456456278332</v>
      </c>
      <c r="GI26" s="32">
        <f t="shared" si="199"/>
        <v>800.02220711889549</v>
      </c>
      <c r="GJ26" s="46">
        <f t="shared" si="200"/>
        <v>1.7061935654233595</v>
      </c>
      <c r="GK26" s="46">
        <f t="shared" si="201"/>
        <v>79.32923540751608</v>
      </c>
      <c r="GL26" s="46">
        <f t="shared" si="202"/>
        <v>0.14741780903262583</v>
      </c>
      <c r="GM26" s="46">
        <f t="shared" si="203"/>
        <v>13.186222086776612</v>
      </c>
      <c r="GN26" s="46">
        <f t="shared" si="204"/>
        <v>0.7004488178164997</v>
      </c>
      <c r="GO26" s="46">
        <f t="shared" si="205"/>
        <v>-0.59306756648715175</v>
      </c>
      <c r="GP26" s="46">
        <f t="shared" si="206"/>
        <v>-0.67505981779598301</v>
      </c>
      <c r="GQ26" s="46">
        <f t="shared" si="207"/>
        <v>7.5102256422289306</v>
      </c>
      <c r="GR26" s="46">
        <f t="shared" si="208"/>
        <v>5.8528133610806625</v>
      </c>
      <c r="GS26" s="46">
        <f t="shared" si="209"/>
        <v>105.45823574016828</v>
      </c>
      <c r="GU26" s="32">
        <f t="shared" si="184"/>
        <v>15246</v>
      </c>
      <c r="GV26" s="32">
        <f t="shared" si="185"/>
        <v>128.83731342928829</v>
      </c>
      <c r="GW26" s="32">
        <f t="shared" si="186"/>
        <v>828.81908039239556</v>
      </c>
      <c r="GX26" s="32">
        <f t="shared" si="187"/>
        <v>138.15456456278332</v>
      </c>
      <c r="GY26" s="32">
        <f t="shared" si="188"/>
        <v>800.02220711889549</v>
      </c>
    </row>
    <row r="27" spans="1:207">
      <c r="A27" s="35">
        <v>15247</v>
      </c>
      <c r="B27" s="2" t="s">
        <v>157</v>
      </c>
      <c r="C27" s="36">
        <v>45.19</v>
      </c>
      <c r="D27" s="36">
        <v>1.3705000000000001</v>
      </c>
      <c r="E27" s="36">
        <v>7.96</v>
      </c>
      <c r="F27" s="36"/>
      <c r="G27" s="36">
        <v>15.82</v>
      </c>
      <c r="H27" s="36">
        <v>12.26</v>
      </c>
      <c r="I27" s="36">
        <v>11.6</v>
      </c>
      <c r="J27" s="36">
        <v>0.3982</v>
      </c>
      <c r="K27" s="36">
        <v>1.57</v>
      </c>
      <c r="L27" s="36">
        <v>0.99460000000000004</v>
      </c>
      <c r="M27" s="36"/>
      <c r="N27" s="36">
        <v>0.14360000000000001</v>
      </c>
      <c r="O27" s="4">
        <f t="shared" si="0"/>
        <v>97.306899999999999</v>
      </c>
      <c r="P27" s="5">
        <f t="shared" si="1"/>
        <v>0.75210995218384835</v>
      </c>
      <c r="Q27" s="5">
        <f t="shared" si="2"/>
        <v>1.7160035960323446E-2</v>
      </c>
      <c r="R27" s="5">
        <f t="shared" si="3"/>
        <v>7.8068854297194165E-2</v>
      </c>
      <c r="S27" s="5">
        <f t="shared" si="4"/>
        <v>0</v>
      </c>
      <c r="T27" s="5">
        <f t="shared" si="5"/>
        <v>0.22019809477147839</v>
      </c>
      <c r="U27" s="5">
        <f t="shared" si="6"/>
        <v>0.30418515100088328</v>
      </c>
      <c r="V27" s="5">
        <f t="shared" si="7"/>
        <v>0.20685695128518794</v>
      </c>
      <c r="W27" s="5">
        <f t="shared" si="8"/>
        <v>5.6133961061949102E-3</v>
      </c>
      <c r="X27" s="5">
        <f t="shared" si="9"/>
        <v>2.5331185076737355E-2</v>
      </c>
      <c r="Y27" s="5">
        <f t="shared" si="10"/>
        <v>1.055883477005393E-2</v>
      </c>
      <c r="Z27" s="5">
        <f t="shared" si="11"/>
        <v>0</v>
      </c>
      <c r="AA27" s="5">
        <f t="shared" si="12"/>
        <v>4.050467242269277E-3</v>
      </c>
      <c r="AB27" s="5">
        <f t="shared" si="13"/>
        <v>1.5042199043676967</v>
      </c>
      <c r="AC27" s="5">
        <f t="shared" si="14"/>
        <v>3.4320071920646893E-2</v>
      </c>
      <c r="AD27" s="5">
        <f t="shared" si="15"/>
        <v>0.23420656289158248</v>
      </c>
      <c r="AE27" s="5">
        <f t="shared" si="16"/>
        <v>0</v>
      </c>
      <c r="AF27" s="5">
        <f t="shared" si="17"/>
        <v>0.22019809477147839</v>
      </c>
      <c r="AG27" s="5">
        <f t="shared" si="18"/>
        <v>0.30418515100088328</v>
      </c>
      <c r="AH27" s="5">
        <f t="shared" si="19"/>
        <v>0.20685695128518794</v>
      </c>
      <c r="AI27" s="5">
        <f t="shared" si="20"/>
        <v>5.6133961061949102E-3</v>
      </c>
      <c r="AJ27" s="5">
        <f t="shared" si="21"/>
        <v>2.5331185076737355E-2</v>
      </c>
      <c r="AK27" s="5">
        <f t="shared" si="22"/>
        <v>1.055883477005393E-2</v>
      </c>
      <c r="AL27" s="5">
        <f t="shared" si="23"/>
        <v>2.5454901521904625</v>
      </c>
      <c r="AM27" s="4">
        <f t="shared" si="24"/>
        <v>13.591511155792659</v>
      </c>
      <c r="AN27" s="4">
        <f t="shared" si="25"/>
        <v>0.31010202632118289</v>
      </c>
      <c r="AO27" s="4">
        <f t="shared" si="26"/>
        <v>2.1161939840430941</v>
      </c>
      <c r="AP27" s="4">
        <f t="shared" si="27"/>
        <v>0</v>
      </c>
      <c r="AQ27" s="4">
        <f t="shared" si="28"/>
        <v>1.9896192391024641</v>
      </c>
      <c r="AR27" s="4">
        <f t="shared" si="29"/>
        <v>2.7484916675084552</v>
      </c>
      <c r="AS27" s="4">
        <f t="shared" si="30"/>
        <v>1.8690741645435893</v>
      </c>
      <c r="AT27" s="4">
        <f t="shared" si="31"/>
        <v>5.0720333893801144E-2</v>
      </c>
      <c r="AU27" s="4">
        <f t="shared" si="32"/>
        <v>0.2288821491859245</v>
      </c>
      <c r="AV27" s="4">
        <f t="shared" si="33"/>
        <v>9.5405279608824528E-2</v>
      </c>
      <c r="AW27" s="4">
        <f t="shared" si="34"/>
        <v>22.999999999999996</v>
      </c>
      <c r="AX27" s="5">
        <f t="shared" si="35"/>
        <v>6.7957555778963297</v>
      </c>
      <c r="AY27" s="5">
        <f t="shared" si="36"/>
        <v>0.15505101316059144</v>
      </c>
      <c r="AZ27" s="5">
        <f t="shared" si="37"/>
        <v>1.4107959893620627</v>
      </c>
      <c r="BA27" s="5">
        <f t="shared" si="38"/>
        <v>0</v>
      </c>
      <c r="BB27" s="5">
        <f t="shared" si="39"/>
        <v>1.9896192391024641</v>
      </c>
      <c r="BC27" s="5">
        <f t="shared" si="40"/>
        <v>2.7484916675084552</v>
      </c>
      <c r="BD27" s="5">
        <f t="shared" si="41"/>
        <v>1.8690741645435893</v>
      </c>
      <c r="BE27" s="5">
        <f t="shared" si="42"/>
        <v>5.0720333893801144E-2</v>
      </c>
      <c r="BF27" s="5">
        <f t="shared" si="43"/>
        <v>0.45776429837184901</v>
      </c>
      <c r="BG27" s="5">
        <f t="shared" si="44"/>
        <v>0.19081055921764906</v>
      </c>
      <c r="BH27" s="5">
        <f t="shared" si="45"/>
        <v>0</v>
      </c>
      <c r="BI27" s="5">
        <f t="shared" si="46"/>
        <v>3.6598352773836523E-2</v>
      </c>
      <c r="BJ27" s="5">
        <f t="shared" si="47"/>
        <v>1.9634016472261635</v>
      </c>
      <c r="BK27" s="5">
        <f t="shared" si="48"/>
        <v>15.668082843056791</v>
      </c>
      <c r="BL27" s="11">
        <f t="shared" si="49"/>
        <v>1</v>
      </c>
      <c r="BM27" s="11">
        <f t="shared" si="50"/>
        <v>1</v>
      </c>
      <c r="BN27" s="11">
        <f t="shared" si="51"/>
        <v>0.99870115682310179</v>
      </c>
      <c r="BO27" s="11">
        <f t="shared" si="52"/>
        <v>1</v>
      </c>
      <c r="BP27" s="11">
        <f>1</f>
        <v>1</v>
      </c>
      <c r="BQ27" s="11">
        <f t="shared" si="53"/>
        <v>0.97483089388209421</v>
      </c>
      <c r="BR27" s="11">
        <f t="shared" si="54"/>
        <v>0.96916302336184301</v>
      </c>
      <c r="BS27" s="11">
        <f t="shared" si="55"/>
        <v>0.9809562312290232</v>
      </c>
      <c r="BT27" s="11">
        <f t="shared" si="56"/>
        <v>0.66223213244576373</v>
      </c>
      <c r="BU27" s="11">
        <f t="shared" si="57"/>
        <v>0.95674740784559864</v>
      </c>
      <c r="BV27" s="5">
        <f t="shared" si="58"/>
        <v>0.99870115682310179</v>
      </c>
      <c r="BW27" s="11">
        <f t="shared" si="59"/>
        <v>0.9809562312290232</v>
      </c>
      <c r="BX27" s="11">
        <f t="shared" si="60"/>
        <v>0.98982869402606255</v>
      </c>
      <c r="BY27" s="11">
        <f t="shared" si="61"/>
        <v>6.7266338685894542</v>
      </c>
      <c r="BZ27" s="11">
        <f t="shared" si="62"/>
        <v>0.15347394186416607</v>
      </c>
      <c r="CA27" s="11">
        <f t="shared" si="63"/>
        <v>1.3964463516874575</v>
      </c>
      <c r="CB27" s="11">
        <f t="shared" si="64"/>
        <v>0</v>
      </c>
      <c r="CC27" s="11">
        <f t="shared" si="65"/>
        <v>1.9693822130499203</v>
      </c>
      <c r="CD27" s="11">
        <f t="shared" si="66"/>
        <v>2.720535917791409</v>
      </c>
      <c r="CE27" s="11">
        <f t="shared" si="67"/>
        <v>1.850063239328035</v>
      </c>
      <c r="CF27" s="11">
        <f t="shared" si="68"/>
        <v>5.0204441858667022E-2</v>
      </c>
      <c r="CG27" s="11">
        <f t="shared" si="69"/>
        <v>0.45310823762916413</v>
      </c>
      <c r="CH27" s="11">
        <f t="shared" si="70"/>
        <v>0.18886976663678823</v>
      </c>
      <c r="CI27" s="11">
        <f t="shared" si="71"/>
        <v>15.50871797843506</v>
      </c>
      <c r="CJ27" s="11">
        <f t="shared" si="72"/>
        <v>0.4678800748011227</v>
      </c>
      <c r="CK27" s="11">
        <f t="shared" si="73"/>
        <v>1.5015021382487976</v>
      </c>
      <c r="CL27" s="13">
        <f t="shared" si="74"/>
        <v>1.6676734841075458E-2</v>
      </c>
      <c r="CN27" s="32">
        <f t="shared" si="75"/>
        <v>15247</v>
      </c>
      <c r="CO27" s="12">
        <f t="shared" si="76"/>
        <v>0.68165846714736356</v>
      </c>
      <c r="CP27" s="12">
        <f t="shared" si="77"/>
        <v>0.31834153285263644</v>
      </c>
      <c r="CQ27" s="12">
        <f t="shared" si="78"/>
        <v>6.1540110138455617E-2</v>
      </c>
      <c r="CR27" s="12">
        <f t="shared" si="79"/>
        <v>0.18886976663678823</v>
      </c>
      <c r="CS27" s="14">
        <f t="shared" si="80"/>
        <v>0.49128202156493717</v>
      </c>
      <c r="CT27" s="14">
        <f t="shared" si="81"/>
        <v>0.31984821179827438</v>
      </c>
      <c r="CU27" s="14">
        <f t="shared" si="82"/>
        <v>6.6630012915444792E-2</v>
      </c>
      <c r="CV27" s="12">
        <f t="shared" si="83"/>
        <v>0.92503161966401748</v>
      </c>
      <c r="CW27" s="2" t="str">
        <f t="shared" si="84"/>
        <v>26hHP06.9</v>
      </c>
      <c r="CY27" s="5">
        <f t="shared" si="85"/>
        <v>13.150433820923704</v>
      </c>
      <c r="CZ27" s="5">
        <f t="shared" si="86"/>
        <v>6.718015824853361</v>
      </c>
      <c r="DA27" s="5">
        <f t="shared" si="87"/>
        <v>0.1532773137780869</v>
      </c>
      <c r="DB27" s="5">
        <f t="shared" si="88"/>
        <v>1.3946572494456739</v>
      </c>
      <c r="DC27" s="5">
        <f t="shared" si="89"/>
        <v>0</v>
      </c>
      <c r="DD27" s="5">
        <f t="shared" si="90"/>
        <v>1.966859075567382</v>
      </c>
      <c r="DE27" s="5">
        <f t="shared" si="91"/>
        <v>2.7170504155352773</v>
      </c>
      <c r="DF27" s="5">
        <f t="shared" si="92"/>
        <v>1.8476929711935495</v>
      </c>
      <c r="DG27" s="5">
        <f t="shared" si="93"/>
        <v>5.0140120820219465E-2</v>
      </c>
      <c r="DH27" s="5">
        <f t="shared" si="94"/>
        <v>0.4525277234098149</v>
      </c>
      <c r="DI27" s="5">
        <f t="shared" si="95"/>
        <v>0.18862779004922606</v>
      </c>
      <c r="DJ27" s="5">
        <f t="shared" si="96"/>
        <v>0</v>
      </c>
      <c r="DK27" s="5">
        <f t="shared" si="97"/>
        <v>3.6179687494633198E-2</v>
      </c>
      <c r="DL27" s="5">
        <f t="shared" si="98"/>
        <v>1.9409413987033981</v>
      </c>
      <c r="DM27" s="5">
        <f t="shared" si="99"/>
        <v>13.000000000000002</v>
      </c>
      <c r="DN27" s="5">
        <f t="shared" si="100"/>
        <v>15.019507985467293</v>
      </c>
      <c r="DO27" s="5">
        <f t="shared" si="101"/>
        <v>6.786928957132111</v>
      </c>
      <c r="DP27" s="5">
        <f t="shared" si="102"/>
        <v>0.15484962621007664</v>
      </c>
      <c r="DQ27" s="5">
        <f t="shared" si="103"/>
        <v>1.4089635866172843</v>
      </c>
      <c r="DR27" s="5">
        <f t="shared" si="104"/>
        <v>0</v>
      </c>
      <c r="DS27" s="5">
        <f t="shared" si="105"/>
        <v>1.9870350357291304</v>
      </c>
      <c r="DT27" s="5">
        <f t="shared" si="106"/>
        <v>2.7449218078593502</v>
      </c>
      <c r="DU27" s="5">
        <f t="shared" si="107"/>
        <v>1.866646530317855</v>
      </c>
      <c r="DV27" s="5">
        <f t="shared" si="108"/>
        <v>5.0654456134193178E-2</v>
      </c>
      <c r="DW27" s="5">
        <f t="shared" si="109"/>
        <v>0.45716973433628111</v>
      </c>
      <c r="DX27" s="5">
        <f t="shared" si="110"/>
        <v>0.19056272622472908</v>
      </c>
      <c r="DY27" s="5">
        <f t="shared" si="111"/>
        <v>0</v>
      </c>
      <c r="DZ27" s="5">
        <f t="shared" si="112"/>
        <v>3.655081725305051E-2</v>
      </c>
      <c r="EA27" s="5">
        <f t="shared" si="113"/>
        <v>1.9608514963931531</v>
      </c>
      <c r="EB27" s="5">
        <f t="shared" si="114"/>
        <v>15</v>
      </c>
      <c r="EC27" s="5">
        <f t="shared" si="115"/>
        <v>45.473784982554712</v>
      </c>
      <c r="ED27" s="1">
        <f t="shared" si="116"/>
        <v>6.718015824853361</v>
      </c>
      <c r="EE27" s="5">
        <f t="shared" si="117"/>
        <v>0.1532773137780869</v>
      </c>
      <c r="EF27" s="5">
        <f t="shared" si="118"/>
        <v>1.3946572494456739</v>
      </c>
      <c r="EG27" s="5">
        <f t="shared" si="119"/>
        <v>0</v>
      </c>
      <c r="EH27" s="5">
        <f t="shared" si="120"/>
        <v>0.52621501744528842</v>
      </c>
      <c r="EI27" s="5">
        <f t="shared" si="121"/>
        <v>1.4406440581220936</v>
      </c>
      <c r="EJ27" s="5">
        <f t="shared" si="122"/>
        <v>2.7170504155352773</v>
      </c>
      <c r="EK27" s="5">
        <f t="shared" si="123"/>
        <v>1.8476929711935495</v>
      </c>
      <c r="EL27" s="5">
        <f t="shared" si="124"/>
        <v>5.0140120820219465E-2</v>
      </c>
      <c r="EM27" s="5">
        <f t="shared" si="125"/>
        <v>0.4525277234098149</v>
      </c>
      <c r="EN27" s="5">
        <f t="shared" si="126"/>
        <v>0.18862779004922606</v>
      </c>
      <c r="EO27" s="5">
        <f t="shared" si="127"/>
        <v>4.7037732818275684</v>
      </c>
      <c r="EP27" s="5">
        <f t="shared" si="128"/>
        <v>11.587504810387587</v>
      </c>
      <c r="EQ27" s="5">
        <f t="shared" si="129"/>
        <v>1.9547864049147616</v>
      </c>
      <c r="ER27" s="5">
        <f t="shared" si="130"/>
        <v>99.732964497129913</v>
      </c>
      <c r="ES27" s="5">
        <f t="shared" si="131"/>
        <v>6.718015824853361</v>
      </c>
      <c r="ET27" s="5">
        <f t="shared" si="132"/>
        <v>1.281984175146639</v>
      </c>
      <c r="EU27" s="5">
        <f t="shared" si="133"/>
        <v>0</v>
      </c>
      <c r="EV27" s="44">
        <f t="shared" si="134"/>
        <v>8</v>
      </c>
      <c r="EW27" s="5">
        <f t="shared" si="135"/>
        <v>0.11267307429903495</v>
      </c>
      <c r="EX27" s="5">
        <f t="shared" si="136"/>
        <v>0.1532773137780869</v>
      </c>
      <c r="EY27" s="5">
        <f t="shared" si="137"/>
        <v>0</v>
      </c>
      <c r="EZ27" s="5">
        <f t="shared" si="138"/>
        <v>0.52621501744528842</v>
      </c>
      <c r="FA27" s="5">
        <f t="shared" si="139"/>
        <v>2.7170504155352773</v>
      </c>
      <c r="FB27" s="5">
        <f t="shared" si="140"/>
        <v>1.4406440581220936</v>
      </c>
      <c r="FC27" s="5">
        <f t="shared" si="141"/>
        <v>5.0140120820219465E-2</v>
      </c>
      <c r="FD27" s="44">
        <f t="shared" si="142"/>
        <v>5.0000000000000009</v>
      </c>
      <c r="FE27" s="5">
        <f t="shared" si="143"/>
        <v>0</v>
      </c>
      <c r="FF27" s="5">
        <f t="shared" si="144"/>
        <v>1.8476929711935495</v>
      </c>
      <c r="FG27" s="5">
        <f t="shared" si="145"/>
        <v>0.15230702880645053</v>
      </c>
      <c r="FH27" s="44">
        <f t="shared" si="146"/>
        <v>2</v>
      </c>
      <c r="FI27" s="5">
        <f t="shared" si="147"/>
        <v>0.30022069460336437</v>
      </c>
      <c r="FJ27" s="5">
        <f t="shared" si="148"/>
        <v>0.18862779004922606</v>
      </c>
      <c r="FK27" s="44">
        <f t="shared" si="149"/>
        <v>0.48884848465259045</v>
      </c>
      <c r="FL27" s="1" t="str">
        <f t="shared" si="150"/>
        <v>Pass</v>
      </c>
      <c r="FM27" s="5">
        <f t="shared" si="151"/>
        <v>8.0789078710069046E-2</v>
      </c>
      <c r="FN27" s="1" t="str">
        <f t="shared" si="152"/>
        <v>Mg-Hbl</v>
      </c>
      <c r="FO27" s="5">
        <f t="shared" si="153"/>
        <v>7.9504428394672031</v>
      </c>
      <c r="FP27" s="5">
        <f t="shared" si="154"/>
        <v>1.3946572494456739</v>
      </c>
      <c r="FQ27" s="5">
        <f t="shared" si="155"/>
        <v>2.9216734907617421</v>
      </c>
      <c r="FR27" s="5">
        <f t="shared" si="156"/>
        <v>-1.5346709800461278</v>
      </c>
      <c r="FS27" s="1" t="str">
        <f t="shared" si="157"/>
        <v>YES</v>
      </c>
      <c r="FT27" s="32">
        <f t="shared" si="158"/>
        <v>836.61126557763191</v>
      </c>
      <c r="FU27" s="32">
        <f t="shared" si="159"/>
        <v>142.72162346007369</v>
      </c>
      <c r="FV27" s="46">
        <f t="shared" si="160"/>
        <v>0.79323121881230385</v>
      </c>
      <c r="FW27" s="47">
        <f t="shared" si="161"/>
        <v>-12.298859030658686</v>
      </c>
      <c r="FX27" s="46">
        <f t="shared" si="162"/>
        <v>4.2766908390594427</v>
      </c>
      <c r="FY27" s="50">
        <f t="shared" si="189"/>
        <v>156.48959327461858</v>
      </c>
      <c r="FZ27" s="32">
        <f t="shared" si="190"/>
        <v>134.58662478570005</v>
      </c>
      <c r="GA27" s="32">
        <f t="shared" si="191"/>
        <v>128.41046664062387</v>
      </c>
      <c r="GB27" s="32">
        <f t="shared" si="192"/>
        <v>-291.38428389573153</v>
      </c>
      <c r="GC27" s="32">
        <f t="shared" si="193"/>
        <v>409.73841481868919</v>
      </c>
      <c r="GD27" s="32">
        <f t="shared" si="194"/>
        <v>-425.97090868143158</v>
      </c>
      <c r="GE27" s="4">
        <f t="shared" si="195"/>
        <v>-1.6183109448029067</v>
      </c>
      <c r="GF27" s="32">
        <f t="shared" si="196"/>
        <v>134.58662478570005</v>
      </c>
      <c r="GG27" s="1">
        <f t="shared" si="197"/>
        <v>64.014415685352134</v>
      </c>
      <c r="GH27" s="32">
        <f t="shared" si="198"/>
        <v>145.53810903015932</v>
      </c>
      <c r="GI27" s="32">
        <f t="shared" si="199"/>
        <v>795.50501098336895</v>
      </c>
      <c r="GJ27" s="46">
        <f t="shared" si="200"/>
        <v>1.6127300894384771</v>
      </c>
      <c r="GK27" s="46">
        <f t="shared" si="201"/>
        <v>79.172680603815337</v>
      </c>
      <c r="GL27" s="46">
        <f t="shared" si="202"/>
        <v>0.15380071920498314</v>
      </c>
      <c r="GM27" s="46">
        <f t="shared" si="203"/>
        <v>13.384737819445307</v>
      </c>
      <c r="GN27" s="46">
        <f t="shared" si="204"/>
        <v>0.71043215579107211</v>
      </c>
      <c r="GO27" s="46">
        <f t="shared" si="205"/>
        <v>-0.60654038640970231</v>
      </c>
      <c r="GP27" s="46">
        <f t="shared" si="206"/>
        <v>-0.53416339744610397</v>
      </c>
      <c r="GQ27" s="46">
        <f t="shared" si="207"/>
        <v>8.3460795020773961</v>
      </c>
      <c r="GR27" s="46">
        <f t="shared" si="208"/>
        <v>6.1563117218847516</v>
      </c>
      <c r="GS27" s="46">
        <f t="shared" si="209"/>
        <v>106.78333873836303</v>
      </c>
      <c r="GU27" s="32">
        <f t="shared" si="184"/>
        <v>15247</v>
      </c>
      <c r="GV27" s="32">
        <f t="shared" si="185"/>
        <v>142.72162346007369</v>
      </c>
      <c r="GW27" s="32">
        <f t="shared" si="186"/>
        <v>836.61126557763191</v>
      </c>
      <c r="GX27" s="32">
        <f t="shared" si="187"/>
        <v>145.53810903015932</v>
      </c>
      <c r="GY27" s="32">
        <f t="shared" si="188"/>
        <v>795.50501098336895</v>
      </c>
    </row>
    <row r="28" spans="1:207">
      <c r="A28" s="35">
        <v>15248</v>
      </c>
      <c r="B28" s="2" t="s">
        <v>151</v>
      </c>
      <c r="C28" s="36">
        <v>46.77</v>
      </c>
      <c r="D28" s="36">
        <v>1.1760999999999999</v>
      </c>
      <c r="E28" s="36">
        <v>7.09</v>
      </c>
      <c r="F28" s="36"/>
      <c r="G28" s="36">
        <v>14.94</v>
      </c>
      <c r="H28" s="36">
        <v>13.17</v>
      </c>
      <c r="I28" s="36">
        <v>11.59</v>
      </c>
      <c r="J28" s="36">
        <v>0.40379999999999999</v>
      </c>
      <c r="K28" s="36">
        <v>1.49</v>
      </c>
      <c r="L28" s="36">
        <v>0.83489999999999998</v>
      </c>
      <c r="M28" s="36"/>
      <c r="N28" s="36">
        <v>9.0999999999999998E-2</v>
      </c>
      <c r="O28" s="4">
        <f t="shared" si="0"/>
        <v>97.555800000000005</v>
      </c>
      <c r="P28" s="5">
        <f t="shared" si="1"/>
        <v>0.7784063390935736</v>
      </c>
      <c r="Q28" s="5">
        <f t="shared" si="2"/>
        <v>1.4725952785798177E-2</v>
      </c>
      <c r="R28" s="5">
        <f t="shared" si="3"/>
        <v>6.9536203136571176E-2</v>
      </c>
      <c r="S28" s="5">
        <f t="shared" si="4"/>
        <v>0</v>
      </c>
      <c r="T28" s="5">
        <f t="shared" si="5"/>
        <v>0.2079494017626983</v>
      </c>
      <c r="U28" s="5">
        <f t="shared" si="6"/>
        <v>0.32676333105070415</v>
      </c>
      <c r="V28" s="5">
        <f t="shared" si="7"/>
        <v>0.20667862632718348</v>
      </c>
      <c r="W28" s="5">
        <f t="shared" si="8"/>
        <v>5.6923388942277863E-3</v>
      </c>
      <c r="X28" s="5">
        <f t="shared" si="9"/>
        <v>2.4040424053718892E-2</v>
      </c>
      <c r="Y28" s="5">
        <f t="shared" si="10"/>
        <v>8.8634336914518667E-3</v>
      </c>
      <c r="Z28" s="5">
        <f t="shared" si="11"/>
        <v>0</v>
      </c>
      <c r="AA28" s="5">
        <f t="shared" si="12"/>
        <v>2.5668002719115893E-3</v>
      </c>
      <c r="AB28" s="5">
        <f t="shared" si="13"/>
        <v>1.5568126781871472</v>
      </c>
      <c r="AC28" s="5">
        <f t="shared" si="14"/>
        <v>2.9451905571596354E-2</v>
      </c>
      <c r="AD28" s="5">
        <f t="shared" si="15"/>
        <v>0.20860860940971354</v>
      </c>
      <c r="AE28" s="5">
        <f t="shared" si="16"/>
        <v>0</v>
      </c>
      <c r="AF28" s="5">
        <f t="shared" si="17"/>
        <v>0.2079494017626983</v>
      </c>
      <c r="AG28" s="5">
        <f t="shared" si="18"/>
        <v>0.32676333105070415</v>
      </c>
      <c r="AH28" s="5">
        <f t="shared" si="19"/>
        <v>0.20667862632718348</v>
      </c>
      <c r="AI28" s="5">
        <f t="shared" si="20"/>
        <v>5.6923388942277863E-3</v>
      </c>
      <c r="AJ28" s="5">
        <f t="shared" si="21"/>
        <v>2.4040424053718892E-2</v>
      </c>
      <c r="AK28" s="5">
        <f t="shared" si="22"/>
        <v>8.8634336914518667E-3</v>
      </c>
      <c r="AL28" s="5">
        <f t="shared" si="23"/>
        <v>2.5748607489484416</v>
      </c>
      <c r="AM28" s="4">
        <f t="shared" si="24"/>
        <v>13.906263324308947</v>
      </c>
      <c r="AN28" s="4">
        <f t="shared" si="25"/>
        <v>0.26307979117836172</v>
      </c>
      <c r="AO28" s="4">
        <f t="shared" si="26"/>
        <v>1.8634009696962783</v>
      </c>
      <c r="AP28" s="4">
        <f t="shared" si="27"/>
        <v>0</v>
      </c>
      <c r="AQ28" s="4">
        <f t="shared" si="28"/>
        <v>1.8575125829602022</v>
      </c>
      <c r="AR28" s="4">
        <f t="shared" si="29"/>
        <v>2.9188206069922442</v>
      </c>
      <c r="AS28" s="4">
        <f t="shared" si="30"/>
        <v>1.8461613535670101</v>
      </c>
      <c r="AT28" s="4">
        <f t="shared" si="31"/>
        <v>5.0846941769844299E-2</v>
      </c>
      <c r="AU28" s="4">
        <f t="shared" si="32"/>
        <v>0.21474161407033288</v>
      </c>
      <c r="AV28" s="4">
        <f t="shared" si="33"/>
        <v>7.9172815456776749E-2</v>
      </c>
      <c r="AW28" s="4">
        <f t="shared" si="34"/>
        <v>22.999999999999996</v>
      </c>
      <c r="AX28" s="5">
        <f t="shared" si="35"/>
        <v>6.9531316621544734</v>
      </c>
      <c r="AY28" s="5">
        <f t="shared" si="36"/>
        <v>0.13153989558918086</v>
      </c>
      <c r="AZ28" s="5">
        <f t="shared" si="37"/>
        <v>1.2422673131308521</v>
      </c>
      <c r="BA28" s="5">
        <f t="shared" si="38"/>
        <v>0</v>
      </c>
      <c r="BB28" s="5">
        <f t="shared" si="39"/>
        <v>1.8575125829602022</v>
      </c>
      <c r="BC28" s="5">
        <f t="shared" si="40"/>
        <v>2.9188206069922442</v>
      </c>
      <c r="BD28" s="5">
        <f t="shared" si="41"/>
        <v>1.8461613535670101</v>
      </c>
      <c r="BE28" s="5">
        <f t="shared" si="42"/>
        <v>5.0846941769844299E-2</v>
      </c>
      <c r="BF28" s="5">
        <f t="shared" si="43"/>
        <v>0.42948322814066575</v>
      </c>
      <c r="BG28" s="5">
        <f t="shared" si="44"/>
        <v>0.1583456309135535</v>
      </c>
      <c r="BH28" s="5">
        <f t="shared" si="45"/>
        <v>0</v>
      </c>
      <c r="BI28" s="5">
        <f t="shared" si="46"/>
        <v>2.2927999612436006E-2</v>
      </c>
      <c r="BJ28" s="5">
        <f t="shared" si="47"/>
        <v>1.9770720003875639</v>
      </c>
      <c r="BK28" s="5">
        <f t="shared" si="48"/>
        <v>15.588109215218028</v>
      </c>
      <c r="BL28" s="11">
        <f t="shared" si="49"/>
        <v>1</v>
      </c>
      <c r="BM28" s="11">
        <f t="shared" si="50"/>
        <v>1</v>
      </c>
      <c r="BN28" s="11">
        <f t="shared" si="51"/>
        <v>0.99998130993840439</v>
      </c>
      <c r="BO28" s="11">
        <f t="shared" si="52"/>
        <v>1</v>
      </c>
      <c r="BP28" s="11">
        <f>1</f>
        <v>1</v>
      </c>
      <c r="BQ28" s="11">
        <f t="shared" si="53"/>
        <v>0.97615747862006652</v>
      </c>
      <c r="BR28" s="11">
        <f t="shared" si="54"/>
        <v>0.97214710504432877</v>
      </c>
      <c r="BS28" s="11">
        <f t="shared" si="55"/>
        <v>0.98068141222178162</v>
      </c>
      <c r="BT28" s="11">
        <f t="shared" si="56"/>
        <v>0.66265467460932437</v>
      </c>
      <c r="BU28" s="11">
        <f t="shared" si="57"/>
        <v>0.95961929167477822</v>
      </c>
      <c r="BV28" s="5">
        <f t="shared" si="58"/>
        <v>0.99998130993840439</v>
      </c>
      <c r="BW28" s="11">
        <f t="shared" si="59"/>
        <v>0.98068141222178162</v>
      </c>
      <c r="BX28" s="11">
        <f t="shared" si="60"/>
        <v>0.99033136108009301</v>
      </c>
      <c r="BY28" s="11">
        <f t="shared" si="61"/>
        <v>6.8859043427505293</v>
      </c>
      <c r="BZ28" s="11">
        <f t="shared" si="62"/>
        <v>0.1302680838351668</v>
      </c>
      <c r="CA28" s="11">
        <f t="shared" si="63"/>
        <v>1.2302562790381868</v>
      </c>
      <c r="CB28" s="11">
        <f t="shared" si="64"/>
        <v>0</v>
      </c>
      <c r="CC28" s="11">
        <f t="shared" si="65"/>
        <v>1.8395529645063762</v>
      </c>
      <c r="CD28" s="11">
        <f t="shared" si="66"/>
        <v>2.8905995844712526</v>
      </c>
      <c r="CE28" s="11">
        <f t="shared" si="67"/>
        <v>1.828311486051484</v>
      </c>
      <c r="CF28" s="11">
        <f t="shared" si="68"/>
        <v>5.0355321049690135E-2</v>
      </c>
      <c r="CG28" s="11">
        <f t="shared" si="69"/>
        <v>0.42533070988561761</v>
      </c>
      <c r="CH28" s="11">
        <f t="shared" si="70"/>
        <v>0.1568146441837055</v>
      </c>
      <c r="CI28" s="11">
        <f t="shared" si="71"/>
        <v>15.437393415772009</v>
      </c>
      <c r="CJ28" s="11">
        <f t="shared" si="72"/>
        <v>0.44475739031572159</v>
      </c>
      <c r="CK28" s="11">
        <f t="shared" si="73"/>
        <v>1.3947955741906546</v>
      </c>
      <c r="CL28" s="13">
        <f t="shared" si="74"/>
        <v>2.6936575651200556E-2</v>
      </c>
      <c r="CN28" s="32">
        <f t="shared" si="75"/>
        <v>15248</v>
      </c>
      <c r="CO28" s="12">
        <f t="shared" si="76"/>
        <v>0.72147608568763233</v>
      </c>
      <c r="CP28" s="12">
        <f t="shared" si="77"/>
        <v>0.27852391431236767</v>
      </c>
      <c r="CQ28" s="12">
        <f t="shared" si="78"/>
        <v>5.8080310894357723E-2</v>
      </c>
      <c r="CR28" s="12">
        <f t="shared" si="79"/>
        <v>0.1568146441837055</v>
      </c>
      <c r="CS28" s="14">
        <f t="shared" si="80"/>
        <v>0.56260658422799237</v>
      </c>
      <c r="CT28" s="14">
        <f t="shared" si="81"/>
        <v>0.28057877158830191</v>
      </c>
      <c r="CU28" s="14">
        <f t="shared" si="82"/>
        <v>7.2375969148657737E-2</v>
      </c>
      <c r="CV28" s="12">
        <f t="shared" si="83"/>
        <v>0.91415574302574198</v>
      </c>
      <c r="CW28" s="2" t="str">
        <f t="shared" si="84"/>
        <v>26hHP06.10</v>
      </c>
      <c r="CY28" s="5">
        <f t="shared" si="85"/>
        <v>13.154119002596797</v>
      </c>
      <c r="CZ28" s="5">
        <f t="shared" si="86"/>
        <v>6.8716659466258321</v>
      </c>
      <c r="DA28" s="5">
        <f t="shared" si="87"/>
        <v>0.1299987207293602</v>
      </c>
      <c r="DB28" s="5">
        <f t="shared" si="88"/>
        <v>1.2277124045717511</v>
      </c>
      <c r="DC28" s="5">
        <f t="shared" si="89"/>
        <v>0</v>
      </c>
      <c r="DD28" s="5">
        <f t="shared" si="90"/>
        <v>1.8357492108529321</v>
      </c>
      <c r="DE28" s="5">
        <f t="shared" si="91"/>
        <v>2.8846225188785652</v>
      </c>
      <c r="DF28" s="5">
        <f t="shared" si="92"/>
        <v>1.8245309770751803</v>
      </c>
      <c r="DG28" s="5">
        <f t="shared" si="93"/>
        <v>5.0251198341560062E-2</v>
      </c>
      <c r="DH28" s="5">
        <f t="shared" si="94"/>
        <v>0.42445122814583336</v>
      </c>
      <c r="DI28" s="5">
        <f t="shared" si="95"/>
        <v>0.15649038916782052</v>
      </c>
      <c r="DJ28" s="5">
        <f t="shared" si="96"/>
        <v>0</v>
      </c>
      <c r="DK28" s="5">
        <f t="shared" si="97"/>
        <v>2.2659365853602686E-2</v>
      </c>
      <c r="DL28" s="5">
        <f t="shared" si="98"/>
        <v>1.9539078215701431</v>
      </c>
      <c r="DM28" s="5">
        <f t="shared" si="99"/>
        <v>13</v>
      </c>
      <c r="DN28" s="5">
        <f t="shared" si="100"/>
        <v>15.000280356163808</v>
      </c>
      <c r="DO28" s="5">
        <f t="shared" si="101"/>
        <v>6.9530017076954254</v>
      </c>
      <c r="DP28" s="5">
        <f t="shared" si="102"/>
        <v>0.13153743710043003</v>
      </c>
      <c r="DQ28" s="5">
        <f t="shared" si="103"/>
        <v>1.2422440950782514</v>
      </c>
      <c r="DR28" s="5">
        <f t="shared" si="104"/>
        <v>0</v>
      </c>
      <c r="DS28" s="5">
        <f t="shared" si="105"/>
        <v>1.8574778659356121</v>
      </c>
      <c r="DT28" s="5">
        <f t="shared" si="106"/>
        <v>2.9187660540553133</v>
      </c>
      <c r="DU28" s="5">
        <f t="shared" si="107"/>
        <v>1.8461268486975966</v>
      </c>
      <c r="DV28" s="5">
        <f t="shared" si="108"/>
        <v>5.0845991437370675E-2</v>
      </c>
      <c r="DW28" s="5">
        <f t="shared" si="109"/>
        <v>0.4294752010726775</v>
      </c>
      <c r="DX28" s="5">
        <f t="shared" si="110"/>
        <v>0.15834267142395833</v>
      </c>
      <c r="DY28" s="5">
        <f t="shared" si="111"/>
        <v>0</v>
      </c>
      <c r="DZ28" s="5">
        <f t="shared" si="112"/>
        <v>2.2927571086710983E-2</v>
      </c>
      <c r="EA28" s="5">
        <f t="shared" si="113"/>
        <v>1.9770350487900976</v>
      </c>
      <c r="EB28" s="5">
        <f t="shared" si="114"/>
        <v>15</v>
      </c>
      <c r="EC28" s="5">
        <f t="shared" si="115"/>
        <v>45.461045310746151</v>
      </c>
      <c r="ED28" s="1">
        <f t="shared" si="116"/>
        <v>6.8716659466258321</v>
      </c>
      <c r="EE28" s="5">
        <f t="shared" si="117"/>
        <v>0.1299987207293602</v>
      </c>
      <c r="EF28" s="5">
        <f t="shared" si="118"/>
        <v>1.2277124045717511</v>
      </c>
      <c r="EG28" s="5">
        <f t="shared" si="119"/>
        <v>0</v>
      </c>
      <c r="EH28" s="5">
        <f t="shared" si="120"/>
        <v>0.53895468925384904</v>
      </c>
      <c r="EI28" s="5">
        <f t="shared" si="121"/>
        <v>1.296794521599083</v>
      </c>
      <c r="EJ28" s="5">
        <f t="shared" si="122"/>
        <v>2.8846225188785652</v>
      </c>
      <c r="EK28" s="5">
        <f t="shared" si="123"/>
        <v>1.8245309770751803</v>
      </c>
      <c r="EL28" s="5">
        <f t="shared" si="124"/>
        <v>5.0251198341560062E-2</v>
      </c>
      <c r="EM28" s="5">
        <f t="shared" si="125"/>
        <v>0.42445122814583336</v>
      </c>
      <c r="EN28" s="5">
        <f t="shared" si="126"/>
        <v>0.15649038916782052</v>
      </c>
      <c r="EO28" s="5">
        <f t="shared" si="127"/>
        <v>4.8746047791373126</v>
      </c>
      <c r="EP28" s="5">
        <f t="shared" si="128"/>
        <v>10.553789176729993</v>
      </c>
      <c r="EQ28" s="5">
        <f t="shared" si="129"/>
        <v>1.9936609402180692</v>
      </c>
      <c r="ER28" s="5">
        <f t="shared" si="130"/>
        <v>100.03785489608539</v>
      </c>
      <c r="ES28" s="5">
        <f t="shared" si="131"/>
        <v>6.8716659466258321</v>
      </c>
      <c r="ET28" s="5">
        <f t="shared" si="132"/>
        <v>1.1283340533741679</v>
      </c>
      <c r="EU28" s="5">
        <f t="shared" si="133"/>
        <v>0</v>
      </c>
      <c r="EV28" s="44">
        <f t="shared" si="134"/>
        <v>8</v>
      </c>
      <c r="EW28" s="5">
        <f t="shared" si="135"/>
        <v>9.9378351197583203E-2</v>
      </c>
      <c r="EX28" s="5">
        <f t="shared" si="136"/>
        <v>0.1299987207293602</v>
      </c>
      <c r="EY28" s="5">
        <f t="shared" si="137"/>
        <v>0</v>
      </c>
      <c r="EZ28" s="5">
        <f t="shared" si="138"/>
        <v>0.53895468925384904</v>
      </c>
      <c r="FA28" s="5">
        <f t="shared" si="139"/>
        <v>2.8846225188785652</v>
      </c>
      <c r="FB28" s="5">
        <f t="shared" si="140"/>
        <v>1.296794521599083</v>
      </c>
      <c r="FC28" s="5">
        <f t="shared" si="141"/>
        <v>5.0251198341560062E-2</v>
      </c>
      <c r="FD28" s="44">
        <f t="shared" si="142"/>
        <v>5.0000000000000009</v>
      </c>
      <c r="FE28" s="5">
        <f t="shared" si="143"/>
        <v>0</v>
      </c>
      <c r="FF28" s="5">
        <f t="shared" si="144"/>
        <v>1.8245309770751803</v>
      </c>
      <c r="FG28" s="5">
        <f t="shared" si="145"/>
        <v>0.1754690229248197</v>
      </c>
      <c r="FH28" s="44">
        <f t="shared" si="146"/>
        <v>2</v>
      </c>
      <c r="FI28" s="5">
        <f t="shared" si="147"/>
        <v>0.24898220522101366</v>
      </c>
      <c r="FJ28" s="5">
        <f t="shared" si="148"/>
        <v>0.15649038916782052</v>
      </c>
      <c r="FK28" s="44">
        <f t="shared" si="149"/>
        <v>0.40547259438883421</v>
      </c>
      <c r="FL28" s="1" t="str">
        <f t="shared" si="150"/>
        <v>Pass</v>
      </c>
      <c r="FM28" s="5">
        <f t="shared" si="151"/>
        <v>8.0945953488389011E-2</v>
      </c>
      <c r="FN28" s="1" t="str">
        <f t="shared" si="152"/>
        <v>Mg-Hbl</v>
      </c>
      <c r="FO28" s="5">
        <f t="shared" si="153"/>
        <v>8.1305501704692347</v>
      </c>
      <c r="FP28" s="5">
        <f t="shared" si="154"/>
        <v>1.2277124045717511</v>
      </c>
      <c r="FQ28" s="5">
        <f t="shared" si="155"/>
        <v>3.1282678598868108</v>
      </c>
      <c r="FR28" s="5">
        <f t="shared" si="156"/>
        <v>-1.5555170086431591</v>
      </c>
      <c r="FS28" s="1" t="str">
        <f t="shared" si="157"/>
        <v>YES</v>
      </c>
      <c r="FT28" s="32">
        <f t="shared" si="158"/>
        <v>809.3273463261271</v>
      </c>
      <c r="FU28" s="32">
        <f t="shared" si="159"/>
        <v>112.26131877815577</v>
      </c>
      <c r="FV28" s="46">
        <f t="shared" si="160"/>
        <v>1.1328723616539165</v>
      </c>
      <c r="FW28" s="47">
        <f t="shared" si="161"/>
        <v>-12.526163037470477</v>
      </c>
      <c r="FX28" s="46">
        <f t="shared" si="162"/>
        <v>4.1679787999259243</v>
      </c>
      <c r="FY28" s="50">
        <f t="shared" si="189"/>
        <v>121.98093712978849</v>
      </c>
      <c r="FZ28" s="32">
        <f t="shared" si="190"/>
        <v>112.99344179040196</v>
      </c>
      <c r="GA28" s="32">
        <f t="shared" si="191"/>
        <v>65.053115181159313</v>
      </c>
      <c r="GB28" s="32">
        <f t="shared" si="192"/>
        <v>-443.03788917346975</v>
      </c>
      <c r="GC28" s="32">
        <f t="shared" si="193"/>
        <v>360.61010479845379</v>
      </c>
      <c r="GD28" s="32">
        <f t="shared" si="194"/>
        <v>-556.03133096387171</v>
      </c>
      <c r="GE28" s="4">
        <f t="shared" si="195"/>
        <v>-1.9562824592400234</v>
      </c>
      <c r="GF28" s="32">
        <f t="shared" si="196"/>
        <v>112.99344179040196</v>
      </c>
      <c r="GG28" s="1">
        <f t="shared" si="197"/>
        <v>25.805820242869999</v>
      </c>
      <c r="GH28" s="32">
        <f t="shared" si="198"/>
        <v>112.99344179040196</v>
      </c>
      <c r="GI28" s="32">
        <f t="shared" si="199"/>
        <v>776.52198386828366</v>
      </c>
      <c r="GJ28" s="46">
        <f t="shared" si="200"/>
        <v>1.5688946992320054</v>
      </c>
      <c r="GK28" s="46">
        <f t="shared" si="201"/>
        <v>77.906055071623257</v>
      </c>
      <c r="GL28" s="46">
        <f t="shared" si="202"/>
        <v>0.17084463769279726</v>
      </c>
      <c r="GM28" s="46">
        <f t="shared" si="203"/>
        <v>13.485057960586392</v>
      </c>
      <c r="GN28" s="46">
        <f t="shared" si="204"/>
        <v>0.60204139351301611</v>
      </c>
      <c r="GO28" s="46">
        <f t="shared" si="205"/>
        <v>-0.72408827104316198</v>
      </c>
      <c r="GP28" s="46">
        <f t="shared" si="206"/>
        <v>0.20615043496950491</v>
      </c>
      <c r="GQ28" s="46">
        <f t="shared" si="207"/>
        <v>7.5793783395028065</v>
      </c>
      <c r="GR28" s="46">
        <f t="shared" si="208"/>
        <v>5.6562842157872906</v>
      </c>
      <c r="GS28" s="46">
        <f t="shared" si="209"/>
        <v>104.88172378263191</v>
      </c>
      <c r="GU28" s="32">
        <f t="shared" si="184"/>
        <v>15248</v>
      </c>
      <c r="GV28" s="32">
        <f t="shared" si="185"/>
        <v>112.26131877815577</v>
      </c>
      <c r="GW28" s="32">
        <f t="shared" si="186"/>
        <v>809.3273463261271</v>
      </c>
      <c r="GX28" s="32">
        <f t="shared" si="187"/>
        <v>112.99344179040196</v>
      </c>
      <c r="GY28" s="32">
        <f t="shared" si="188"/>
        <v>776.52198386828366</v>
      </c>
    </row>
    <row r="29" spans="1:207">
      <c r="A29" s="35">
        <v>15254</v>
      </c>
      <c r="B29" s="2" t="s">
        <v>171</v>
      </c>
      <c r="C29" s="36">
        <v>47.05</v>
      </c>
      <c r="D29" s="36">
        <v>1.1959</v>
      </c>
      <c r="E29" s="36">
        <v>6.8</v>
      </c>
      <c r="F29" s="36"/>
      <c r="G29" s="36">
        <v>15.05</v>
      </c>
      <c r="H29" s="36">
        <v>13.23</v>
      </c>
      <c r="I29" s="36">
        <v>11.83</v>
      </c>
      <c r="J29" s="36">
        <v>0.40539999999999998</v>
      </c>
      <c r="K29" s="36">
        <v>1.37</v>
      </c>
      <c r="L29" s="36">
        <v>0.78859999999999997</v>
      </c>
      <c r="M29" s="36"/>
      <c r="N29" s="36">
        <v>0.1313</v>
      </c>
      <c r="O29" s="4">
        <f t="shared" si="0"/>
        <v>97.851200000000006</v>
      </c>
      <c r="P29" s="5">
        <f t="shared" si="1"/>
        <v>0.78306645829276533</v>
      </c>
      <c r="Q29" s="5">
        <f t="shared" si="2"/>
        <v>1.497386866468501E-2</v>
      </c>
      <c r="R29" s="5">
        <f t="shared" si="3"/>
        <v>6.6691986083030189E-2</v>
      </c>
      <c r="S29" s="5">
        <f t="shared" si="4"/>
        <v>0</v>
      </c>
      <c r="T29" s="5">
        <f t="shared" si="5"/>
        <v>0.20948048838879582</v>
      </c>
      <c r="U29" s="5">
        <f t="shared" si="6"/>
        <v>0.32825200226278023</v>
      </c>
      <c r="V29" s="5">
        <f t="shared" si="7"/>
        <v>0.21095842531929082</v>
      </c>
      <c r="W29" s="5">
        <f t="shared" si="8"/>
        <v>5.7148939765228942E-3</v>
      </c>
      <c r="X29" s="5">
        <f t="shared" si="9"/>
        <v>2.2104282519191196E-2</v>
      </c>
      <c r="Y29" s="5">
        <f t="shared" si="10"/>
        <v>8.3719053887638534E-3</v>
      </c>
      <c r="Z29" s="5">
        <f t="shared" si="11"/>
        <v>0</v>
      </c>
      <c r="AA29" s="5">
        <f t="shared" si="12"/>
        <v>3.7035261066152929E-3</v>
      </c>
      <c r="AB29" s="5">
        <f t="shared" si="13"/>
        <v>1.5661329165855307</v>
      </c>
      <c r="AC29" s="5">
        <f t="shared" si="14"/>
        <v>2.9947737329370019E-2</v>
      </c>
      <c r="AD29" s="5">
        <f t="shared" si="15"/>
        <v>0.20007595824909058</v>
      </c>
      <c r="AE29" s="5">
        <f t="shared" si="16"/>
        <v>0</v>
      </c>
      <c r="AF29" s="5">
        <f t="shared" si="17"/>
        <v>0.20948048838879582</v>
      </c>
      <c r="AG29" s="5">
        <f t="shared" si="18"/>
        <v>0.32825200226278023</v>
      </c>
      <c r="AH29" s="5">
        <f t="shared" si="19"/>
        <v>0.21095842531929082</v>
      </c>
      <c r="AI29" s="5">
        <f t="shared" si="20"/>
        <v>5.7148939765228942E-3</v>
      </c>
      <c r="AJ29" s="5">
        <f t="shared" si="21"/>
        <v>2.2104282519191196E-2</v>
      </c>
      <c r="AK29" s="5">
        <f t="shared" si="22"/>
        <v>8.3719053887638534E-3</v>
      </c>
      <c r="AL29" s="5">
        <f t="shared" si="23"/>
        <v>2.5810386100193359</v>
      </c>
      <c r="AM29" s="4">
        <f t="shared" si="24"/>
        <v>13.956031863156573</v>
      </c>
      <c r="AN29" s="4">
        <f t="shared" si="25"/>
        <v>0.26686852180423226</v>
      </c>
      <c r="AO29" s="4">
        <f t="shared" si="26"/>
        <v>1.7829051537104319</v>
      </c>
      <c r="AP29" s="4">
        <f t="shared" si="27"/>
        <v>0</v>
      </c>
      <c r="AQ29" s="4">
        <f t="shared" si="28"/>
        <v>1.86671025153948</v>
      </c>
      <c r="AR29" s="4">
        <f t="shared" si="29"/>
        <v>2.9251000053762799</v>
      </c>
      <c r="AS29" s="4">
        <f t="shared" si="30"/>
        <v>1.8798803565001065</v>
      </c>
      <c r="AT29" s="4">
        <f t="shared" si="31"/>
        <v>5.092622828259119E-2</v>
      </c>
      <c r="AU29" s="4">
        <f t="shared" si="32"/>
        <v>0.19697438696493921</v>
      </c>
      <c r="AV29" s="4">
        <f t="shared" si="33"/>
        <v>7.4603232665367253E-2</v>
      </c>
      <c r="AW29" s="4">
        <f t="shared" si="34"/>
        <v>23</v>
      </c>
      <c r="AX29" s="5">
        <f t="shared" si="35"/>
        <v>6.9780159315782866</v>
      </c>
      <c r="AY29" s="5">
        <f t="shared" si="36"/>
        <v>0.13343426090211613</v>
      </c>
      <c r="AZ29" s="5">
        <f t="shared" si="37"/>
        <v>1.1886034358069546</v>
      </c>
      <c r="BA29" s="5">
        <f t="shared" si="38"/>
        <v>0</v>
      </c>
      <c r="BB29" s="5">
        <f t="shared" si="39"/>
        <v>1.86671025153948</v>
      </c>
      <c r="BC29" s="5">
        <f t="shared" si="40"/>
        <v>2.9251000053762799</v>
      </c>
      <c r="BD29" s="5">
        <f t="shared" si="41"/>
        <v>1.8798803565001065</v>
      </c>
      <c r="BE29" s="5">
        <f t="shared" si="42"/>
        <v>5.092622828259119E-2</v>
      </c>
      <c r="BF29" s="5">
        <f t="shared" si="43"/>
        <v>0.39394877392987843</v>
      </c>
      <c r="BG29" s="5">
        <f t="shared" si="44"/>
        <v>0.14920646533073451</v>
      </c>
      <c r="BH29" s="5">
        <f t="shared" si="45"/>
        <v>0</v>
      </c>
      <c r="BI29" s="5">
        <f t="shared" si="46"/>
        <v>3.3002644796357235E-2</v>
      </c>
      <c r="BJ29" s="5">
        <f t="shared" si="47"/>
        <v>1.9669973552036428</v>
      </c>
      <c r="BK29" s="5">
        <f t="shared" si="48"/>
        <v>15.565825709246429</v>
      </c>
      <c r="BL29" s="11">
        <f t="shared" si="49"/>
        <v>1</v>
      </c>
      <c r="BM29" s="11">
        <f t="shared" si="50"/>
        <v>1</v>
      </c>
      <c r="BN29" s="11">
        <f t="shared" si="51"/>
        <v>0.99849091611034746</v>
      </c>
      <c r="BO29" s="11">
        <f t="shared" si="52"/>
        <v>1</v>
      </c>
      <c r="BP29" s="11">
        <f>1</f>
        <v>1</v>
      </c>
      <c r="BQ29" s="11">
        <f t="shared" si="53"/>
        <v>0.97959751031734577</v>
      </c>
      <c r="BR29" s="11">
        <f t="shared" si="54"/>
        <v>0.97297596591547686</v>
      </c>
      <c r="BS29" s="11">
        <f t="shared" si="55"/>
        <v>0.98152674497657966</v>
      </c>
      <c r="BT29" s="11">
        <f t="shared" si="56"/>
        <v>0.66298277063295519</v>
      </c>
      <c r="BU29" s="11">
        <f t="shared" si="57"/>
        <v>0.95941934235783743</v>
      </c>
      <c r="BV29" s="5">
        <f t="shared" si="58"/>
        <v>0.99849091611034746</v>
      </c>
      <c r="BW29" s="11">
        <f t="shared" si="59"/>
        <v>0.98152674497657966</v>
      </c>
      <c r="BX29" s="11">
        <f t="shared" si="60"/>
        <v>0.99000883054346356</v>
      </c>
      <c r="BY29" s="11">
        <f t="shared" si="61"/>
        <v>6.9082973919354771</v>
      </c>
      <c r="BZ29" s="11">
        <f t="shared" si="62"/>
        <v>0.13210109659013539</v>
      </c>
      <c r="CA29" s="11">
        <f t="shared" si="63"/>
        <v>1.1767278974631858</v>
      </c>
      <c r="CB29" s="11">
        <f t="shared" si="64"/>
        <v>0</v>
      </c>
      <c r="CC29" s="11">
        <f t="shared" si="65"/>
        <v>1.8480596330900954</v>
      </c>
      <c r="CD29" s="11">
        <f t="shared" si="66"/>
        <v>2.8958748355452499</v>
      </c>
      <c r="CE29" s="11">
        <f t="shared" si="67"/>
        <v>1.8610981533002999</v>
      </c>
      <c r="CF29" s="11">
        <f t="shared" si="68"/>
        <v>5.0417415706037562E-2</v>
      </c>
      <c r="CG29" s="11">
        <f t="shared" si="69"/>
        <v>0.39001276497235027</v>
      </c>
      <c r="CH29" s="11">
        <f t="shared" si="70"/>
        <v>0.14771571825160432</v>
      </c>
      <c r="CI29" s="11">
        <f t="shared" si="71"/>
        <v>15.410304906854437</v>
      </c>
      <c r="CJ29" s="11">
        <f t="shared" si="72"/>
        <v>0.45959379500067632</v>
      </c>
      <c r="CK29" s="11">
        <f t="shared" si="73"/>
        <v>1.388465838089419</v>
      </c>
      <c r="CL29" s="13">
        <f t="shared" si="74"/>
        <v>1.1478270330181672E-2</v>
      </c>
      <c r="CN29" s="32">
        <f t="shared" si="75"/>
        <v>15254</v>
      </c>
      <c r="CO29" s="12">
        <f t="shared" si="76"/>
        <v>0.72707434798386927</v>
      </c>
      <c r="CP29" s="12">
        <f t="shared" si="77"/>
        <v>0.27292565201613073</v>
      </c>
      <c r="CQ29" s="12">
        <f t="shared" si="78"/>
        <v>4.2512644699331581E-2</v>
      </c>
      <c r="CR29" s="12">
        <f t="shared" si="79"/>
        <v>0.14771571825160432</v>
      </c>
      <c r="CS29" s="14">
        <f t="shared" si="80"/>
        <v>0.58969509314556379</v>
      </c>
      <c r="CT29" s="14">
        <f t="shared" si="81"/>
        <v>0.26258918860283176</v>
      </c>
      <c r="CU29" s="14">
        <f t="shared" si="82"/>
        <v>6.3711788184759199E-2</v>
      </c>
      <c r="CV29" s="12">
        <f t="shared" si="83"/>
        <v>0.93054907665014996</v>
      </c>
      <c r="CW29" s="2" t="str">
        <f t="shared" si="84"/>
        <v>26hHP08.6</v>
      </c>
      <c r="CY29" s="5">
        <f t="shared" si="85"/>
        <v>13.142790113485709</v>
      </c>
      <c r="CZ29" s="5">
        <f t="shared" si="86"/>
        <v>6.9022031339781202</v>
      </c>
      <c r="DA29" s="5">
        <f t="shared" si="87"/>
        <v>0.13198456163030439</v>
      </c>
      <c r="DB29" s="5">
        <f t="shared" si="88"/>
        <v>1.1756898293335292</v>
      </c>
      <c r="DC29" s="5">
        <f t="shared" si="89"/>
        <v>0</v>
      </c>
      <c r="DD29" s="5">
        <f t="shared" si="90"/>
        <v>1.8464293396204228</v>
      </c>
      <c r="DE29" s="5">
        <f t="shared" si="91"/>
        <v>2.8933201962095678</v>
      </c>
      <c r="DF29" s="5">
        <f t="shared" si="92"/>
        <v>1.8594563577048451</v>
      </c>
      <c r="DG29" s="5">
        <f t="shared" si="93"/>
        <v>5.0372939228054067E-2</v>
      </c>
      <c r="DH29" s="5">
        <f t="shared" si="94"/>
        <v>0.3896687093734732</v>
      </c>
      <c r="DI29" s="5">
        <f t="shared" si="95"/>
        <v>0.14758540861953312</v>
      </c>
      <c r="DJ29" s="5">
        <f t="shared" si="96"/>
        <v>0</v>
      </c>
      <c r="DK29" s="5">
        <f t="shared" si="97"/>
        <v>3.264408688322698E-2</v>
      </c>
      <c r="DL29" s="5">
        <f t="shared" si="98"/>
        <v>1.945626871984298</v>
      </c>
      <c r="DM29" s="5">
        <f t="shared" si="99"/>
        <v>12.999999999999996</v>
      </c>
      <c r="DN29" s="5">
        <f t="shared" si="100"/>
        <v>15.022670469985815</v>
      </c>
      <c r="DO29" s="5">
        <f t="shared" si="101"/>
        <v>6.9674855201542032</v>
      </c>
      <c r="DP29" s="5">
        <f t="shared" si="102"/>
        <v>0.13323289740866104</v>
      </c>
      <c r="DQ29" s="5">
        <f t="shared" si="103"/>
        <v>1.1868097335107928</v>
      </c>
      <c r="DR29" s="5">
        <f t="shared" si="104"/>
        <v>0</v>
      </c>
      <c r="DS29" s="5">
        <f t="shared" si="105"/>
        <v>1.8638932291722323</v>
      </c>
      <c r="DT29" s="5">
        <f t="shared" si="106"/>
        <v>2.920685784082544</v>
      </c>
      <c r="DU29" s="5">
        <f t="shared" si="107"/>
        <v>1.8770434593396379</v>
      </c>
      <c r="DV29" s="5">
        <f t="shared" si="108"/>
        <v>5.0849376331929159E-2</v>
      </c>
      <c r="DW29" s="5">
        <f t="shared" si="109"/>
        <v>0.39335427218179247</v>
      </c>
      <c r="DX29" s="5">
        <f t="shared" si="110"/>
        <v>0.14898130025767189</v>
      </c>
      <c r="DY29" s="5">
        <f t="shared" si="111"/>
        <v>0</v>
      </c>
      <c r="DZ29" s="5">
        <f t="shared" si="112"/>
        <v>3.2952841036779125E-2</v>
      </c>
      <c r="EA29" s="5">
        <f t="shared" si="113"/>
        <v>1.9640289911839157</v>
      </c>
      <c r="EB29" s="5">
        <f t="shared" si="114"/>
        <v>15</v>
      </c>
      <c r="EC29" s="5">
        <f t="shared" si="115"/>
        <v>45.500232053953077</v>
      </c>
      <c r="ED29" s="1">
        <f t="shared" si="116"/>
        <v>6.9022031339781202</v>
      </c>
      <c r="EE29" s="5">
        <f t="shared" si="117"/>
        <v>0.13198456163030439</v>
      </c>
      <c r="EF29" s="5">
        <f t="shared" si="118"/>
        <v>1.1756898293335292</v>
      </c>
      <c r="EG29" s="5">
        <f t="shared" si="119"/>
        <v>0</v>
      </c>
      <c r="EH29" s="5">
        <f t="shared" si="120"/>
        <v>0.49976794604692287</v>
      </c>
      <c r="EI29" s="5">
        <f t="shared" si="121"/>
        <v>1.3466613935734999</v>
      </c>
      <c r="EJ29" s="5">
        <f t="shared" si="122"/>
        <v>2.8933201962095678</v>
      </c>
      <c r="EK29" s="5">
        <f t="shared" si="123"/>
        <v>1.8594563577048451</v>
      </c>
      <c r="EL29" s="5">
        <f t="shared" si="124"/>
        <v>5.0372939228054067E-2</v>
      </c>
      <c r="EM29" s="5">
        <f t="shared" si="125"/>
        <v>0.3896687093734732</v>
      </c>
      <c r="EN29" s="5">
        <f t="shared" si="126"/>
        <v>0.14758540861953312</v>
      </c>
      <c r="EO29" s="5">
        <f t="shared" si="127"/>
        <v>4.5271211134385219</v>
      </c>
      <c r="EP29" s="5">
        <f t="shared" si="128"/>
        <v>10.976457933368621</v>
      </c>
      <c r="EQ29" s="5">
        <f t="shared" si="129"/>
        <v>1.9852974291204339</v>
      </c>
      <c r="ER29" s="5">
        <f t="shared" si="130"/>
        <v>100.29007647592756</v>
      </c>
      <c r="ES29" s="5">
        <f t="shared" si="131"/>
        <v>6.9022031339781202</v>
      </c>
      <c r="ET29" s="5">
        <f t="shared" si="132"/>
        <v>1.0977968660218798</v>
      </c>
      <c r="EU29" s="5">
        <f t="shared" si="133"/>
        <v>0</v>
      </c>
      <c r="EV29" s="44">
        <f t="shared" si="134"/>
        <v>8</v>
      </c>
      <c r="EW29" s="5">
        <f t="shared" si="135"/>
        <v>7.789296331164941E-2</v>
      </c>
      <c r="EX29" s="5">
        <f t="shared" si="136"/>
        <v>0.13198456163030439</v>
      </c>
      <c r="EY29" s="5">
        <f t="shared" si="137"/>
        <v>0</v>
      </c>
      <c r="EZ29" s="5">
        <f t="shared" si="138"/>
        <v>0.49976794604692287</v>
      </c>
      <c r="FA29" s="5">
        <f t="shared" si="139"/>
        <v>2.8933201962095678</v>
      </c>
      <c r="FB29" s="5">
        <f t="shared" si="140"/>
        <v>1.3466613935734999</v>
      </c>
      <c r="FC29" s="5">
        <f t="shared" si="141"/>
        <v>5.0372939228054067E-2</v>
      </c>
      <c r="FD29" s="44">
        <f t="shared" si="142"/>
        <v>4.9999999999999982</v>
      </c>
      <c r="FE29" s="5">
        <f t="shared" si="143"/>
        <v>0</v>
      </c>
      <c r="FF29" s="5">
        <f t="shared" si="144"/>
        <v>1.8594563577048451</v>
      </c>
      <c r="FG29" s="5">
        <f t="shared" si="145"/>
        <v>0.14054364229515492</v>
      </c>
      <c r="FH29" s="44">
        <f t="shared" si="146"/>
        <v>2</v>
      </c>
      <c r="FI29" s="5">
        <f t="shared" si="147"/>
        <v>0.24912506707831827</v>
      </c>
      <c r="FJ29" s="5">
        <f t="shared" si="148"/>
        <v>0.14758540861953312</v>
      </c>
      <c r="FK29" s="44">
        <f t="shared" si="149"/>
        <v>0.39671047569785139</v>
      </c>
      <c r="FL29" s="1" t="str">
        <f t="shared" si="150"/>
        <v>Pass</v>
      </c>
      <c r="FM29" s="5">
        <f t="shared" si="151"/>
        <v>6.6252987283053302E-2</v>
      </c>
      <c r="FN29" s="1" t="str">
        <f t="shared" si="152"/>
        <v>Mg-Hbl</v>
      </c>
      <c r="FO29" s="5">
        <f t="shared" si="153"/>
        <v>8.1637021025444376</v>
      </c>
      <c r="FP29" s="5">
        <f t="shared" si="154"/>
        <v>1.1756898293335292</v>
      </c>
      <c r="FQ29" s="5">
        <f t="shared" si="155"/>
        <v>3.1355447453120586</v>
      </c>
      <c r="FR29" s="5">
        <f t="shared" si="156"/>
        <v>-1.5516911686412651</v>
      </c>
      <c r="FS29" s="1" t="str">
        <f t="shared" si="157"/>
        <v>YES</v>
      </c>
      <c r="FT29" s="32">
        <f t="shared" si="158"/>
        <v>804.30525959185093</v>
      </c>
      <c r="FU29" s="32">
        <f t="shared" si="159"/>
        <v>104.16965767607012</v>
      </c>
      <c r="FV29" s="46">
        <f t="shared" si="160"/>
        <v>1.1448355612930241</v>
      </c>
      <c r="FW29" s="47">
        <f t="shared" si="161"/>
        <v>-12.622781308582404</v>
      </c>
      <c r="FX29" s="46">
        <f t="shared" si="162"/>
        <v>4.187930555535802</v>
      </c>
      <c r="FY29" s="50">
        <f t="shared" si="189"/>
        <v>96.949293884173926</v>
      </c>
      <c r="FZ29" s="32">
        <f t="shared" si="190"/>
        <v>103.75509441314534</v>
      </c>
      <c r="GA29" s="32">
        <f t="shared" si="191"/>
        <v>38.49998640814416</v>
      </c>
      <c r="GB29" s="32">
        <f t="shared" si="192"/>
        <v>-620.86817974110181</v>
      </c>
      <c r="GC29" s="32">
        <f t="shared" si="193"/>
        <v>312.60541981825367</v>
      </c>
      <c r="GD29" s="32">
        <f t="shared" si="194"/>
        <v>-724.62327415424716</v>
      </c>
      <c r="GE29" s="4">
        <f t="shared" si="195"/>
        <v>-2.2244218322180438</v>
      </c>
      <c r="GF29" s="32">
        <f t="shared" si="196"/>
        <v>103.75509441314534</v>
      </c>
      <c r="GG29" s="1">
        <f t="shared" si="197"/>
        <v>6.4416636263760978</v>
      </c>
      <c r="GH29" s="32">
        <f t="shared" si="198"/>
        <v>103.75509441314534</v>
      </c>
      <c r="GI29" s="32">
        <f t="shared" si="199"/>
        <v>759.8988882404459</v>
      </c>
      <c r="GJ29" s="46">
        <f t="shared" si="200"/>
        <v>1.1848283744706118</v>
      </c>
      <c r="GK29" s="46">
        <f t="shared" si="201"/>
        <v>75.910410750361493</v>
      </c>
      <c r="GL29" s="46">
        <f t="shared" si="202"/>
        <v>0.17048520307142159</v>
      </c>
      <c r="GM29" s="46">
        <f t="shared" si="203"/>
        <v>15.232131346049401</v>
      </c>
      <c r="GN29" s="46">
        <f t="shared" si="204"/>
        <v>0.61753591401573016</v>
      </c>
      <c r="GO29" s="46">
        <f t="shared" si="205"/>
        <v>-0.63065683350725421</v>
      </c>
      <c r="GP29" s="46">
        <f t="shared" si="206"/>
        <v>0.57881077128580571</v>
      </c>
      <c r="GQ29" s="46">
        <f t="shared" si="207"/>
        <v>6.7760070679947901</v>
      </c>
      <c r="GR29" s="46">
        <f t="shared" si="208"/>
        <v>5.8118406383994214</v>
      </c>
      <c r="GS29" s="46">
        <f t="shared" si="209"/>
        <v>104.46656485767079</v>
      </c>
      <c r="GU29" s="32">
        <f t="shared" si="184"/>
        <v>15254</v>
      </c>
      <c r="GV29" s="32">
        <f t="shared" si="185"/>
        <v>104.16965767607012</v>
      </c>
      <c r="GW29" s="32">
        <f t="shared" si="186"/>
        <v>804.30525959185093</v>
      </c>
      <c r="GX29" s="32">
        <f t="shared" si="187"/>
        <v>103.75509441314534</v>
      </c>
      <c r="GY29" s="32">
        <f t="shared" si="188"/>
        <v>759.8988882404459</v>
      </c>
    </row>
    <row r="30" spans="1:207">
      <c r="A30" s="35">
        <v>15255</v>
      </c>
      <c r="B30" s="2" t="s">
        <v>172</v>
      </c>
      <c r="C30" s="36">
        <v>47.63</v>
      </c>
      <c r="D30" s="36">
        <v>1.0366</v>
      </c>
      <c r="E30" s="36">
        <v>6.24</v>
      </c>
      <c r="F30" s="36"/>
      <c r="G30" s="36">
        <v>14.68</v>
      </c>
      <c r="H30" s="36">
        <v>13.59</v>
      </c>
      <c r="I30" s="36">
        <v>11.64</v>
      </c>
      <c r="J30" s="36">
        <v>0.36449999999999999</v>
      </c>
      <c r="K30" s="36">
        <v>1.306</v>
      </c>
      <c r="L30" s="36">
        <v>0.70879999999999999</v>
      </c>
      <c r="M30" s="36"/>
      <c r="N30" s="36">
        <v>8.5199999999999998E-2</v>
      </c>
      <c r="O30" s="4">
        <f t="shared" si="0"/>
        <v>97.281100000000009</v>
      </c>
      <c r="P30" s="5">
        <f t="shared" si="1"/>
        <v>0.79271956234823415</v>
      </c>
      <c r="Q30" s="5">
        <f t="shared" si="2"/>
        <v>1.2979272730004583E-2</v>
      </c>
      <c r="R30" s="5">
        <f t="shared" si="3"/>
        <v>6.1199704876192411E-2</v>
      </c>
      <c r="S30" s="5">
        <f t="shared" si="4"/>
        <v>0</v>
      </c>
      <c r="T30" s="5">
        <f t="shared" si="5"/>
        <v>0.2043304697373769</v>
      </c>
      <c r="U30" s="5">
        <f t="shared" si="6"/>
        <v>0.33718402953523685</v>
      </c>
      <c r="V30" s="5">
        <f t="shared" si="7"/>
        <v>0.20757025111720587</v>
      </c>
      <c r="W30" s="5">
        <f t="shared" si="8"/>
        <v>5.1383296853542053E-3</v>
      </c>
      <c r="X30" s="5">
        <f t="shared" si="9"/>
        <v>2.1071673700776426E-2</v>
      </c>
      <c r="Y30" s="5">
        <f t="shared" si="10"/>
        <v>7.5247356575650773E-3</v>
      </c>
      <c r="Z30" s="5">
        <f t="shared" si="11"/>
        <v>0</v>
      </c>
      <c r="AA30" s="5">
        <f t="shared" si="12"/>
        <v>2.4032020128227187E-3</v>
      </c>
      <c r="AB30" s="5">
        <f t="shared" si="13"/>
        <v>1.5854391246964683</v>
      </c>
      <c r="AC30" s="5">
        <f t="shared" si="14"/>
        <v>2.5958545460009166E-2</v>
      </c>
      <c r="AD30" s="5">
        <f t="shared" si="15"/>
        <v>0.18359911462857723</v>
      </c>
      <c r="AE30" s="5">
        <f t="shared" si="16"/>
        <v>0</v>
      </c>
      <c r="AF30" s="5">
        <f t="shared" si="17"/>
        <v>0.2043304697373769</v>
      </c>
      <c r="AG30" s="5">
        <f t="shared" si="18"/>
        <v>0.33718402953523685</v>
      </c>
      <c r="AH30" s="5">
        <f t="shared" si="19"/>
        <v>0.20757025111720587</v>
      </c>
      <c r="AI30" s="5">
        <f t="shared" si="20"/>
        <v>5.1383296853542053E-3</v>
      </c>
      <c r="AJ30" s="5">
        <f t="shared" si="21"/>
        <v>2.1071673700776426E-2</v>
      </c>
      <c r="AK30" s="5">
        <f t="shared" si="22"/>
        <v>7.5247356575650773E-3</v>
      </c>
      <c r="AL30" s="5">
        <f t="shared" si="23"/>
        <v>2.57781627421857</v>
      </c>
      <c r="AM30" s="4">
        <f t="shared" si="24"/>
        <v>14.14573266245387</v>
      </c>
      <c r="AN30" s="4">
        <f t="shared" si="25"/>
        <v>0.23160942521444722</v>
      </c>
      <c r="AO30" s="4">
        <f t="shared" si="26"/>
        <v>1.6381228090963755</v>
      </c>
      <c r="AP30" s="4">
        <f t="shared" si="27"/>
        <v>0</v>
      </c>
      <c r="AQ30" s="4">
        <f t="shared" si="28"/>
        <v>1.823093775519083</v>
      </c>
      <c r="AR30" s="4">
        <f t="shared" si="29"/>
        <v>3.0084505078475154</v>
      </c>
      <c r="AS30" s="4">
        <f t="shared" si="30"/>
        <v>1.8520000139043826</v>
      </c>
      <c r="AT30" s="4">
        <f t="shared" si="31"/>
        <v>4.5845619001288938E-2</v>
      </c>
      <c r="AU30" s="4">
        <f t="shared" si="32"/>
        <v>0.18800738437605388</v>
      </c>
      <c r="AV30" s="4">
        <f t="shared" si="33"/>
        <v>6.7137802586982376E-2</v>
      </c>
      <c r="AW30" s="4">
        <f t="shared" si="34"/>
        <v>23</v>
      </c>
      <c r="AX30" s="5">
        <f t="shared" si="35"/>
        <v>7.0728663312269351</v>
      </c>
      <c r="AY30" s="5">
        <f t="shared" si="36"/>
        <v>0.11580471260722361</v>
      </c>
      <c r="AZ30" s="5">
        <f t="shared" si="37"/>
        <v>1.0920818727309169</v>
      </c>
      <c r="BA30" s="5">
        <f t="shared" si="38"/>
        <v>0</v>
      </c>
      <c r="BB30" s="5">
        <f t="shared" si="39"/>
        <v>1.823093775519083</v>
      </c>
      <c r="BC30" s="5">
        <f t="shared" si="40"/>
        <v>3.0084505078475154</v>
      </c>
      <c r="BD30" s="5">
        <f t="shared" si="41"/>
        <v>1.8520000139043826</v>
      </c>
      <c r="BE30" s="5">
        <f t="shared" si="42"/>
        <v>4.5845619001288938E-2</v>
      </c>
      <c r="BF30" s="5">
        <f t="shared" si="43"/>
        <v>0.37601476875210776</v>
      </c>
      <c r="BG30" s="5">
        <f t="shared" si="44"/>
        <v>0.13427560517396475</v>
      </c>
      <c r="BH30" s="5">
        <f t="shared" si="45"/>
        <v>0</v>
      </c>
      <c r="BI30" s="5">
        <f t="shared" si="46"/>
        <v>2.1442042572129383E-2</v>
      </c>
      <c r="BJ30" s="5">
        <f t="shared" si="47"/>
        <v>1.9785579574278707</v>
      </c>
      <c r="BK30" s="5">
        <f t="shared" si="48"/>
        <v>15.520433206763418</v>
      </c>
      <c r="BL30" s="11">
        <f t="shared" si="49"/>
        <v>1</v>
      </c>
      <c r="BM30" s="11">
        <f t="shared" si="50"/>
        <v>1</v>
      </c>
      <c r="BN30" s="11">
        <f t="shared" si="51"/>
        <v>0.99932426806657981</v>
      </c>
      <c r="BO30" s="11">
        <f t="shared" si="52"/>
        <v>1</v>
      </c>
      <c r="BP30" s="11">
        <f>1</f>
        <v>1</v>
      </c>
      <c r="BQ30" s="11">
        <f t="shared" si="53"/>
        <v>0.9797980097561555</v>
      </c>
      <c r="BR30" s="11">
        <f t="shared" si="54"/>
        <v>0.97490227179594457</v>
      </c>
      <c r="BS30" s="11">
        <f t="shared" si="55"/>
        <v>0.98038151565268561</v>
      </c>
      <c r="BT30" s="11">
        <f t="shared" si="56"/>
        <v>0.66321850869194077</v>
      </c>
      <c r="BU30" s="11">
        <f t="shared" si="57"/>
        <v>0.96036752661915037</v>
      </c>
      <c r="BV30" s="5">
        <f t="shared" si="58"/>
        <v>0.99932426806657981</v>
      </c>
      <c r="BW30" s="11">
        <f t="shared" si="59"/>
        <v>0.98038151565268561</v>
      </c>
      <c r="BX30" s="11">
        <f t="shared" si="60"/>
        <v>0.98985289185963277</v>
      </c>
      <c r="BY30" s="11">
        <f t="shared" si="61"/>
        <v>7.0010971917016125</v>
      </c>
      <c r="BZ30" s="11">
        <f t="shared" si="62"/>
        <v>0.11462962966523396</v>
      </c>
      <c r="CA30" s="11">
        <f t="shared" si="63"/>
        <v>1.0810003998701816</v>
      </c>
      <c r="CB30" s="11">
        <f t="shared" si="64"/>
        <v>0</v>
      </c>
      <c r="CC30" s="11">
        <f t="shared" si="65"/>
        <v>1.8045946458288604</v>
      </c>
      <c r="CD30" s="11">
        <f t="shared" si="66"/>
        <v>2.9779234352094441</v>
      </c>
      <c r="CE30" s="11">
        <f t="shared" si="67"/>
        <v>1.8332075694873333</v>
      </c>
      <c r="CF30" s="11">
        <f t="shared" si="68"/>
        <v>4.5380418547520784E-2</v>
      </c>
      <c r="CG30" s="11">
        <f t="shared" si="69"/>
        <v>0.37219930623120495</v>
      </c>
      <c r="CH30" s="11">
        <f t="shared" si="70"/>
        <v>0.13291309608765128</v>
      </c>
      <c r="CI30" s="11">
        <f t="shared" si="71"/>
        <v>15.362945692629042</v>
      </c>
      <c r="CJ30" s="11">
        <f t="shared" si="72"/>
        <v>0.46676697445689275</v>
      </c>
      <c r="CK30" s="11">
        <f t="shared" si="73"/>
        <v>1.3378276713719677</v>
      </c>
      <c r="CL30" s="13">
        <f t="shared" si="74"/>
        <v>2.4625720822854191E-2</v>
      </c>
      <c r="CN30" s="32">
        <f t="shared" si="75"/>
        <v>15255</v>
      </c>
      <c r="CO30" s="12">
        <f t="shared" si="76"/>
        <v>0.75027429792540312</v>
      </c>
      <c r="CP30" s="12">
        <f t="shared" si="77"/>
        <v>0.24972570207459688</v>
      </c>
      <c r="CQ30" s="12">
        <f t="shared" si="78"/>
        <v>4.1048795785896708E-2</v>
      </c>
      <c r="CR30" s="12">
        <f t="shared" si="79"/>
        <v>0.13291309608765128</v>
      </c>
      <c r="CS30" s="14">
        <f t="shared" si="80"/>
        <v>0.63705430737095625</v>
      </c>
      <c r="CT30" s="14">
        <f t="shared" si="81"/>
        <v>0.2300325965413923</v>
      </c>
      <c r="CU30" s="14">
        <f t="shared" si="82"/>
        <v>7.1083354844906244E-2</v>
      </c>
      <c r="CV30" s="12">
        <f t="shared" si="83"/>
        <v>0.91660378474366666</v>
      </c>
      <c r="CW30" s="2" t="str">
        <f t="shared" si="84"/>
        <v>26hHP08.7</v>
      </c>
      <c r="CY30" s="5">
        <f t="shared" si="85"/>
        <v>13.158142818932964</v>
      </c>
      <c r="CZ30" s="5">
        <f t="shared" si="86"/>
        <v>6.9878601844668582</v>
      </c>
      <c r="DA30" s="5">
        <f t="shared" si="87"/>
        <v>0.11441289888780745</v>
      </c>
      <c r="DB30" s="5">
        <f t="shared" si="88"/>
        <v>1.0789565473536338</v>
      </c>
      <c r="DC30" s="5">
        <f t="shared" si="89"/>
        <v>0</v>
      </c>
      <c r="DD30" s="5">
        <f t="shared" si="90"/>
        <v>1.8011826902840995</v>
      </c>
      <c r="DE30" s="5">
        <f t="shared" si="91"/>
        <v>2.9722930614298684</v>
      </c>
      <c r="DF30" s="5">
        <f t="shared" si="92"/>
        <v>1.8297415153538648</v>
      </c>
      <c r="DG30" s="5">
        <f t="shared" si="93"/>
        <v>4.5294617577732538E-2</v>
      </c>
      <c r="DH30" s="5">
        <f t="shared" si="94"/>
        <v>0.371495587260528</v>
      </c>
      <c r="DI30" s="5">
        <f t="shared" si="95"/>
        <v>0.13266179667466907</v>
      </c>
      <c r="DJ30" s="5">
        <f t="shared" si="96"/>
        <v>0</v>
      </c>
      <c r="DK30" s="5">
        <f t="shared" si="97"/>
        <v>2.1184338646681938E-2</v>
      </c>
      <c r="DL30" s="5">
        <f t="shared" si="98"/>
        <v>1.9547784060796611</v>
      </c>
      <c r="DM30" s="5">
        <f t="shared" si="99"/>
        <v>12.999999999999998</v>
      </c>
      <c r="DN30" s="5">
        <f t="shared" si="100"/>
        <v>15.010142832837346</v>
      </c>
      <c r="DO30" s="5">
        <f t="shared" si="101"/>
        <v>7.0680869695861128</v>
      </c>
      <c r="DP30" s="5">
        <f t="shared" si="102"/>
        <v>0.11572645966487435</v>
      </c>
      <c r="DQ30" s="5">
        <f t="shared" si="103"/>
        <v>1.0913439181356035</v>
      </c>
      <c r="DR30" s="5">
        <f t="shared" si="104"/>
        <v>0</v>
      </c>
      <c r="DS30" s="5">
        <f t="shared" si="105"/>
        <v>1.8218618528373451</v>
      </c>
      <c r="DT30" s="5">
        <f t="shared" si="106"/>
        <v>3.006417601769249</v>
      </c>
      <c r="DU30" s="5">
        <f t="shared" si="107"/>
        <v>1.8507485583542929</v>
      </c>
      <c r="DV30" s="5">
        <f t="shared" si="108"/>
        <v>4.5814639652522353E-2</v>
      </c>
      <c r="DW30" s="5">
        <f t="shared" si="109"/>
        <v>0.37576068356542436</v>
      </c>
      <c r="DX30" s="5">
        <f t="shared" si="110"/>
        <v>0.13418487085966938</v>
      </c>
      <c r="DY30" s="5">
        <f t="shared" si="111"/>
        <v>0</v>
      </c>
      <c r="DZ30" s="5">
        <f t="shared" si="112"/>
        <v>2.142755349924564E-2</v>
      </c>
      <c r="EA30" s="5">
        <f t="shared" si="113"/>
        <v>1.977220982633914</v>
      </c>
      <c r="EB30" s="5">
        <f t="shared" si="114"/>
        <v>15</v>
      </c>
      <c r="EC30" s="5">
        <f t="shared" si="115"/>
        <v>45.447143128705889</v>
      </c>
      <c r="ED30" s="1">
        <f t="shared" si="116"/>
        <v>6.9878601844668582</v>
      </c>
      <c r="EE30" s="5">
        <f t="shared" si="117"/>
        <v>0.11441289888780745</v>
      </c>
      <c r="EF30" s="5">
        <f t="shared" si="118"/>
        <v>1.0789565473536338</v>
      </c>
      <c r="EG30" s="5">
        <f t="shared" si="119"/>
        <v>0</v>
      </c>
      <c r="EH30" s="5">
        <f t="shared" si="120"/>
        <v>0.55285687129411087</v>
      </c>
      <c r="EI30" s="5">
        <f t="shared" si="121"/>
        <v>1.2483258189899886</v>
      </c>
      <c r="EJ30" s="5">
        <f t="shared" si="122"/>
        <v>2.9722930614298684</v>
      </c>
      <c r="EK30" s="5">
        <f t="shared" si="123"/>
        <v>1.8297415153538648</v>
      </c>
      <c r="EL30" s="5">
        <f t="shared" si="124"/>
        <v>4.5294617577732538E-2</v>
      </c>
      <c r="EM30" s="5">
        <f t="shared" si="125"/>
        <v>0.371495587260528</v>
      </c>
      <c r="EN30" s="5">
        <f t="shared" si="126"/>
        <v>0.13266179667466907</v>
      </c>
      <c r="EO30" s="5">
        <f t="shared" si="127"/>
        <v>5.0076147540570251</v>
      </c>
      <c r="EP30" s="5">
        <f t="shared" si="128"/>
        <v>10.174105670470647</v>
      </c>
      <c r="EQ30" s="5">
        <f t="shared" si="129"/>
        <v>1.9961370544252901</v>
      </c>
      <c r="ER30" s="5">
        <f t="shared" si="130"/>
        <v>99.778957478952961</v>
      </c>
      <c r="ES30" s="5">
        <f t="shared" si="131"/>
        <v>6.9878601844668582</v>
      </c>
      <c r="ET30" s="5">
        <f t="shared" si="132"/>
        <v>1.0121398155331418</v>
      </c>
      <c r="EU30" s="5">
        <f t="shared" si="133"/>
        <v>0</v>
      </c>
      <c r="EV30" s="44">
        <f t="shared" si="134"/>
        <v>8</v>
      </c>
      <c r="EW30" s="5">
        <f t="shared" si="135"/>
        <v>6.681673182049197E-2</v>
      </c>
      <c r="EX30" s="5">
        <f t="shared" si="136"/>
        <v>0.11441289888780745</v>
      </c>
      <c r="EY30" s="5">
        <f t="shared" si="137"/>
        <v>0</v>
      </c>
      <c r="EZ30" s="5">
        <f t="shared" si="138"/>
        <v>0.55285687129411087</v>
      </c>
      <c r="FA30" s="5">
        <f t="shared" si="139"/>
        <v>2.9722930614298684</v>
      </c>
      <c r="FB30" s="5">
        <f t="shared" si="140"/>
        <v>1.2483258189899886</v>
      </c>
      <c r="FC30" s="5">
        <f t="shared" si="141"/>
        <v>4.5294617577732538E-2</v>
      </c>
      <c r="FD30" s="44">
        <f t="shared" si="142"/>
        <v>4.9999999999999991</v>
      </c>
      <c r="FE30" s="5">
        <f t="shared" si="143"/>
        <v>0</v>
      </c>
      <c r="FF30" s="5">
        <f t="shared" si="144"/>
        <v>1.8297415153538648</v>
      </c>
      <c r="FG30" s="5">
        <f t="shared" si="145"/>
        <v>0.17025848464613524</v>
      </c>
      <c r="FH30" s="44">
        <f t="shared" si="146"/>
        <v>2</v>
      </c>
      <c r="FI30" s="5">
        <f t="shared" si="147"/>
        <v>0.20123710261439276</v>
      </c>
      <c r="FJ30" s="5">
        <f t="shared" si="148"/>
        <v>0.13266179667466907</v>
      </c>
      <c r="FK30" s="44">
        <f t="shared" si="149"/>
        <v>0.3338988992890618</v>
      </c>
      <c r="FL30" s="1" t="str">
        <f t="shared" si="150"/>
        <v>Pass</v>
      </c>
      <c r="FM30" s="5">
        <f t="shared" si="151"/>
        <v>6.1927175829623496E-2</v>
      </c>
      <c r="FN30" s="1" t="str">
        <f t="shared" si="152"/>
        <v>Mg-Hbl</v>
      </c>
      <c r="FO30" s="5">
        <f t="shared" si="153"/>
        <v>8.2855028765839958</v>
      </c>
      <c r="FP30" s="5">
        <f t="shared" si="154"/>
        <v>1.0789565473536338</v>
      </c>
      <c r="FQ30" s="5">
        <f t="shared" si="155"/>
        <v>3.2610519571305385</v>
      </c>
      <c r="FR30" s="5">
        <f t="shared" si="156"/>
        <v>-1.5695958214541021</v>
      </c>
      <c r="FS30" s="1" t="str">
        <f t="shared" si="157"/>
        <v>YES</v>
      </c>
      <c r="FT30" s="32">
        <f t="shared" si="158"/>
        <v>785.85402573492024</v>
      </c>
      <c r="FU30" s="32">
        <f t="shared" si="159"/>
        <v>90.642068209005998</v>
      </c>
      <c r="FV30" s="46">
        <f t="shared" si="160"/>
        <v>1.3511694175226054</v>
      </c>
      <c r="FW30" s="47">
        <f t="shared" si="161"/>
        <v>-12.817280287819377</v>
      </c>
      <c r="FX30" s="46">
        <f t="shared" si="162"/>
        <v>4.0945577911168574</v>
      </c>
      <c r="FY30" s="50">
        <f t="shared" si="189"/>
        <v>82.362525345451957</v>
      </c>
      <c r="FZ30" s="32">
        <f t="shared" si="190"/>
        <v>92.831973966870365</v>
      </c>
      <c r="GA30" s="32">
        <f t="shared" si="191"/>
        <v>-6.0658218746523431</v>
      </c>
      <c r="GB30" s="32">
        <f t="shared" si="192"/>
        <v>-709.99491616665</v>
      </c>
      <c r="GC30" s="32">
        <f t="shared" si="193"/>
        <v>282.06610768293029</v>
      </c>
      <c r="GD30" s="32">
        <f t="shared" si="194"/>
        <v>-802.82689013352035</v>
      </c>
      <c r="GE30" s="4">
        <f t="shared" si="195"/>
        <v>-2.4246898877840919</v>
      </c>
      <c r="GF30" s="32">
        <f t="shared" si="196"/>
        <v>92.831973966870365</v>
      </c>
      <c r="GG30" s="1">
        <f t="shared" si="197"/>
        <v>23.613374961072154</v>
      </c>
      <c r="GH30" s="32">
        <f t="shared" si="198"/>
        <v>92.831973966870365</v>
      </c>
      <c r="GI30" s="32">
        <f t="shared" si="199"/>
        <v>743.39589428611225</v>
      </c>
      <c r="GJ30" s="46">
        <f t="shared" si="200"/>
        <v>1.0706874635242798</v>
      </c>
      <c r="GK30" s="46">
        <f t="shared" si="201"/>
        <v>73.014281979429313</v>
      </c>
      <c r="GL30" s="46">
        <f t="shared" si="202"/>
        <v>0.16131911704884067</v>
      </c>
      <c r="GM30" s="46">
        <f t="shared" si="203"/>
        <v>25.73055858340377</v>
      </c>
      <c r="GN30" s="46">
        <f t="shared" si="204"/>
        <v>0.54540456968986739</v>
      </c>
      <c r="GO30" s="46">
        <f t="shared" si="205"/>
        <v>-0.80585042090052361</v>
      </c>
      <c r="GP30" s="46">
        <f t="shared" si="206"/>
        <v>0.69010092503414455</v>
      </c>
      <c r="GQ30" s="46">
        <f t="shared" si="207"/>
        <v>6.7073046946780845</v>
      </c>
      <c r="GR30" s="46">
        <f t="shared" si="208"/>
        <v>5.7485445750288653</v>
      </c>
      <c r="GS30" s="46">
        <f t="shared" si="209"/>
        <v>111.79166402341237</v>
      </c>
      <c r="GU30" s="32">
        <f t="shared" si="184"/>
        <v>15255</v>
      </c>
      <c r="GV30" s="32">
        <f t="shared" si="185"/>
        <v>90.642068209005998</v>
      </c>
      <c r="GW30" s="32">
        <f t="shared" si="186"/>
        <v>785.85402573492024</v>
      </c>
      <c r="GX30" s="32">
        <f t="shared" si="187"/>
        <v>92.831973966870365</v>
      </c>
      <c r="GY30" s="32">
        <f t="shared" si="188"/>
        <v>743.39589428611225</v>
      </c>
    </row>
    <row r="31" spans="1:207">
      <c r="A31" s="35">
        <v>15256</v>
      </c>
      <c r="B31" s="2" t="s">
        <v>173</v>
      </c>
      <c r="C31" s="36">
        <v>47.01</v>
      </c>
      <c r="D31" s="36">
        <v>1.149</v>
      </c>
      <c r="E31" s="36">
        <v>6.93</v>
      </c>
      <c r="F31" s="36"/>
      <c r="G31" s="36">
        <v>15.3</v>
      </c>
      <c r="H31" s="36">
        <v>13.07</v>
      </c>
      <c r="I31" s="36">
        <v>11.69</v>
      </c>
      <c r="J31" s="36">
        <v>0.42980000000000002</v>
      </c>
      <c r="K31" s="36">
        <v>1.52</v>
      </c>
      <c r="L31" s="36">
        <v>0.7681</v>
      </c>
      <c r="M31" s="36"/>
      <c r="N31" s="36">
        <v>7.2599999999999998E-2</v>
      </c>
      <c r="O31" s="4">
        <f t="shared" si="0"/>
        <v>97.939499999999995</v>
      </c>
      <c r="P31" s="5">
        <f t="shared" si="1"/>
        <v>0.78240072697859508</v>
      </c>
      <c r="Q31" s="5">
        <f t="shared" si="2"/>
        <v>1.4386633577826807E-2</v>
      </c>
      <c r="R31" s="5">
        <f t="shared" si="3"/>
        <v>6.7966979934617533E-2</v>
      </c>
      <c r="S31" s="5">
        <f t="shared" si="4"/>
        <v>0</v>
      </c>
      <c r="T31" s="5">
        <f t="shared" si="5"/>
        <v>0.21296023072083561</v>
      </c>
      <c r="U31" s="5">
        <f t="shared" si="6"/>
        <v>0.32428221236391064</v>
      </c>
      <c r="V31" s="5">
        <f t="shared" si="7"/>
        <v>0.2084618759072282</v>
      </c>
      <c r="W31" s="5">
        <f t="shared" si="8"/>
        <v>6.0588589815232857E-3</v>
      </c>
      <c r="X31" s="5">
        <f t="shared" si="9"/>
        <v>2.4524459437350817E-2</v>
      </c>
      <c r="Y31" s="5">
        <f t="shared" si="10"/>
        <v>8.1542740668393565E-3</v>
      </c>
      <c r="Z31" s="5">
        <f t="shared" si="11"/>
        <v>0</v>
      </c>
      <c r="AA31" s="5">
        <f t="shared" si="12"/>
        <v>2.0477988982503447E-3</v>
      </c>
      <c r="AB31" s="5">
        <f t="shared" si="13"/>
        <v>1.5648014539571902</v>
      </c>
      <c r="AC31" s="5">
        <f t="shared" si="14"/>
        <v>2.8773267155653613E-2</v>
      </c>
      <c r="AD31" s="5">
        <f t="shared" si="15"/>
        <v>0.2039009398038526</v>
      </c>
      <c r="AE31" s="5">
        <f t="shared" si="16"/>
        <v>0</v>
      </c>
      <c r="AF31" s="5">
        <f t="shared" si="17"/>
        <v>0.21296023072083561</v>
      </c>
      <c r="AG31" s="5">
        <f t="shared" si="18"/>
        <v>0.32428221236391064</v>
      </c>
      <c r="AH31" s="5">
        <f t="shared" si="19"/>
        <v>0.2084618759072282</v>
      </c>
      <c r="AI31" s="5">
        <f t="shared" si="20"/>
        <v>6.0588589815232857E-3</v>
      </c>
      <c r="AJ31" s="5">
        <f t="shared" si="21"/>
        <v>2.4524459437350817E-2</v>
      </c>
      <c r="AK31" s="5">
        <f t="shared" si="22"/>
        <v>8.1542740668393565E-3</v>
      </c>
      <c r="AL31" s="5">
        <f t="shared" si="23"/>
        <v>2.5819175723943841</v>
      </c>
      <c r="AM31" s="4">
        <f t="shared" si="24"/>
        <v>13.939419997687629</v>
      </c>
      <c r="AN31" s="4">
        <f t="shared" si="25"/>
        <v>0.25631536484966699</v>
      </c>
      <c r="AO31" s="4">
        <f t="shared" si="26"/>
        <v>1.8163715471131476</v>
      </c>
      <c r="AP31" s="4">
        <f t="shared" si="27"/>
        <v>0</v>
      </c>
      <c r="AQ31" s="4">
        <f t="shared" si="28"/>
        <v>1.8970726869630072</v>
      </c>
      <c r="AR31" s="4">
        <f t="shared" si="29"/>
        <v>2.8887408971205804</v>
      </c>
      <c r="AS31" s="4">
        <f t="shared" si="30"/>
        <v>1.8570008574750414</v>
      </c>
      <c r="AT31" s="4">
        <f t="shared" si="31"/>
        <v>5.3972968798459184E-2</v>
      </c>
      <c r="AU31" s="4">
        <f t="shared" si="32"/>
        <v>0.21846652778151085</v>
      </c>
      <c r="AV31" s="4">
        <f t="shared" si="33"/>
        <v>7.2639152210958916E-2</v>
      </c>
      <c r="AW31" s="4">
        <f t="shared" si="34"/>
        <v>23.000000000000004</v>
      </c>
      <c r="AX31" s="5">
        <f t="shared" si="35"/>
        <v>6.9697099988438147</v>
      </c>
      <c r="AY31" s="5">
        <f t="shared" si="36"/>
        <v>0.1281576824248335</v>
      </c>
      <c r="AZ31" s="5">
        <f t="shared" si="37"/>
        <v>1.2109143647420983</v>
      </c>
      <c r="BA31" s="5">
        <f t="shared" si="38"/>
        <v>0</v>
      </c>
      <c r="BB31" s="5">
        <f t="shared" si="39"/>
        <v>1.8970726869630072</v>
      </c>
      <c r="BC31" s="5">
        <f t="shared" si="40"/>
        <v>2.8887408971205804</v>
      </c>
      <c r="BD31" s="5">
        <f t="shared" si="41"/>
        <v>1.8570008574750414</v>
      </c>
      <c r="BE31" s="5">
        <f t="shared" si="42"/>
        <v>5.3972968798459184E-2</v>
      </c>
      <c r="BF31" s="5">
        <f t="shared" si="43"/>
        <v>0.4369330555630217</v>
      </c>
      <c r="BG31" s="5">
        <f t="shared" si="44"/>
        <v>0.14527830442191783</v>
      </c>
      <c r="BH31" s="5">
        <f t="shared" si="45"/>
        <v>0</v>
      </c>
      <c r="BI31" s="5">
        <f t="shared" si="46"/>
        <v>1.8242013286303149E-2</v>
      </c>
      <c r="BJ31" s="5">
        <f t="shared" si="47"/>
        <v>1.981757986713697</v>
      </c>
      <c r="BK31" s="5">
        <f t="shared" si="48"/>
        <v>15.587780816352776</v>
      </c>
      <c r="BL31" s="11">
        <f t="shared" si="49"/>
        <v>1</v>
      </c>
      <c r="BM31" s="11">
        <f t="shared" si="50"/>
        <v>1</v>
      </c>
      <c r="BN31" s="11">
        <f t="shared" si="51"/>
        <v>0.99962884071917235</v>
      </c>
      <c r="BO31" s="11">
        <f t="shared" si="52"/>
        <v>1</v>
      </c>
      <c r="BP31" s="11">
        <f>1</f>
        <v>1</v>
      </c>
      <c r="BQ31" s="11">
        <f t="shared" si="53"/>
        <v>0.97792046724576187</v>
      </c>
      <c r="BR31" s="11">
        <f t="shared" si="54"/>
        <v>0.97134515525647602</v>
      </c>
      <c r="BS31" s="11">
        <f t="shared" si="55"/>
        <v>0.98109538715007161</v>
      </c>
      <c r="BT31" s="11">
        <f t="shared" si="56"/>
        <v>0.66287621713741574</v>
      </c>
      <c r="BU31" s="11">
        <f t="shared" si="57"/>
        <v>0.95875928941384769</v>
      </c>
      <c r="BV31" s="5">
        <f t="shared" si="58"/>
        <v>0.99962884071917235</v>
      </c>
      <c r="BW31" s="11">
        <f t="shared" si="59"/>
        <v>0.98109538715007161</v>
      </c>
      <c r="BX31" s="11">
        <f t="shared" si="60"/>
        <v>0.99036211393462192</v>
      </c>
      <c r="BY31" s="11">
        <f t="shared" si="61"/>
        <v>6.9025367279662317</v>
      </c>
      <c r="BZ31" s="11">
        <f t="shared" si="62"/>
        <v>0.12692251328322005</v>
      </c>
      <c r="CA31" s="11">
        <f t="shared" si="63"/>
        <v>1.1992437100597844</v>
      </c>
      <c r="CB31" s="11">
        <f t="shared" si="64"/>
        <v>0</v>
      </c>
      <c r="CC31" s="11">
        <f t="shared" si="65"/>
        <v>1.8787889165483171</v>
      </c>
      <c r="CD31" s="11">
        <f t="shared" si="66"/>
        <v>2.860899541481734</v>
      </c>
      <c r="CE31" s="11">
        <f t="shared" si="67"/>
        <v>1.8391032947873875</v>
      </c>
      <c r="CF31" s="11">
        <f t="shared" si="68"/>
        <v>5.3452783474569429E-2</v>
      </c>
      <c r="CG31" s="11">
        <f t="shared" si="69"/>
        <v>0.43272194455530777</v>
      </c>
      <c r="CH31" s="11">
        <f t="shared" si="70"/>
        <v>0.14387812867612806</v>
      </c>
      <c r="CI31" s="11">
        <f t="shared" si="71"/>
        <v>15.437547560832682</v>
      </c>
      <c r="CJ31" s="11">
        <f t="shared" si="72"/>
        <v>0.44334275900739151</v>
      </c>
      <c r="CK31" s="11">
        <f t="shared" si="73"/>
        <v>1.4354461575409256</v>
      </c>
      <c r="CL31" s="13">
        <f t="shared" si="74"/>
        <v>2.1844192813855301E-2</v>
      </c>
      <c r="CN31" s="32">
        <f t="shared" si="75"/>
        <v>15256</v>
      </c>
      <c r="CO31" s="12">
        <f t="shared" si="76"/>
        <v>0.72563418199155794</v>
      </c>
      <c r="CP31" s="12">
        <f t="shared" si="77"/>
        <v>0.27436581800844206</v>
      </c>
      <c r="CQ31" s="12">
        <f t="shared" si="78"/>
        <v>5.0890219013007609E-2</v>
      </c>
      <c r="CR31" s="12">
        <f t="shared" si="79"/>
        <v>0.14387812867612806</v>
      </c>
      <c r="CS31" s="14">
        <f t="shared" si="80"/>
        <v>0.56245243916732135</v>
      </c>
      <c r="CT31" s="14">
        <f t="shared" si="81"/>
        <v>0.2936694321565505</v>
      </c>
      <c r="CU31" s="14">
        <f t="shared" si="82"/>
        <v>6.9526256199378578E-2</v>
      </c>
      <c r="CV31" s="12">
        <f t="shared" si="83"/>
        <v>0.91955164739369377</v>
      </c>
      <c r="CW31" s="2" t="str">
        <f t="shared" si="84"/>
        <v>26hHP08.8</v>
      </c>
      <c r="CY31" s="5">
        <f t="shared" si="85"/>
        <v>13.148568598892794</v>
      </c>
      <c r="CZ31" s="5">
        <f t="shared" si="86"/>
        <v>6.8909576965358266</v>
      </c>
      <c r="DA31" s="5">
        <f t="shared" si="87"/>
        <v>0.12670960028783126</v>
      </c>
      <c r="DB31" s="5">
        <f t="shared" si="88"/>
        <v>1.1972319742069004</v>
      </c>
      <c r="DC31" s="5">
        <f t="shared" si="89"/>
        <v>0</v>
      </c>
      <c r="DD31" s="5">
        <f t="shared" si="90"/>
        <v>1.8756372410450679</v>
      </c>
      <c r="DE31" s="5">
        <f t="shared" si="91"/>
        <v>2.8561003716959608</v>
      </c>
      <c r="DF31" s="5">
        <f t="shared" si="92"/>
        <v>1.8360181920645255</v>
      </c>
      <c r="DG31" s="5">
        <f t="shared" si="93"/>
        <v>5.3363116228412374E-2</v>
      </c>
      <c r="DH31" s="5">
        <f t="shared" si="94"/>
        <v>0.43199605185902823</v>
      </c>
      <c r="DI31" s="5">
        <f t="shared" si="95"/>
        <v>0.14363677257188034</v>
      </c>
      <c r="DJ31" s="5">
        <f t="shared" si="96"/>
        <v>0</v>
      </c>
      <c r="DK31" s="5">
        <f t="shared" si="97"/>
        <v>1.803589272385972E-2</v>
      </c>
      <c r="DL31" s="5">
        <f t="shared" si="98"/>
        <v>1.9593656627724088</v>
      </c>
      <c r="DM31" s="5">
        <f t="shared" si="99"/>
        <v>13</v>
      </c>
      <c r="DN31" s="5">
        <f t="shared" si="100"/>
        <v>15.005569456367835</v>
      </c>
      <c r="DO31" s="5">
        <f t="shared" si="101"/>
        <v>6.9671231262930666</v>
      </c>
      <c r="DP31" s="5">
        <f t="shared" si="102"/>
        <v>0.12811011551159215</v>
      </c>
      <c r="DQ31" s="5">
        <f t="shared" si="103"/>
        <v>1.2104649226373367</v>
      </c>
      <c r="DR31" s="5">
        <f t="shared" si="104"/>
        <v>0</v>
      </c>
      <c r="DS31" s="5">
        <f t="shared" si="105"/>
        <v>1.8963685708288363</v>
      </c>
      <c r="DT31" s="5">
        <f t="shared" si="106"/>
        <v>2.8876687141267077</v>
      </c>
      <c r="DU31" s="5">
        <f t="shared" si="107"/>
        <v>1.8563116143722844</v>
      </c>
      <c r="DV31" s="5">
        <f t="shared" si="108"/>
        <v>5.3952936230175816E-2</v>
      </c>
      <c r="DW31" s="5">
        <f t="shared" si="109"/>
        <v>0.43677088380434909</v>
      </c>
      <c r="DX31" s="5">
        <f t="shared" si="110"/>
        <v>0.14522438303092874</v>
      </c>
      <c r="DY31" s="5">
        <f t="shared" si="111"/>
        <v>0</v>
      </c>
      <c r="DZ31" s="5">
        <f t="shared" si="112"/>
        <v>1.8235242593770955E-2</v>
      </c>
      <c r="EA31" s="5">
        <f t="shared" si="113"/>
        <v>1.9810224388445739</v>
      </c>
      <c r="EB31" s="5">
        <f t="shared" si="114"/>
        <v>14.999999999999998</v>
      </c>
      <c r="EC31" s="5">
        <f t="shared" si="115"/>
        <v>45.480235776414169</v>
      </c>
      <c r="ED31" s="1">
        <f t="shared" si="116"/>
        <v>6.8909576965358266</v>
      </c>
      <c r="EE31" s="5">
        <f t="shared" si="117"/>
        <v>0.12670960028783126</v>
      </c>
      <c r="EF31" s="5">
        <f t="shared" si="118"/>
        <v>1.1972319742069004</v>
      </c>
      <c r="EG31" s="5">
        <f t="shared" si="119"/>
        <v>0</v>
      </c>
      <c r="EH31" s="5">
        <f t="shared" si="120"/>
        <v>0.51976422358583108</v>
      </c>
      <c r="EI31" s="5">
        <f t="shared" si="121"/>
        <v>1.3558730174592368</v>
      </c>
      <c r="EJ31" s="5">
        <f t="shared" si="122"/>
        <v>2.8561003716959608</v>
      </c>
      <c r="EK31" s="5">
        <f t="shared" si="123"/>
        <v>1.8360181920645255</v>
      </c>
      <c r="EL31" s="5">
        <f t="shared" si="124"/>
        <v>5.3363116228412374E-2</v>
      </c>
      <c r="EM31" s="5">
        <f t="shared" si="125"/>
        <v>0.43199605185902823</v>
      </c>
      <c r="EN31" s="5">
        <f t="shared" si="126"/>
        <v>0.14363677257188034</v>
      </c>
      <c r="EO31" s="5">
        <f t="shared" si="127"/>
        <v>4.7119304802289124</v>
      </c>
      <c r="EP31" s="5">
        <f t="shared" si="128"/>
        <v>11.060164893915042</v>
      </c>
      <c r="EQ31" s="5">
        <f t="shared" si="129"/>
        <v>2.0031568333660923</v>
      </c>
      <c r="ER31" s="5">
        <f t="shared" si="130"/>
        <v>100.41475220751003</v>
      </c>
      <c r="ES31" s="5">
        <f t="shared" si="131"/>
        <v>6.8909576965358266</v>
      </c>
      <c r="ET31" s="5">
        <f t="shared" si="132"/>
        <v>1.1090423034641734</v>
      </c>
      <c r="EU31" s="5">
        <f t="shared" si="133"/>
        <v>0</v>
      </c>
      <c r="EV31" s="44">
        <f t="shared" si="134"/>
        <v>8</v>
      </c>
      <c r="EW31" s="5">
        <f t="shared" si="135"/>
        <v>8.8189670742726989E-2</v>
      </c>
      <c r="EX31" s="5">
        <f t="shared" si="136"/>
        <v>0.12670960028783126</v>
      </c>
      <c r="EY31" s="5">
        <f t="shared" si="137"/>
        <v>0</v>
      </c>
      <c r="EZ31" s="5">
        <f t="shared" si="138"/>
        <v>0.51976422358583108</v>
      </c>
      <c r="FA31" s="5">
        <f t="shared" si="139"/>
        <v>2.8561003716959608</v>
      </c>
      <c r="FB31" s="5">
        <f t="shared" si="140"/>
        <v>1.3558730174592368</v>
      </c>
      <c r="FC31" s="5">
        <f t="shared" si="141"/>
        <v>5.3363116228412374E-2</v>
      </c>
      <c r="FD31" s="44">
        <f t="shared" si="142"/>
        <v>5</v>
      </c>
      <c r="FE31" s="5">
        <f t="shared" si="143"/>
        <v>0</v>
      </c>
      <c r="FF31" s="5">
        <f t="shared" si="144"/>
        <v>1.8360181920645255</v>
      </c>
      <c r="FG31" s="5">
        <f t="shared" si="145"/>
        <v>0.16398180793547446</v>
      </c>
      <c r="FH31" s="44">
        <f t="shared" si="146"/>
        <v>2</v>
      </c>
      <c r="FI31" s="5">
        <f t="shared" si="147"/>
        <v>0.26801424392355377</v>
      </c>
      <c r="FJ31" s="5">
        <f t="shared" si="148"/>
        <v>0.14363677257188034</v>
      </c>
      <c r="FK31" s="44">
        <f t="shared" si="149"/>
        <v>0.41165101649543412</v>
      </c>
      <c r="FL31" s="1" t="str">
        <f t="shared" si="150"/>
        <v>Pass</v>
      </c>
      <c r="FM31" s="5">
        <f t="shared" si="151"/>
        <v>7.3661305947953601E-2</v>
      </c>
      <c r="FN31" s="1" t="str">
        <f t="shared" si="152"/>
        <v>Mg-Hbl</v>
      </c>
      <c r="FO31" s="5">
        <f t="shared" si="153"/>
        <v>8.1601567786732634</v>
      </c>
      <c r="FP31" s="5">
        <f t="shared" si="154"/>
        <v>1.1972319742069004</v>
      </c>
      <c r="FQ31" s="5">
        <f t="shared" si="155"/>
        <v>3.1038279779699178</v>
      </c>
      <c r="FR31" s="5">
        <f t="shared" si="156"/>
        <v>-1.539964497743366</v>
      </c>
      <c r="FS31" s="1" t="str">
        <f t="shared" si="157"/>
        <v>YES</v>
      </c>
      <c r="FT31" s="32">
        <f t="shared" si="158"/>
        <v>804.84233006912336</v>
      </c>
      <c r="FU31" s="32">
        <f t="shared" si="159"/>
        <v>107.44708546104843</v>
      </c>
      <c r="FV31" s="46">
        <f t="shared" si="160"/>
        <v>1.0926931957825445</v>
      </c>
      <c r="FW31" s="47">
        <f t="shared" si="161"/>
        <v>-12.662233660268765</v>
      </c>
      <c r="FX31" s="46">
        <f t="shared" si="162"/>
        <v>4.2490851442683457</v>
      </c>
      <c r="FY31" s="50">
        <f t="shared" si="189"/>
        <v>115.73737537909668</v>
      </c>
      <c r="FZ31" s="32">
        <f t="shared" si="190"/>
        <v>106.87701310096102</v>
      </c>
      <c r="GA31" s="32">
        <f t="shared" si="191"/>
        <v>49.557019550548695</v>
      </c>
      <c r="GB31" s="32">
        <f t="shared" si="192"/>
        <v>-481.32908985444851</v>
      </c>
      <c r="GC31" s="32">
        <f t="shared" si="193"/>
        <v>356.19492990403393</v>
      </c>
      <c r="GD31" s="32">
        <f t="shared" si="194"/>
        <v>-588.20610295540951</v>
      </c>
      <c r="GE31" s="4">
        <f t="shared" si="195"/>
        <v>-2.0776136812963037</v>
      </c>
      <c r="GF31" s="32">
        <f t="shared" si="196"/>
        <v>106.87701310096102</v>
      </c>
      <c r="GG31" s="1">
        <f t="shared" si="197"/>
        <v>19.71751446113511</v>
      </c>
      <c r="GH31" s="32">
        <f t="shared" si="198"/>
        <v>106.87701310096102</v>
      </c>
      <c r="GI31" s="32">
        <f t="shared" si="199"/>
        <v>773.32714427578992</v>
      </c>
      <c r="GJ31" s="46">
        <f t="shared" si="200"/>
        <v>1.3880971597292699</v>
      </c>
      <c r="GK31" s="46">
        <f t="shared" si="201"/>
        <v>76.914457759714765</v>
      </c>
      <c r="GL31" s="46">
        <f t="shared" si="202"/>
        <v>0.16779925567960721</v>
      </c>
      <c r="GM31" s="46">
        <f t="shared" si="203"/>
        <v>14.36968902557838</v>
      </c>
      <c r="GN31" s="46">
        <f t="shared" si="204"/>
        <v>0.60661512358872505</v>
      </c>
      <c r="GO31" s="46">
        <f t="shared" si="205"/>
        <v>-0.75717392376735504</v>
      </c>
      <c r="GP31" s="46">
        <f t="shared" si="206"/>
        <v>0.32205695631779463</v>
      </c>
      <c r="GQ31" s="46">
        <f t="shared" si="207"/>
        <v>6.923515737614454</v>
      </c>
      <c r="GR31" s="46">
        <f t="shared" si="208"/>
        <v>5.6022141327824748</v>
      </c>
      <c r="GS31" s="46">
        <f t="shared" si="209"/>
        <v>104.14917406750885</v>
      </c>
      <c r="GU31" s="32">
        <f t="shared" si="184"/>
        <v>15256</v>
      </c>
      <c r="GV31" s="32">
        <f t="shared" si="185"/>
        <v>107.44708546104843</v>
      </c>
      <c r="GW31" s="32">
        <f t="shared" si="186"/>
        <v>804.84233006912336</v>
      </c>
      <c r="GX31" s="32">
        <f t="shared" si="187"/>
        <v>106.87701310096102</v>
      </c>
      <c r="GY31" s="32">
        <f t="shared" si="188"/>
        <v>773.32714427578992</v>
      </c>
    </row>
    <row r="32" spans="1:207">
      <c r="A32" s="35">
        <v>15257</v>
      </c>
      <c r="B32" s="2" t="s">
        <v>174</v>
      </c>
      <c r="C32" s="36">
        <v>46.14</v>
      </c>
      <c r="D32" s="36">
        <v>1.3684000000000001</v>
      </c>
      <c r="E32" s="36">
        <v>7.67</v>
      </c>
      <c r="F32" s="36"/>
      <c r="G32" s="36">
        <v>15.48</v>
      </c>
      <c r="H32" s="36">
        <v>12.55</v>
      </c>
      <c r="I32" s="36">
        <v>11.55</v>
      </c>
      <c r="J32" s="36">
        <v>0.38080000000000003</v>
      </c>
      <c r="K32" s="36">
        <v>1.56</v>
      </c>
      <c r="L32" s="36">
        <v>0.87150000000000005</v>
      </c>
      <c r="M32" s="36"/>
      <c r="N32" s="36">
        <v>0.12590000000000001</v>
      </c>
      <c r="O32" s="4">
        <f t="shared" si="0"/>
        <v>97.696599999999989</v>
      </c>
      <c r="P32" s="5">
        <f t="shared" si="1"/>
        <v>0.76792107089539197</v>
      </c>
      <c r="Q32" s="5">
        <f t="shared" si="2"/>
        <v>1.7133741851956659E-2</v>
      </c>
      <c r="R32" s="5">
        <f t="shared" si="3"/>
        <v>7.5224637243653164E-2</v>
      </c>
      <c r="S32" s="5">
        <f t="shared" si="4"/>
        <v>0</v>
      </c>
      <c r="T32" s="5">
        <f t="shared" si="5"/>
        <v>0.21546564519990427</v>
      </c>
      <c r="U32" s="5">
        <f t="shared" si="6"/>
        <v>0.31138039519258442</v>
      </c>
      <c r="V32" s="5">
        <f t="shared" si="7"/>
        <v>0.20596532649516561</v>
      </c>
      <c r="W32" s="5">
        <f t="shared" si="8"/>
        <v>5.368109586235615E-3</v>
      </c>
      <c r="X32" s="5">
        <f t="shared" si="9"/>
        <v>2.5169839948860049E-2</v>
      </c>
      <c r="Y32" s="5">
        <f t="shared" si="10"/>
        <v>9.2519852223024342E-3</v>
      </c>
      <c r="Z32" s="5">
        <f t="shared" si="11"/>
        <v>0</v>
      </c>
      <c r="AA32" s="5">
        <f t="shared" si="12"/>
        <v>3.5512104860842761E-3</v>
      </c>
      <c r="AB32" s="5">
        <f t="shared" si="13"/>
        <v>1.5358421417907839</v>
      </c>
      <c r="AC32" s="5">
        <f t="shared" si="14"/>
        <v>3.4267483703913318E-2</v>
      </c>
      <c r="AD32" s="5">
        <f t="shared" si="15"/>
        <v>0.22567391173095949</v>
      </c>
      <c r="AE32" s="5">
        <f t="shared" si="16"/>
        <v>0</v>
      </c>
      <c r="AF32" s="5">
        <f t="shared" si="17"/>
        <v>0.21546564519990427</v>
      </c>
      <c r="AG32" s="5">
        <f t="shared" si="18"/>
        <v>0.31138039519258442</v>
      </c>
      <c r="AH32" s="5">
        <f t="shared" si="19"/>
        <v>0.20596532649516561</v>
      </c>
      <c r="AI32" s="5">
        <f t="shared" si="20"/>
        <v>5.368109586235615E-3</v>
      </c>
      <c r="AJ32" s="5">
        <f t="shared" si="21"/>
        <v>2.5169839948860049E-2</v>
      </c>
      <c r="AK32" s="5">
        <f t="shared" si="22"/>
        <v>9.2519852223024342E-3</v>
      </c>
      <c r="AL32" s="5">
        <f t="shared" si="23"/>
        <v>2.5683848388707089</v>
      </c>
      <c r="AM32" s="4">
        <f t="shared" si="24"/>
        <v>13.753534410645321</v>
      </c>
      <c r="AN32" s="4">
        <f t="shared" si="25"/>
        <v>0.30686683446416396</v>
      </c>
      <c r="AO32" s="4">
        <f t="shared" si="26"/>
        <v>2.0209198758914475</v>
      </c>
      <c r="AP32" s="4">
        <f t="shared" si="27"/>
        <v>0</v>
      </c>
      <c r="AQ32" s="4">
        <f t="shared" si="28"/>
        <v>1.9295043969254897</v>
      </c>
      <c r="AR32" s="4">
        <f t="shared" si="29"/>
        <v>2.7884252317025768</v>
      </c>
      <c r="AS32" s="4">
        <f t="shared" si="30"/>
        <v>1.8444286221031059</v>
      </c>
      <c r="AT32" s="4">
        <f t="shared" si="31"/>
        <v>4.8071659127884449E-2</v>
      </c>
      <c r="AU32" s="4">
        <f t="shared" si="32"/>
        <v>0.22539703165290445</v>
      </c>
      <c r="AV32" s="4">
        <f t="shared" si="33"/>
        <v>8.2851937487109575E-2</v>
      </c>
      <c r="AW32" s="4">
        <f t="shared" si="34"/>
        <v>23.000000000000004</v>
      </c>
      <c r="AX32" s="5">
        <f t="shared" si="35"/>
        <v>6.8767672053226603</v>
      </c>
      <c r="AY32" s="5">
        <f t="shared" si="36"/>
        <v>0.15343341723208198</v>
      </c>
      <c r="AZ32" s="5">
        <f t="shared" si="37"/>
        <v>1.3472799172609651</v>
      </c>
      <c r="BA32" s="5">
        <f t="shared" si="38"/>
        <v>0</v>
      </c>
      <c r="BB32" s="5">
        <f t="shared" si="39"/>
        <v>1.9295043969254897</v>
      </c>
      <c r="BC32" s="5">
        <f t="shared" si="40"/>
        <v>2.7884252317025768</v>
      </c>
      <c r="BD32" s="5">
        <f t="shared" si="41"/>
        <v>1.8444286221031059</v>
      </c>
      <c r="BE32" s="5">
        <f t="shared" si="42"/>
        <v>4.8071659127884449E-2</v>
      </c>
      <c r="BF32" s="5">
        <f t="shared" si="43"/>
        <v>0.4507940633058089</v>
      </c>
      <c r="BG32" s="5">
        <f t="shared" si="44"/>
        <v>0.16570387497421915</v>
      </c>
      <c r="BH32" s="5">
        <f t="shared" si="45"/>
        <v>0</v>
      </c>
      <c r="BI32" s="5">
        <f t="shared" si="46"/>
        <v>3.1801247205559435E-2</v>
      </c>
      <c r="BJ32" s="5">
        <f t="shared" si="47"/>
        <v>1.9681987527944407</v>
      </c>
      <c r="BK32" s="5">
        <f t="shared" si="48"/>
        <v>15.604408387954793</v>
      </c>
      <c r="BL32" s="11">
        <f t="shared" si="49"/>
        <v>1</v>
      </c>
      <c r="BM32" s="11">
        <f t="shared" si="50"/>
        <v>1</v>
      </c>
      <c r="BN32" s="11">
        <f t="shared" si="51"/>
        <v>1</v>
      </c>
      <c r="BO32" s="11">
        <f t="shared" si="52"/>
        <v>1</v>
      </c>
      <c r="BP32" s="11">
        <f>1</f>
        <v>1</v>
      </c>
      <c r="BQ32" s="11">
        <f t="shared" si="53"/>
        <v>0.97275707212713047</v>
      </c>
      <c r="BR32" s="11">
        <f t="shared" si="54"/>
        <v>0.97158411104949127</v>
      </c>
      <c r="BS32" s="11">
        <f t="shared" si="55"/>
        <v>0.98147508926737392</v>
      </c>
      <c r="BT32" s="11">
        <f t="shared" si="56"/>
        <v>0.66203876388940941</v>
      </c>
      <c r="BU32" s="11">
        <f t="shared" si="57"/>
        <v>0.95805425224075025</v>
      </c>
      <c r="BV32" s="5">
        <f t="shared" si="58"/>
        <v>1</v>
      </c>
      <c r="BW32" s="11">
        <f t="shared" si="59"/>
        <v>0.98147508926737392</v>
      </c>
      <c r="BX32" s="11">
        <f t="shared" si="60"/>
        <v>0.99073754463368702</v>
      </c>
      <c r="BY32" s="11">
        <f t="shared" si="61"/>
        <v>6.8130714560188341</v>
      </c>
      <c r="BZ32" s="11">
        <f t="shared" si="62"/>
        <v>0.15201224705326893</v>
      </c>
      <c r="CA32" s="11">
        <f t="shared" si="63"/>
        <v>1.3348007971614055</v>
      </c>
      <c r="CB32" s="11">
        <f t="shared" si="64"/>
        <v>0</v>
      </c>
      <c r="CC32" s="11">
        <f t="shared" si="65"/>
        <v>1.9116324485698628</v>
      </c>
      <c r="CD32" s="11">
        <f t="shared" si="66"/>
        <v>2.762597567451631</v>
      </c>
      <c r="CE32" s="11">
        <f t="shared" si="67"/>
        <v>1.8273446843145258</v>
      </c>
      <c r="CF32" s="11">
        <f t="shared" si="68"/>
        <v>4.7626397530827806E-2</v>
      </c>
      <c r="CG32" s="11">
        <f t="shared" si="69"/>
        <v>0.44661860341503995</v>
      </c>
      <c r="CH32" s="11">
        <f t="shared" si="70"/>
        <v>0.16416905022824535</v>
      </c>
      <c r="CI32" s="11">
        <f t="shared" si="71"/>
        <v>15.459873251743641</v>
      </c>
      <c r="CJ32" s="11">
        <f t="shared" si="72"/>
        <v>0.42607294685039721</v>
      </c>
      <c r="CK32" s="11">
        <f t="shared" si="73"/>
        <v>1.4855595017194656</v>
      </c>
      <c r="CL32" s="13">
        <f t="shared" si="74"/>
        <v>2.1740913785828653E-2</v>
      </c>
      <c r="CN32" s="32">
        <f t="shared" si="75"/>
        <v>15257</v>
      </c>
      <c r="CO32" s="12">
        <f t="shared" si="76"/>
        <v>0.70326786400470853</v>
      </c>
      <c r="CP32" s="12">
        <f t="shared" si="77"/>
        <v>0.29673213599529147</v>
      </c>
      <c r="CQ32" s="12">
        <f t="shared" si="78"/>
        <v>7.39361265901195E-2</v>
      </c>
      <c r="CR32" s="12">
        <f t="shared" si="79"/>
        <v>0.16416905022824535</v>
      </c>
      <c r="CS32" s="14">
        <f t="shared" si="80"/>
        <v>0.54012674825636031</v>
      </c>
      <c r="CT32" s="14">
        <f t="shared" si="81"/>
        <v>0.29570420151539434</v>
      </c>
      <c r="CU32" s="14">
        <f t="shared" si="82"/>
        <v>7.5457200949822778E-2</v>
      </c>
      <c r="CV32" s="12">
        <f t="shared" si="83"/>
        <v>0.9136723421572629</v>
      </c>
      <c r="CW32" s="2" t="str">
        <f t="shared" si="84"/>
        <v>26hHP08.9</v>
      </c>
      <c r="CY32" s="5">
        <f t="shared" si="85"/>
        <v>13.143481827571659</v>
      </c>
      <c r="CZ32" s="5">
        <f t="shared" si="86"/>
        <v>6.8016964486275269</v>
      </c>
      <c r="DA32" s="5">
        <f t="shared" si="87"/>
        <v>0.15175844956340515</v>
      </c>
      <c r="DB32" s="5">
        <f t="shared" si="88"/>
        <v>1.3325722326979841</v>
      </c>
      <c r="DC32" s="5">
        <f t="shared" si="89"/>
        <v>0</v>
      </c>
      <c r="DD32" s="5">
        <f t="shared" si="90"/>
        <v>1.9084408141693845</v>
      </c>
      <c r="DE32" s="5">
        <f t="shared" si="91"/>
        <v>2.7579851737681311</v>
      </c>
      <c r="DF32" s="5">
        <f t="shared" si="92"/>
        <v>1.824293775568782</v>
      </c>
      <c r="DG32" s="5">
        <f t="shared" si="93"/>
        <v>4.754688117356784E-2</v>
      </c>
      <c r="DH32" s="5">
        <f t="shared" si="94"/>
        <v>0.44587293533453659</v>
      </c>
      <c r="DI32" s="5">
        <f t="shared" si="95"/>
        <v>0.16389495591236664</v>
      </c>
      <c r="DJ32" s="5">
        <f t="shared" si="96"/>
        <v>0</v>
      </c>
      <c r="DK32" s="5">
        <f t="shared" si="97"/>
        <v>3.1454086451052209E-2</v>
      </c>
      <c r="DL32" s="5">
        <f t="shared" si="98"/>
        <v>1.9467127601343526</v>
      </c>
      <c r="DM32" s="5">
        <f t="shared" si="99"/>
        <v>13</v>
      </c>
      <c r="DN32" s="5">
        <f t="shared" si="100"/>
        <v>14.987910449674764</v>
      </c>
      <c r="DO32" s="5">
        <f t="shared" si="101"/>
        <v>6.8823141442026881</v>
      </c>
      <c r="DP32" s="5">
        <f t="shared" si="102"/>
        <v>0.1535571797155468</v>
      </c>
      <c r="DQ32" s="5">
        <f t="shared" si="103"/>
        <v>1.3483666603674571</v>
      </c>
      <c r="DR32" s="5">
        <f t="shared" si="104"/>
        <v>0</v>
      </c>
      <c r="DS32" s="5">
        <f t="shared" si="105"/>
        <v>1.9310607740193959</v>
      </c>
      <c r="DT32" s="5">
        <f t="shared" si="106"/>
        <v>2.7906744316347498</v>
      </c>
      <c r="DU32" s="5">
        <f t="shared" si="107"/>
        <v>1.8459163753641821</v>
      </c>
      <c r="DV32" s="5">
        <f t="shared" si="108"/>
        <v>4.8110434695979518E-2</v>
      </c>
      <c r="DW32" s="5">
        <f t="shared" si="109"/>
        <v>0.45115768287325642</v>
      </c>
      <c r="DX32" s="5">
        <f t="shared" si="110"/>
        <v>0.16583753505594395</v>
      </c>
      <c r="DY32" s="5">
        <f t="shared" si="111"/>
        <v>0</v>
      </c>
      <c r="DZ32" s="5">
        <f t="shared" si="112"/>
        <v>3.1826898731820402E-2</v>
      </c>
      <c r="EA32" s="5">
        <f t="shared" si="113"/>
        <v>1.9697863415348373</v>
      </c>
      <c r="EB32" s="5">
        <f t="shared" si="114"/>
        <v>15</v>
      </c>
      <c r="EC32" s="5">
        <f t="shared" si="115"/>
        <v>45.497837471464315</v>
      </c>
      <c r="ED32" s="1">
        <f t="shared" si="116"/>
        <v>6.8016964486275269</v>
      </c>
      <c r="EE32" s="5">
        <f t="shared" si="117"/>
        <v>0.15175844956340515</v>
      </c>
      <c r="EF32" s="5">
        <f t="shared" si="118"/>
        <v>1.3325722326979841</v>
      </c>
      <c r="EG32" s="5">
        <f t="shared" si="119"/>
        <v>0</v>
      </c>
      <c r="EH32" s="5">
        <f t="shared" si="120"/>
        <v>0.50216252853568477</v>
      </c>
      <c r="EI32" s="5">
        <f t="shared" si="121"/>
        <v>1.4062782856336997</v>
      </c>
      <c r="EJ32" s="5">
        <f t="shared" si="122"/>
        <v>2.7579851737681311</v>
      </c>
      <c r="EK32" s="5">
        <f t="shared" si="123"/>
        <v>1.824293775568782</v>
      </c>
      <c r="EL32" s="5">
        <f t="shared" si="124"/>
        <v>4.754688117356784E-2</v>
      </c>
      <c r="EM32" s="5">
        <f t="shared" si="125"/>
        <v>0.44587293533453659</v>
      </c>
      <c r="EN32" s="5">
        <f t="shared" si="126"/>
        <v>0.16389495591236664</v>
      </c>
      <c r="EO32" s="5">
        <f t="shared" si="127"/>
        <v>4.5267495872067069</v>
      </c>
      <c r="EP32" s="5">
        <f t="shared" si="128"/>
        <v>11.406792235830656</v>
      </c>
      <c r="EQ32" s="5">
        <f t="shared" si="129"/>
        <v>1.9813554970757499</v>
      </c>
      <c r="ER32" s="5">
        <f t="shared" si="130"/>
        <v>100.1314973201131</v>
      </c>
      <c r="ES32" s="5">
        <f t="shared" si="131"/>
        <v>6.8016964486275269</v>
      </c>
      <c r="ET32" s="5">
        <f t="shared" si="132"/>
        <v>1.1983035513724731</v>
      </c>
      <c r="EU32" s="5">
        <f t="shared" si="133"/>
        <v>0</v>
      </c>
      <c r="EV32" s="44">
        <f t="shared" si="134"/>
        <v>8</v>
      </c>
      <c r="EW32" s="5">
        <f t="shared" si="135"/>
        <v>0.13426868132551095</v>
      </c>
      <c r="EX32" s="5">
        <f t="shared" si="136"/>
        <v>0.15175844956340515</v>
      </c>
      <c r="EY32" s="5">
        <f t="shared" si="137"/>
        <v>0</v>
      </c>
      <c r="EZ32" s="5">
        <f t="shared" si="138"/>
        <v>0.50216252853568477</v>
      </c>
      <c r="FA32" s="5">
        <f t="shared" si="139"/>
        <v>2.7579851737681311</v>
      </c>
      <c r="FB32" s="5">
        <f t="shared" si="140"/>
        <v>1.4062782856336997</v>
      </c>
      <c r="FC32" s="5">
        <f t="shared" si="141"/>
        <v>4.754688117356784E-2</v>
      </c>
      <c r="FD32" s="44">
        <f t="shared" si="142"/>
        <v>4.9999999999999991</v>
      </c>
      <c r="FE32" s="5">
        <f t="shared" si="143"/>
        <v>0</v>
      </c>
      <c r="FF32" s="5">
        <f t="shared" si="144"/>
        <v>1.824293775568782</v>
      </c>
      <c r="FG32" s="5">
        <f t="shared" si="145"/>
        <v>0.17570622443121797</v>
      </c>
      <c r="FH32" s="44">
        <f t="shared" si="146"/>
        <v>2</v>
      </c>
      <c r="FI32" s="5">
        <f t="shared" si="147"/>
        <v>0.27016671090331862</v>
      </c>
      <c r="FJ32" s="5">
        <f t="shared" si="148"/>
        <v>0.16389495591236664</v>
      </c>
      <c r="FK32" s="44">
        <f t="shared" si="149"/>
        <v>0.43406166681568525</v>
      </c>
      <c r="FL32" s="1" t="str">
        <f t="shared" si="150"/>
        <v>Pass</v>
      </c>
      <c r="FM32" s="5">
        <f t="shared" si="151"/>
        <v>0.10075902681362699</v>
      </c>
      <c r="FN32" s="1" t="str">
        <f t="shared" si="152"/>
        <v>Mg-Hbl</v>
      </c>
      <c r="FO32" s="5">
        <f t="shared" si="153"/>
        <v>8.046222306108012</v>
      </c>
      <c r="FP32" s="5">
        <f t="shared" si="154"/>
        <v>1.3325722326979841</v>
      </c>
      <c r="FQ32" s="5">
        <f t="shared" si="155"/>
        <v>2.9685247831505852</v>
      </c>
      <c r="FR32" s="5">
        <f t="shared" si="156"/>
        <v>-1.4916503498516305</v>
      </c>
      <c r="FS32" s="1" t="str">
        <f t="shared" si="157"/>
        <v>YES</v>
      </c>
      <c r="FT32" s="32">
        <f t="shared" si="158"/>
        <v>822.1019215146157</v>
      </c>
      <c r="FU32" s="32">
        <f t="shared" si="159"/>
        <v>130.53191938254733</v>
      </c>
      <c r="FV32" s="46">
        <f t="shared" si="160"/>
        <v>0.87025474349956244</v>
      </c>
      <c r="FW32" s="47">
        <f t="shared" si="161"/>
        <v>-12.518092138064322</v>
      </c>
      <c r="FX32" s="46">
        <f t="shared" si="162"/>
        <v>4.501043425523747</v>
      </c>
      <c r="FY32" s="50">
        <f t="shared" si="189"/>
        <v>136.00253073319433</v>
      </c>
      <c r="FZ32" s="32">
        <f t="shared" si="190"/>
        <v>125.97494389872743</v>
      </c>
      <c r="GA32" s="32">
        <f t="shared" si="191"/>
        <v>95.576329791304971</v>
      </c>
      <c r="GB32" s="32">
        <f t="shared" si="192"/>
        <v>-358.77418662119135</v>
      </c>
      <c r="GC32" s="32">
        <f t="shared" si="193"/>
        <v>392.91329934222398</v>
      </c>
      <c r="GD32" s="32">
        <f t="shared" si="194"/>
        <v>-484.74913051991877</v>
      </c>
      <c r="GE32" s="4">
        <f t="shared" si="195"/>
        <v>-1.8890146177722933</v>
      </c>
      <c r="GF32" s="32">
        <f t="shared" si="196"/>
        <v>125.97494389872743</v>
      </c>
      <c r="GG32" s="1">
        <f t="shared" si="197"/>
        <v>39.830183033666216</v>
      </c>
      <c r="GH32" s="32">
        <f t="shared" si="198"/>
        <v>125.97494389872743</v>
      </c>
      <c r="GI32" s="32">
        <f t="shared" si="199"/>
        <v>783.58721842454077</v>
      </c>
      <c r="GJ32" s="46">
        <f t="shared" si="200"/>
        <v>1.296054824139115</v>
      </c>
      <c r="GK32" s="46">
        <f t="shared" si="201"/>
        <v>78.214648226802709</v>
      </c>
      <c r="GL32" s="46">
        <f t="shared" si="202"/>
        <v>0.18097957953128258</v>
      </c>
      <c r="GM32" s="46">
        <f t="shared" si="203"/>
        <v>13.222422121497425</v>
      </c>
      <c r="GN32" s="46">
        <f t="shared" si="204"/>
        <v>0.70523042852447293</v>
      </c>
      <c r="GO32" s="46">
        <f t="shared" si="205"/>
        <v>-0.59972225336728935</v>
      </c>
      <c r="GP32" s="46">
        <f t="shared" si="206"/>
        <v>0.39071695327126221</v>
      </c>
      <c r="GQ32" s="46">
        <f t="shared" si="207"/>
        <v>7.3068259701231772</v>
      </c>
      <c r="GR32" s="46">
        <f t="shared" si="208"/>
        <v>5.823125487499369</v>
      </c>
      <c r="GS32" s="46">
        <f t="shared" si="209"/>
        <v>105.24422651388241</v>
      </c>
      <c r="GU32" s="32">
        <f t="shared" si="184"/>
        <v>15257</v>
      </c>
      <c r="GV32" s="32">
        <f t="shared" si="185"/>
        <v>130.53191938254733</v>
      </c>
      <c r="GW32" s="32">
        <f t="shared" si="186"/>
        <v>822.1019215146157</v>
      </c>
      <c r="GX32" s="32">
        <f t="shared" si="187"/>
        <v>125.97494389872743</v>
      </c>
      <c r="GY32" s="32">
        <f t="shared" si="188"/>
        <v>783.58721842454077</v>
      </c>
    </row>
    <row r="33" spans="1:207">
      <c r="A33" s="35">
        <v>16102</v>
      </c>
      <c r="B33" s="2" t="s">
        <v>175</v>
      </c>
      <c r="C33" s="36">
        <v>47.54</v>
      </c>
      <c r="D33" s="36">
        <v>1.2871999999999999</v>
      </c>
      <c r="E33" s="36">
        <v>6.63</v>
      </c>
      <c r="F33" s="36"/>
      <c r="G33" s="36">
        <v>14.43</v>
      </c>
      <c r="H33" s="36">
        <v>13.59</v>
      </c>
      <c r="I33" s="36">
        <v>11.58</v>
      </c>
      <c r="J33" s="36">
        <v>0.44240000000000002</v>
      </c>
      <c r="K33" s="36">
        <v>1.4</v>
      </c>
      <c r="L33" s="36">
        <v>0.68979999999999997</v>
      </c>
      <c r="M33" s="36"/>
      <c r="N33" s="36">
        <v>8.3900000000000002E-2</v>
      </c>
      <c r="O33" s="4">
        <f t="shared" si="0"/>
        <v>97.673300000000026</v>
      </c>
      <c r="P33" s="5">
        <f t="shared" si="1"/>
        <v>0.79122166689135098</v>
      </c>
      <c r="Q33" s="5">
        <f t="shared" si="2"/>
        <v>1.611703632844096E-2</v>
      </c>
      <c r="R33" s="5">
        <f t="shared" si="3"/>
        <v>6.5024686430954437E-2</v>
      </c>
      <c r="S33" s="5">
        <f t="shared" si="4"/>
        <v>0</v>
      </c>
      <c r="T33" s="5">
        <f t="shared" si="5"/>
        <v>0.2008507274053371</v>
      </c>
      <c r="U33" s="5">
        <f t="shared" si="6"/>
        <v>0.33718402953523685</v>
      </c>
      <c r="V33" s="5">
        <f t="shared" si="7"/>
        <v>0.20650030136917902</v>
      </c>
      <c r="W33" s="5">
        <f t="shared" si="8"/>
        <v>6.2364802545972582E-3</v>
      </c>
      <c r="X33" s="5">
        <f t="shared" si="9"/>
        <v>2.2588317902823118E-2</v>
      </c>
      <c r="Y33" s="5">
        <f t="shared" si="10"/>
        <v>7.3230285787082251E-3</v>
      </c>
      <c r="Z33" s="5">
        <f t="shared" si="11"/>
        <v>0</v>
      </c>
      <c r="AA33" s="5">
        <f t="shared" si="12"/>
        <v>2.3665334375096961E-3</v>
      </c>
      <c r="AB33" s="5">
        <f t="shared" si="13"/>
        <v>1.582443333782702</v>
      </c>
      <c r="AC33" s="5">
        <f t="shared" si="14"/>
        <v>3.2234072656881919E-2</v>
      </c>
      <c r="AD33" s="5">
        <f t="shared" si="15"/>
        <v>0.19507405929286331</v>
      </c>
      <c r="AE33" s="5">
        <f t="shared" si="16"/>
        <v>0</v>
      </c>
      <c r="AF33" s="5">
        <f t="shared" si="17"/>
        <v>0.2008507274053371</v>
      </c>
      <c r="AG33" s="5">
        <f t="shared" si="18"/>
        <v>0.33718402953523685</v>
      </c>
      <c r="AH33" s="5">
        <f t="shared" si="19"/>
        <v>0.20650030136917902</v>
      </c>
      <c r="AI33" s="5">
        <f t="shared" si="20"/>
        <v>6.2364802545972582E-3</v>
      </c>
      <c r="AJ33" s="5">
        <f t="shared" si="21"/>
        <v>2.2588317902823118E-2</v>
      </c>
      <c r="AK33" s="5">
        <f t="shared" si="22"/>
        <v>7.3230285787082251E-3</v>
      </c>
      <c r="AL33" s="5">
        <f t="shared" si="23"/>
        <v>2.5904343507783292</v>
      </c>
      <c r="AM33" s="4">
        <f t="shared" si="24"/>
        <v>14.050229323922624</v>
      </c>
      <c r="AN33" s="4">
        <f t="shared" si="25"/>
        <v>0.28620052497586979</v>
      </c>
      <c r="AO33" s="4">
        <f t="shared" si="26"/>
        <v>1.7320274348538378</v>
      </c>
      <c r="AP33" s="4">
        <f t="shared" si="27"/>
        <v>0</v>
      </c>
      <c r="AQ33" s="4">
        <f t="shared" si="28"/>
        <v>1.7833174305053303</v>
      </c>
      <c r="AR33" s="4">
        <f t="shared" si="29"/>
        <v>2.9937962631557475</v>
      </c>
      <c r="AS33" s="4">
        <f t="shared" si="30"/>
        <v>1.8334789801038838</v>
      </c>
      <c r="AT33" s="4">
        <f t="shared" si="31"/>
        <v>5.5372584837997861E-2</v>
      </c>
      <c r="AU33" s="4">
        <f t="shared" si="32"/>
        <v>0.20055760595084446</v>
      </c>
      <c r="AV33" s="4">
        <f t="shared" si="33"/>
        <v>6.5019851693860653E-2</v>
      </c>
      <c r="AW33" s="4">
        <f t="shared" si="34"/>
        <v>22.999999999999996</v>
      </c>
      <c r="AX33" s="5">
        <f t="shared" si="35"/>
        <v>7.0251146619613118</v>
      </c>
      <c r="AY33" s="5">
        <f t="shared" si="36"/>
        <v>0.14310026248793489</v>
      </c>
      <c r="AZ33" s="5">
        <f t="shared" si="37"/>
        <v>1.1546849565692252</v>
      </c>
      <c r="BA33" s="5">
        <f t="shared" si="38"/>
        <v>0</v>
      </c>
      <c r="BB33" s="5">
        <f t="shared" si="39"/>
        <v>1.7833174305053303</v>
      </c>
      <c r="BC33" s="5">
        <f t="shared" si="40"/>
        <v>2.9937962631557475</v>
      </c>
      <c r="BD33" s="5">
        <f t="shared" si="41"/>
        <v>1.8334789801038838</v>
      </c>
      <c r="BE33" s="5">
        <f t="shared" si="42"/>
        <v>5.5372584837997861E-2</v>
      </c>
      <c r="BF33" s="5">
        <f t="shared" si="43"/>
        <v>0.40111521190168892</v>
      </c>
      <c r="BG33" s="5">
        <f t="shared" si="44"/>
        <v>0.13003970338772131</v>
      </c>
      <c r="BH33" s="5">
        <f t="shared" si="45"/>
        <v>0</v>
      </c>
      <c r="BI33" s="5">
        <f t="shared" si="46"/>
        <v>2.1012024121116499E-2</v>
      </c>
      <c r="BJ33" s="5">
        <f t="shared" si="47"/>
        <v>1.9789879758788835</v>
      </c>
      <c r="BK33" s="5">
        <f t="shared" si="48"/>
        <v>15.520020054910843</v>
      </c>
      <c r="BL33" s="11">
        <f t="shared" si="49"/>
        <v>1</v>
      </c>
      <c r="BM33" s="11">
        <f t="shared" si="50"/>
        <v>1</v>
      </c>
      <c r="BN33" s="11">
        <f t="shared" si="51"/>
        <v>1</v>
      </c>
      <c r="BO33" s="11">
        <f t="shared" si="52"/>
        <v>1</v>
      </c>
      <c r="BP33" s="11">
        <f>1</f>
        <v>1</v>
      </c>
      <c r="BQ33" s="11">
        <f t="shared" si="53"/>
        <v>0.97801906808044303</v>
      </c>
      <c r="BR33" s="11">
        <f t="shared" si="54"/>
        <v>0.97466011374832418</v>
      </c>
      <c r="BS33" s="11">
        <f t="shared" si="55"/>
        <v>0.98058695074239355</v>
      </c>
      <c r="BT33" s="11">
        <f t="shared" si="56"/>
        <v>0.66270394398770183</v>
      </c>
      <c r="BU33" s="11">
        <f t="shared" si="57"/>
        <v>0.96123222977162326</v>
      </c>
      <c r="BV33" s="5">
        <f t="shared" si="58"/>
        <v>1</v>
      </c>
      <c r="BW33" s="11">
        <f t="shared" si="59"/>
        <v>0.98058695074239355</v>
      </c>
      <c r="BX33" s="11">
        <f t="shared" si="60"/>
        <v>0.99029347537119672</v>
      </c>
      <c r="BY33" s="11">
        <f t="shared" si="61"/>
        <v>6.9569252134748174</v>
      </c>
      <c r="BZ33" s="11">
        <f t="shared" si="62"/>
        <v>0.14171125626570755</v>
      </c>
      <c r="CA33" s="11">
        <f t="shared" si="63"/>
        <v>1.1434769785997774</v>
      </c>
      <c r="CB33" s="11">
        <f t="shared" si="64"/>
        <v>0</v>
      </c>
      <c r="CC33" s="11">
        <f t="shared" si="65"/>
        <v>1.7660076159451561</v>
      </c>
      <c r="CD33" s="11">
        <f t="shared" si="66"/>
        <v>2.9647369059938069</v>
      </c>
      <c r="CE33" s="11">
        <f t="shared" si="67"/>
        <v>1.8156822712271123</v>
      </c>
      <c r="CF33" s="11">
        <f t="shared" si="68"/>
        <v>5.4835109479507337E-2</v>
      </c>
      <c r="CG33" s="11">
        <f t="shared" si="69"/>
        <v>0.39722177721837754</v>
      </c>
      <c r="CH33" s="11">
        <f t="shared" si="70"/>
        <v>0.12877746980406612</v>
      </c>
      <c r="CI33" s="11">
        <f t="shared" si="71"/>
        <v>15.36937459800833</v>
      </c>
      <c r="CJ33" s="11">
        <f t="shared" si="72"/>
        <v>0.44650013292495094</v>
      </c>
      <c r="CK33" s="11">
        <f t="shared" si="73"/>
        <v>1.3195074830202052</v>
      </c>
      <c r="CL33" s="13">
        <f t="shared" si="74"/>
        <v>2.7693079758771333E-2</v>
      </c>
      <c r="CN33" s="32">
        <f t="shared" si="75"/>
        <v>16102</v>
      </c>
      <c r="CO33" s="12">
        <f t="shared" si="76"/>
        <v>0.73923130336870435</v>
      </c>
      <c r="CP33" s="12">
        <f t="shared" si="77"/>
        <v>0.26076869663129565</v>
      </c>
      <c r="CQ33" s="12">
        <f t="shared" si="78"/>
        <v>5.020109603729761E-2</v>
      </c>
      <c r="CR33" s="12">
        <f t="shared" si="79"/>
        <v>0.12877746980406612</v>
      </c>
      <c r="CS33" s="14">
        <f t="shared" si="80"/>
        <v>0.63062540199167272</v>
      </c>
      <c r="CT33" s="14">
        <f t="shared" si="81"/>
        <v>0.24059712820426116</v>
      </c>
      <c r="CU33" s="14">
        <f t="shared" si="82"/>
        <v>7.8312324507058162E-2</v>
      </c>
      <c r="CV33" s="12">
        <f t="shared" si="83"/>
        <v>0.90784113561355617</v>
      </c>
      <c r="CW33" s="2" t="str">
        <f t="shared" si="84"/>
        <v>18aHP01.2</v>
      </c>
      <c r="CY33" s="5">
        <f t="shared" si="85"/>
        <v>13.155386159517549</v>
      </c>
      <c r="CZ33" s="5">
        <f t="shared" si="86"/>
        <v>6.942136817430093</v>
      </c>
      <c r="DA33" s="5">
        <f t="shared" si="87"/>
        <v>0.14141001942366221</v>
      </c>
      <c r="DB33" s="5">
        <f t="shared" si="88"/>
        <v>1.1410462797049834</v>
      </c>
      <c r="DC33" s="5">
        <f t="shared" si="89"/>
        <v>0</v>
      </c>
      <c r="DD33" s="5">
        <f t="shared" si="90"/>
        <v>1.7622535982949432</v>
      </c>
      <c r="DE33" s="5">
        <f t="shared" si="91"/>
        <v>2.9584347391328887</v>
      </c>
      <c r="DF33" s="5">
        <f t="shared" si="92"/>
        <v>1.8118226597329017</v>
      </c>
      <c r="DG33" s="5">
        <f t="shared" si="93"/>
        <v>5.4718546013427793E-2</v>
      </c>
      <c r="DH33" s="5">
        <f t="shared" si="94"/>
        <v>0.39637739945394262</v>
      </c>
      <c r="DI33" s="5">
        <f t="shared" si="95"/>
        <v>0.12850372642366995</v>
      </c>
      <c r="DJ33" s="5">
        <f t="shared" si="96"/>
        <v>0</v>
      </c>
      <c r="DK33" s="5">
        <f t="shared" si="97"/>
        <v>2.076383849643924E-2</v>
      </c>
      <c r="DL33" s="5">
        <f t="shared" si="98"/>
        <v>1.9556129614494702</v>
      </c>
      <c r="DM33" s="5">
        <f t="shared" si="99"/>
        <v>12.999999999999998</v>
      </c>
      <c r="DN33" s="5">
        <f t="shared" si="100"/>
        <v>14.988865139621433</v>
      </c>
      <c r="DO33" s="5">
        <f t="shared" si="101"/>
        <v>7.0303334473847388</v>
      </c>
      <c r="DP33" s="5">
        <f t="shared" si="102"/>
        <v>0.14320656816405491</v>
      </c>
      <c r="DQ33" s="5">
        <f t="shared" si="103"/>
        <v>1.1555427437100703</v>
      </c>
      <c r="DR33" s="5">
        <f t="shared" si="104"/>
        <v>0</v>
      </c>
      <c r="DS33" s="5">
        <f t="shared" si="105"/>
        <v>1.7846422132967139</v>
      </c>
      <c r="DT33" s="5">
        <f t="shared" si="106"/>
        <v>2.9960202809904266</v>
      </c>
      <c r="DU33" s="5">
        <f t="shared" si="107"/>
        <v>1.8348410266804807</v>
      </c>
      <c r="DV33" s="5">
        <f t="shared" si="108"/>
        <v>5.5413719773513531E-2</v>
      </c>
      <c r="DW33" s="5">
        <f t="shared" si="109"/>
        <v>0.4014131905570868</v>
      </c>
      <c r="DX33" s="5">
        <f t="shared" si="110"/>
        <v>0.13013630669473653</v>
      </c>
      <c r="DY33" s="5">
        <f t="shared" si="111"/>
        <v>0</v>
      </c>
      <c r="DZ33" s="5">
        <f t="shared" si="112"/>
        <v>2.1027633438611873E-2</v>
      </c>
      <c r="EA33" s="5">
        <f t="shared" si="113"/>
        <v>1.9804581175204963</v>
      </c>
      <c r="EB33" s="5">
        <f t="shared" si="114"/>
        <v>14.999999999999998</v>
      </c>
      <c r="EC33" s="5">
        <f t="shared" si="115"/>
        <v>45.456666398755914</v>
      </c>
      <c r="ED33" s="1">
        <f t="shared" si="116"/>
        <v>6.942136817430093</v>
      </c>
      <c r="EE33" s="5">
        <f t="shared" si="117"/>
        <v>0.14141001942366221</v>
      </c>
      <c r="EF33" s="5">
        <f t="shared" si="118"/>
        <v>1.1410462797049834</v>
      </c>
      <c r="EG33" s="5">
        <f t="shared" si="119"/>
        <v>0</v>
      </c>
      <c r="EH33" s="5">
        <f t="shared" si="120"/>
        <v>0.54333360124408614</v>
      </c>
      <c r="EI33" s="5">
        <f t="shared" si="121"/>
        <v>1.2189199970508571</v>
      </c>
      <c r="EJ33" s="5">
        <f t="shared" si="122"/>
        <v>2.9584347391328887</v>
      </c>
      <c r="EK33" s="5">
        <f t="shared" si="123"/>
        <v>1.8118226597329017</v>
      </c>
      <c r="EL33" s="5">
        <f t="shared" si="124"/>
        <v>5.4718546013427793E-2</v>
      </c>
      <c r="EM33" s="5">
        <f t="shared" si="125"/>
        <v>0.39637739945394262</v>
      </c>
      <c r="EN33" s="5">
        <f t="shared" si="126"/>
        <v>0.12850372642366995</v>
      </c>
      <c r="EO33" s="5">
        <f t="shared" si="127"/>
        <v>4.9444090952443158</v>
      </c>
      <c r="EP33" s="5">
        <f t="shared" si="128"/>
        <v>9.9809786596333261</v>
      </c>
      <c r="EQ33" s="5">
        <f t="shared" si="129"/>
        <v>2.0091919880958038</v>
      </c>
      <c r="ER33" s="5">
        <f t="shared" si="130"/>
        <v>100.17787974297346</v>
      </c>
      <c r="ES33" s="5">
        <f t="shared" si="131"/>
        <v>6.942136817430093</v>
      </c>
      <c r="ET33" s="5">
        <f t="shared" si="132"/>
        <v>1.057863182569907</v>
      </c>
      <c r="EU33" s="5">
        <f t="shared" si="133"/>
        <v>0</v>
      </c>
      <c r="EV33" s="44">
        <f t="shared" si="134"/>
        <v>8</v>
      </c>
      <c r="EW33" s="5">
        <f t="shared" si="135"/>
        <v>8.3183097135076434E-2</v>
      </c>
      <c r="EX33" s="5">
        <f t="shared" si="136"/>
        <v>0.14141001942366221</v>
      </c>
      <c r="EY33" s="5">
        <f t="shared" si="137"/>
        <v>0</v>
      </c>
      <c r="EZ33" s="5">
        <f t="shared" si="138"/>
        <v>0.54333360124408614</v>
      </c>
      <c r="FA33" s="5">
        <f t="shared" si="139"/>
        <v>2.9584347391328887</v>
      </c>
      <c r="FB33" s="5">
        <f t="shared" si="140"/>
        <v>1.2189199970508571</v>
      </c>
      <c r="FC33" s="5">
        <f t="shared" si="141"/>
        <v>5.4718546013427793E-2</v>
      </c>
      <c r="FD33" s="44">
        <f t="shared" si="142"/>
        <v>4.9999999999999982</v>
      </c>
      <c r="FE33" s="5">
        <f t="shared" si="143"/>
        <v>0</v>
      </c>
      <c r="FF33" s="5">
        <f t="shared" si="144"/>
        <v>1.8118226597329017</v>
      </c>
      <c r="FG33" s="5">
        <f t="shared" si="145"/>
        <v>0.18817734026709831</v>
      </c>
      <c r="FH33" s="44">
        <f t="shared" si="146"/>
        <v>2</v>
      </c>
      <c r="FI33" s="5">
        <f t="shared" si="147"/>
        <v>0.20820005918684431</v>
      </c>
      <c r="FJ33" s="5">
        <f t="shared" si="148"/>
        <v>0.12850372642366995</v>
      </c>
      <c r="FK33" s="44">
        <f t="shared" si="149"/>
        <v>0.33670378561051428</v>
      </c>
      <c r="FL33" s="1" t="str">
        <f t="shared" si="150"/>
        <v>Pass</v>
      </c>
      <c r="FM33" s="5">
        <f t="shared" si="151"/>
        <v>7.2900721569841453E-2</v>
      </c>
      <c r="FN33" s="1" t="str">
        <f t="shared" si="152"/>
        <v>Mg-Hbl</v>
      </c>
      <c r="FO33" s="5">
        <f t="shared" si="153"/>
        <v>8.2176603934876695</v>
      </c>
      <c r="FP33" s="5">
        <f t="shared" si="154"/>
        <v>1.1410462797049834</v>
      </c>
      <c r="FQ33" s="5">
        <f t="shared" si="155"/>
        <v>3.1991911543625338</v>
      </c>
      <c r="FR33" s="5">
        <f t="shared" si="156"/>
        <v>-1.5358499223767421</v>
      </c>
      <c r="FS33" s="1" t="str">
        <f t="shared" si="157"/>
        <v>YES</v>
      </c>
      <c r="FT33" s="32">
        <f t="shared" si="158"/>
        <v>796.13127997173342</v>
      </c>
      <c r="FU33" s="32">
        <f t="shared" si="159"/>
        <v>99.107336454732206</v>
      </c>
      <c r="FV33" s="46">
        <f t="shared" si="160"/>
        <v>1.2494702577720052</v>
      </c>
      <c r="FW33" s="47">
        <f t="shared" si="161"/>
        <v>-12.69359157315264</v>
      </c>
      <c r="FX33" s="46">
        <f t="shared" si="162"/>
        <v>4.2705426548052898</v>
      </c>
      <c r="FY33" s="50">
        <f t="shared" si="189"/>
        <v>102.62792380300453</v>
      </c>
      <c r="FZ33" s="32">
        <f t="shared" si="190"/>
        <v>105.30889099942468</v>
      </c>
      <c r="GA33" s="32">
        <f t="shared" si="191"/>
        <v>40.453389866079192</v>
      </c>
      <c r="GB33" s="32">
        <f t="shared" si="192"/>
        <v>-594.12098114390278</v>
      </c>
      <c r="GC33" s="32">
        <f t="shared" si="193"/>
        <v>308.49864037456751</v>
      </c>
      <c r="GD33" s="32">
        <f t="shared" si="194"/>
        <v>-699.42987214332743</v>
      </c>
      <c r="GE33" s="4">
        <f t="shared" si="195"/>
        <v>-2.0059912443199588</v>
      </c>
      <c r="GF33" s="32">
        <f t="shared" si="196"/>
        <v>105.30889099942468</v>
      </c>
      <c r="GG33" s="1">
        <f t="shared" si="197"/>
        <v>1.3386056036431313</v>
      </c>
      <c r="GH33" s="32">
        <f t="shared" si="198"/>
        <v>105.30889099942468</v>
      </c>
      <c r="GI33" s="32">
        <f t="shared" si="199"/>
        <v>775.05238495391836</v>
      </c>
      <c r="GJ33" s="46">
        <f t="shared" si="200"/>
        <v>1.1449217220682466</v>
      </c>
      <c r="GK33" s="46">
        <f t="shared" si="201"/>
        <v>76.127506063745187</v>
      </c>
      <c r="GL33" s="46">
        <f t="shared" si="202"/>
        <v>0.17580351754405499</v>
      </c>
      <c r="GM33" s="46">
        <f t="shared" si="203"/>
        <v>14.563793262275045</v>
      </c>
      <c r="GN33" s="46">
        <f t="shared" si="204"/>
        <v>0.64475389278888495</v>
      </c>
      <c r="GO33" s="46">
        <f t="shared" si="205"/>
        <v>-0.53001541260794516</v>
      </c>
      <c r="GP33" s="46">
        <f t="shared" si="206"/>
        <v>0.57476584277349119</v>
      </c>
      <c r="GQ33" s="46">
        <f t="shared" si="207"/>
        <v>6.1399099241162265</v>
      </c>
      <c r="GR33" s="46">
        <f t="shared" si="208"/>
        <v>5.3173437960648791</v>
      </c>
      <c r="GS33" s="46">
        <f t="shared" si="209"/>
        <v>103.0138608866998</v>
      </c>
      <c r="GU33" s="32">
        <f t="shared" si="184"/>
        <v>16102</v>
      </c>
      <c r="GV33" s="32">
        <f t="shared" si="185"/>
        <v>99.107336454732206</v>
      </c>
      <c r="GW33" s="32">
        <f t="shared" si="186"/>
        <v>796.13127997173342</v>
      </c>
      <c r="GX33" s="32">
        <f t="shared" si="187"/>
        <v>105.30889099942468</v>
      </c>
      <c r="GY33" s="32">
        <f t="shared" si="188"/>
        <v>775.05238495391836</v>
      </c>
    </row>
    <row r="34" spans="1:207">
      <c r="A34" s="35">
        <v>16104</v>
      </c>
      <c r="B34" s="2" t="s">
        <v>176</v>
      </c>
      <c r="C34" s="36">
        <v>48.07</v>
      </c>
      <c r="D34" s="36">
        <v>1.1919999999999999</v>
      </c>
      <c r="E34" s="36">
        <v>6.38</v>
      </c>
      <c r="F34" s="36"/>
      <c r="G34" s="36">
        <v>14.03</v>
      </c>
      <c r="H34" s="36">
        <v>14.08</v>
      </c>
      <c r="I34" s="36">
        <v>11.77</v>
      </c>
      <c r="J34" s="36">
        <v>0.42399999999999999</v>
      </c>
      <c r="K34" s="36">
        <v>1.45</v>
      </c>
      <c r="L34" s="36">
        <v>0.68140000000000001</v>
      </c>
      <c r="M34" s="36"/>
      <c r="N34" s="36">
        <v>8.2100000000000006E-2</v>
      </c>
      <c r="O34" s="4">
        <f t="shared" si="0"/>
        <v>98.159499999999994</v>
      </c>
      <c r="P34" s="5">
        <f t="shared" si="1"/>
        <v>0.80004260680410688</v>
      </c>
      <c r="Q34" s="5">
        <f t="shared" si="2"/>
        <v>1.4925036749146693E-2</v>
      </c>
      <c r="R34" s="5">
        <f t="shared" si="3"/>
        <v>6.2572775177901857E-2</v>
      </c>
      <c r="S34" s="5">
        <f t="shared" si="4"/>
        <v>0</v>
      </c>
      <c r="T34" s="5">
        <f t="shared" si="5"/>
        <v>0.19528313967407343</v>
      </c>
      <c r="U34" s="5">
        <f t="shared" si="6"/>
        <v>0.34934151110052497</v>
      </c>
      <c r="V34" s="5">
        <f t="shared" si="7"/>
        <v>0.20988847557126397</v>
      </c>
      <c r="W34" s="5">
        <f t="shared" si="8"/>
        <v>5.9770968082035201E-3</v>
      </c>
      <c r="X34" s="5">
        <f t="shared" si="9"/>
        <v>2.339504354220966E-2</v>
      </c>
      <c r="Y34" s="5">
        <f t="shared" si="10"/>
        <v>7.2338528175294068E-3</v>
      </c>
      <c r="Z34" s="5">
        <f t="shared" si="11"/>
        <v>0</v>
      </c>
      <c r="AA34" s="5">
        <f t="shared" si="12"/>
        <v>2.3157615639993571E-3</v>
      </c>
      <c r="AB34" s="5">
        <f t="shared" si="13"/>
        <v>1.6000852136082138</v>
      </c>
      <c r="AC34" s="5">
        <f t="shared" si="14"/>
        <v>2.9850073498293387E-2</v>
      </c>
      <c r="AD34" s="5">
        <f t="shared" si="15"/>
        <v>0.18771832553370557</v>
      </c>
      <c r="AE34" s="5">
        <f t="shared" si="16"/>
        <v>0</v>
      </c>
      <c r="AF34" s="5">
        <f t="shared" si="17"/>
        <v>0.19528313967407343</v>
      </c>
      <c r="AG34" s="5">
        <f t="shared" si="18"/>
        <v>0.34934151110052497</v>
      </c>
      <c r="AH34" s="5">
        <f t="shared" si="19"/>
        <v>0.20988847557126397</v>
      </c>
      <c r="AI34" s="5">
        <f t="shared" si="20"/>
        <v>5.9770968082035201E-3</v>
      </c>
      <c r="AJ34" s="5">
        <f t="shared" si="21"/>
        <v>2.339504354220966E-2</v>
      </c>
      <c r="AK34" s="5">
        <f t="shared" si="22"/>
        <v>7.2338528175294068E-3</v>
      </c>
      <c r="AL34" s="5">
        <f t="shared" si="23"/>
        <v>2.6087727321540175</v>
      </c>
      <c r="AM34" s="4">
        <f t="shared" si="24"/>
        <v>14.107001142488251</v>
      </c>
      <c r="AN34" s="4">
        <f t="shared" si="25"/>
        <v>0.2631703720292547</v>
      </c>
      <c r="AO34" s="4">
        <f t="shared" si="26"/>
        <v>1.6550010026018354</v>
      </c>
      <c r="AP34" s="4">
        <f t="shared" si="27"/>
        <v>0</v>
      </c>
      <c r="AQ34" s="4">
        <f t="shared" si="28"/>
        <v>1.7216954766293981</v>
      </c>
      <c r="AR34" s="4">
        <f t="shared" si="29"/>
        <v>3.0799366523115395</v>
      </c>
      <c r="AS34" s="4">
        <f t="shared" si="30"/>
        <v>1.8504620500817424</v>
      </c>
      <c r="AT34" s="4">
        <f t="shared" si="31"/>
        <v>5.2696513151290016E-2</v>
      </c>
      <c r="AU34" s="4">
        <f t="shared" si="32"/>
        <v>0.20626020612632442</v>
      </c>
      <c r="AV34" s="4">
        <f t="shared" si="33"/>
        <v>6.377658458036721E-2</v>
      </c>
      <c r="AW34" s="4">
        <f t="shared" si="34"/>
        <v>23</v>
      </c>
      <c r="AX34" s="5">
        <f t="shared" si="35"/>
        <v>7.0535005712441254</v>
      </c>
      <c r="AY34" s="5">
        <f t="shared" si="36"/>
        <v>0.13158518601462735</v>
      </c>
      <c r="AZ34" s="5">
        <f t="shared" si="37"/>
        <v>1.103334001734557</v>
      </c>
      <c r="BA34" s="5">
        <f t="shared" si="38"/>
        <v>0</v>
      </c>
      <c r="BB34" s="5">
        <f t="shared" si="39"/>
        <v>1.7216954766293981</v>
      </c>
      <c r="BC34" s="5">
        <f t="shared" si="40"/>
        <v>3.0799366523115395</v>
      </c>
      <c r="BD34" s="5">
        <f t="shared" si="41"/>
        <v>1.8504620500817424</v>
      </c>
      <c r="BE34" s="5">
        <f t="shared" si="42"/>
        <v>5.2696513151290016E-2</v>
      </c>
      <c r="BF34" s="5">
        <f t="shared" si="43"/>
        <v>0.41252041225264885</v>
      </c>
      <c r="BG34" s="5">
        <f t="shared" si="44"/>
        <v>0.12755316916073442</v>
      </c>
      <c r="BH34" s="5">
        <f t="shared" si="45"/>
        <v>0</v>
      </c>
      <c r="BI34" s="5">
        <f t="shared" si="46"/>
        <v>2.0416694530537849E-2</v>
      </c>
      <c r="BJ34" s="5">
        <f t="shared" si="47"/>
        <v>1.979583305469462</v>
      </c>
      <c r="BK34" s="5">
        <f t="shared" si="48"/>
        <v>15.533284032580662</v>
      </c>
      <c r="BL34" s="11">
        <f t="shared" si="49"/>
        <v>1</v>
      </c>
      <c r="BM34" s="11">
        <f t="shared" si="50"/>
        <v>1</v>
      </c>
      <c r="BN34" s="11">
        <f t="shared" si="51"/>
        <v>1</v>
      </c>
      <c r="BO34" s="11">
        <f t="shared" si="52"/>
        <v>1</v>
      </c>
      <c r="BP34" s="11">
        <f>1</f>
        <v>1</v>
      </c>
      <c r="BQ34" s="11">
        <f t="shared" si="53"/>
        <v>0.98077261815530348</v>
      </c>
      <c r="BR34" s="11">
        <f t="shared" si="54"/>
        <v>0.97366364069209377</v>
      </c>
      <c r="BS34" s="11">
        <f t="shared" si="55"/>
        <v>0.98152986014207755</v>
      </c>
      <c r="BT34" s="11">
        <f t="shared" si="56"/>
        <v>0.66312484614246514</v>
      </c>
      <c r="BU34" s="11">
        <f t="shared" si="57"/>
        <v>0.96257183746457831</v>
      </c>
      <c r="BV34" s="5">
        <f t="shared" si="58"/>
        <v>1</v>
      </c>
      <c r="BW34" s="11">
        <f t="shared" si="59"/>
        <v>0.98152986014207755</v>
      </c>
      <c r="BX34" s="11">
        <f t="shared" si="60"/>
        <v>0.99076493007103883</v>
      </c>
      <c r="BY34" s="11">
        <f t="shared" si="61"/>
        <v>6.9883610002247183</v>
      </c>
      <c r="BZ34" s="11">
        <f t="shared" si="62"/>
        <v>0.13036998762016691</v>
      </c>
      <c r="CA34" s="11">
        <f t="shared" si="63"/>
        <v>1.0931446350735379</v>
      </c>
      <c r="CB34" s="11">
        <f t="shared" si="64"/>
        <v>0</v>
      </c>
      <c r="CC34" s="11">
        <f t="shared" si="65"/>
        <v>1.7057954985063495</v>
      </c>
      <c r="CD34" s="11">
        <f t="shared" si="66"/>
        <v>3.0514932219506719</v>
      </c>
      <c r="CE34" s="11">
        <f t="shared" si="67"/>
        <v>1.8333729036483486</v>
      </c>
      <c r="CF34" s="11">
        <f t="shared" si="68"/>
        <v>5.220985716732543E-2</v>
      </c>
      <c r="CG34" s="11">
        <f t="shared" si="69"/>
        <v>0.40871075739837176</v>
      </c>
      <c r="CH34" s="11">
        <f t="shared" si="70"/>
        <v>0.12637520672387442</v>
      </c>
      <c r="CI34" s="11">
        <f t="shared" si="71"/>
        <v>15.389833068313363</v>
      </c>
      <c r="CJ34" s="11">
        <f t="shared" si="72"/>
        <v>0.42481321673221384</v>
      </c>
      <c r="CK34" s="11">
        <f t="shared" si="73"/>
        <v>1.2809822817741356</v>
      </c>
      <c r="CL34" s="13">
        <f t="shared" si="74"/>
        <v>2.1374200542771504E-2</v>
      </c>
      <c r="CN34" s="32">
        <f t="shared" si="75"/>
        <v>16104</v>
      </c>
      <c r="CO34" s="12">
        <f t="shared" si="76"/>
        <v>0.74709025005617957</v>
      </c>
      <c r="CP34" s="12">
        <f t="shared" si="77"/>
        <v>0.25290974994382043</v>
      </c>
      <c r="CQ34" s="12">
        <f t="shared" si="78"/>
        <v>4.0752817649128303E-2</v>
      </c>
      <c r="CR34" s="12">
        <f t="shared" si="79"/>
        <v>0.12637520672387442</v>
      </c>
      <c r="CS34" s="14">
        <f t="shared" si="80"/>
        <v>0.61016693168663383</v>
      </c>
      <c r="CT34" s="14">
        <f t="shared" si="81"/>
        <v>0.26345786158949203</v>
      </c>
      <c r="CU34" s="14">
        <f t="shared" si="82"/>
        <v>7.262644790443995E-2</v>
      </c>
      <c r="CV34" s="12">
        <f t="shared" si="83"/>
        <v>0.9166864518241743</v>
      </c>
      <c r="CW34" s="2" t="str">
        <f t="shared" si="84"/>
        <v>18aHP01.4</v>
      </c>
      <c r="CY34" s="5">
        <f t="shared" si="85"/>
        <v>13.142748401085537</v>
      </c>
      <c r="CZ34" s="5">
        <f t="shared" si="86"/>
        <v>6.9768898123774443</v>
      </c>
      <c r="DA34" s="5">
        <f t="shared" si="87"/>
        <v>0.13015598914218479</v>
      </c>
      <c r="DB34" s="5">
        <f t="shared" si="88"/>
        <v>1.0913502704932356</v>
      </c>
      <c r="DC34" s="5">
        <f t="shared" si="89"/>
        <v>0</v>
      </c>
      <c r="DD34" s="5">
        <f t="shared" si="90"/>
        <v>1.7029954856575897</v>
      </c>
      <c r="DE34" s="5">
        <f t="shared" si="91"/>
        <v>3.0464842860982517</v>
      </c>
      <c r="DF34" s="5">
        <f t="shared" si="92"/>
        <v>1.8303634762631324</v>
      </c>
      <c r="DG34" s="5">
        <f t="shared" si="93"/>
        <v>5.2124156231293864E-2</v>
      </c>
      <c r="DH34" s="5">
        <f t="shared" si="94"/>
        <v>0.40803987078087045</v>
      </c>
      <c r="DI34" s="5">
        <f t="shared" si="95"/>
        <v>0.12616776556055714</v>
      </c>
      <c r="DJ34" s="5">
        <f t="shared" si="96"/>
        <v>0</v>
      </c>
      <c r="DK34" s="5">
        <f t="shared" si="97"/>
        <v>2.0194941027332585E-2</v>
      </c>
      <c r="DL34" s="5">
        <f t="shared" si="98"/>
        <v>1.9580822964683273</v>
      </c>
      <c r="DM34" s="5">
        <f t="shared" si="99"/>
        <v>13</v>
      </c>
      <c r="DN34" s="5">
        <f t="shared" si="100"/>
        <v>14.993210451167279</v>
      </c>
      <c r="DO34" s="5">
        <f t="shared" si="101"/>
        <v>7.0566946894569034</v>
      </c>
      <c r="DP34" s="5">
        <f t="shared" si="102"/>
        <v>0.13164477325573351</v>
      </c>
      <c r="DQ34" s="5">
        <f t="shared" si="103"/>
        <v>1.1038336372267672</v>
      </c>
      <c r="DR34" s="5">
        <f t="shared" si="104"/>
        <v>0</v>
      </c>
      <c r="DS34" s="5">
        <f t="shared" si="105"/>
        <v>1.7224751318974758</v>
      </c>
      <c r="DT34" s="5">
        <f t="shared" si="106"/>
        <v>3.0813313756345173</v>
      </c>
      <c r="DU34" s="5">
        <f t="shared" si="107"/>
        <v>1.8513000162060123</v>
      </c>
      <c r="DV34" s="5">
        <f t="shared" si="108"/>
        <v>5.272037632259146E-2</v>
      </c>
      <c r="DW34" s="5">
        <f t="shared" si="109"/>
        <v>0.4127072186402872</v>
      </c>
      <c r="DX34" s="5">
        <f t="shared" si="110"/>
        <v>0.12761093053703243</v>
      </c>
      <c r="DY34" s="5">
        <f t="shared" si="111"/>
        <v>0</v>
      </c>
      <c r="DZ34" s="5">
        <f t="shared" si="112"/>
        <v>2.0425940058369885E-2</v>
      </c>
      <c r="EA34" s="5">
        <f t="shared" si="113"/>
        <v>1.9804797430646455</v>
      </c>
      <c r="EB34" s="5">
        <f t="shared" si="114"/>
        <v>15.000000000000002</v>
      </c>
      <c r="EC34" s="5">
        <f t="shared" si="115"/>
        <v>45.50037646240019</v>
      </c>
      <c r="ED34" s="1">
        <f t="shared" si="116"/>
        <v>6.9768898123774443</v>
      </c>
      <c r="EE34" s="5">
        <f t="shared" si="117"/>
        <v>0.13015598914218479</v>
      </c>
      <c r="EF34" s="5">
        <f t="shared" si="118"/>
        <v>1.0913502704932356</v>
      </c>
      <c r="EG34" s="5">
        <f t="shared" si="119"/>
        <v>0</v>
      </c>
      <c r="EH34" s="5">
        <f t="shared" si="120"/>
        <v>0.49962353759980971</v>
      </c>
      <c r="EI34" s="5">
        <f t="shared" si="121"/>
        <v>1.20337194805778</v>
      </c>
      <c r="EJ34" s="5">
        <f t="shared" si="122"/>
        <v>3.0464842860982517</v>
      </c>
      <c r="EK34" s="5">
        <f t="shared" si="123"/>
        <v>1.8303634762631324</v>
      </c>
      <c r="EL34" s="5">
        <f t="shared" si="124"/>
        <v>5.2124156231293864E-2</v>
      </c>
      <c r="EM34" s="5">
        <f t="shared" si="125"/>
        <v>0.40803987078087045</v>
      </c>
      <c r="EN34" s="5">
        <f t="shared" si="126"/>
        <v>0.12616776556055714</v>
      </c>
      <c r="EO34" s="5">
        <f t="shared" si="127"/>
        <v>4.5744298515986817</v>
      </c>
      <c r="EP34" s="5">
        <f t="shared" si="128"/>
        <v>9.9138891285618307</v>
      </c>
      <c r="EQ34" s="5">
        <f t="shared" si="129"/>
        <v>2.0234376930981823</v>
      </c>
      <c r="ER34" s="5">
        <f t="shared" si="130"/>
        <v>100.64125667325868</v>
      </c>
      <c r="ES34" s="5">
        <f t="shared" si="131"/>
        <v>6.9768898123774443</v>
      </c>
      <c r="ET34" s="5">
        <f t="shared" si="132"/>
        <v>1.0231101876225557</v>
      </c>
      <c r="EU34" s="5">
        <f t="shared" si="133"/>
        <v>0</v>
      </c>
      <c r="EV34" s="44">
        <f t="shared" si="134"/>
        <v>8</v>
      </c>
      <c r="EW34" s="5">
        <f t="shared" si="135"/>
        <v>6.8240082870679952E-2</v>
      </c>
      <c r="EX34" s="5">
        <f t="shared" si="136"/>
        <v>0.13015598914218479</v>
      </c>
      <c r="EY34" s="5">
        <f t="shared" si="137"/>
        <v>0</v>
      </c>
      <c r="EZ34" s="5">
        <f t="shared" si="138"/>
        <v>0.49962353759980971</v>
      </c>
      <c r="FA34" s="5">
        <f t="shared" si="139"/>
        <v>3.0464842860982517</v>
      </c>
      <c r="FB34" s="5">
        <f t="shared" si="140"/>
        <v>1.20337194805778</v>
      </c>
      <c r="FC34" s="5">
        <f t="shared" si="141"/>
        <v>5.2124156231293864E-2</v>
      </c>
      <c r="FD34" s="44">
        <f t="shared" si="142"/>
        <v>5</v>
      </c>
      <c r="FE34" s="5">
        <f t="shared" si="143"/>
        <v>0</v>
      </c>
      <c r="FF34" s="5">
        <f t="shared" si="144"/>
        <v>1.8303634762631324</v>
      </c>
      <c r="FG34" s="5">
        <f t="shared" si="145"/>
        <v>0.16963652373686755</v>
      </c>
      <c r="FH34" s="44">
        <f t="shared" si="146"/>
        <v>2</v>
      </c>
      <c r="FI34" s="5">
        <f t="shared" si="147"/>
        <v>0.2384033470440029</v>
      </c>
      <c r="FJ34" s="5">
        <f t="shared" si="148"/>
        <v>0.12616776556055714</v>
      </c>
      <c r="FK34" s="44">
        <f t="shared" si="149"/>
        <v>0.36457111260456004</v>
      </c>
      <c r="FL34" s="1" t="str">
        <f t="shared" si="150"/>
        <v>Pass</v>
      </c>
      <c r="FM34" s="5">
        <f t="shared" si="151"/>
        <v>6.2528122011495768E-2</v>
      </c>
      <c r="FN34" s="1" t="str">
        <f t="shared" si="152"/>
        <v>Mg-Hbl</v>
      </c>
      <c r="FO34" s="5">
        <f t="shared" si="153"/>
        <v>8.2329548006763087</v>
      </c>
      <c r="FP34" s="5">
        <f t="shared" si="154"/>
        <v>1.0913502704932356</v>
      </c>
      <c r="FQ34" s="5">
        <f t="shared" si="155"/>
        <v>3.274819828711677</v>
      </c>
      <c r="FR34" s="5">
        <f t="shared" si="156"/>
        <v>-1.5914682164249243</v>
      </c>
      <c r="FS34" s="1" t="str">
        <f t="shared" si="157"/>
        <v>YES</v>
      </c>
      <c r="FT34" s="32">
        <f t="shared" si="158"/>
        <v>793.81437610994817</v>
      </c>
      <c r="FU34" s="32">
        <f t="shared" si="159"/>
        <v>92.271988124685791</v>
      </c>
      <c r="FV34" s="46">
        <f t="shared" si="160"/>
        <v>1.3738037984019966</v>
      </c>
      <c r="FW34" s="47">
        <f t="shared" si="161"/>
        <v>-12.621810373436446</v>
      </c>
      <c r="FX34" s="46">
        <f t="shared" si="162"/>
        <v>3.9804932513440185</v>
      </c>
      <c r="FY34" s="50">
        <f t="shared" si="189"/>
        <v>97.768904852048067</v>
      </c>
      <c r="FZ34" s="32">
        <f t="shared" si="190"/>
        <v>97.965169747351567</v>
      </c>
      <c r="GA34" s="32">
        <f t="shared" si="191"/>
        <v>17.794952206431006</v>
      </c>
      <c r="GB34" s="32">
        <f t="shared" si="192"/>
        <v>-586.69407000118463</v>
      </c>
      <c r="GC34" s="32">
        <f t="shared" si="193"/>
        <v>319.62004395581982</v>
      </c>
      <c r="GD34" s="32">
        <f t="shared" si="194"/>
        <v>-684.65923974853615</v>
      </c>
      <c r="GE34" s="4">
        <f t="shared" si="195"/>
        <v>-2.269138019286348</v>
      </c>
      <c r="GF34" s="32">
        <f t="shared" si="196"/>
        <v>97.965169747351567</v>
      </c>
      <c r="GG34" s="1">
        <f t="shared" si="197"/>
        <v>2.3313663427886979</v>
      </c>
      <c r="GH34" s="32">
        <f t="shared" si="198"/>
        <v>97.965169747351567</v>
      </c>
      <c r="GI34" s="32">
        <f t="shared" si="199"/>
        <v>770.2769999939087</v>
      </c>
      <c r="GJ34" s="46">
        <f t="shared" si="200"/>
        <v>1.4593674941466939</v>
      </c>
      <c r="GK34" s="46">
        <f t="shared" si="201"/>
        <v>74.521972451995921</v>
      </c>
      <c r="GL34" s="46">
        <f t="shared" si="202"/>
        <v>0.1741216750250798</v>
      </c>
      <c r="GM34" s="46">
        <f t="shared" si="203"/>
        <v>18.582276049936421</v>
      </c>
      <c r="GN34" s="46">
        <f t="shared" si="204"/>
        <v>0.5885845962175571</v>
      </c>
      <c r="GO34" s="46">
        <f t="shared" si="205"/>
        <v>-0.64124625271722713</v>
      </c>
      <c r="GP34" s="46">
        <f t="shared" si="206"/>
        <v>0.5190955901990506</v>
      </c>
      <c r="GQ34" s="46">
        <f t="shared" si="207"/>
        <v>6.348263785082576</v>
      </c>
      <c r="GR34" s="46">
        <f t="shared" si="208"/>
        <v>5.2614428567378804</v>
      </c>
      <c r="GS34" s="46">
        <f t="shared" si="209"/>
        <v>105.35451075247728</v>
      </c>
      <c r="GU34" s="32">
        <f t="shared" si="184"/>
        <v>16104</v>
      </c>
      <c r="GV34" s="32">
        <f t="shared" si="185"/>
        <v>92.271988124685791</v>
      </c>
      <c r="GW34" s="32">
        <f t="shared" si="186"/>
        <v>793.81437610994817</v>
      </c>
      <c r="GX34" s="32">
        <f t="shared" si="187"/>
        <v>97.965169747351567</v>
      </c>
      <c r="GY34" s="32">
        <f t="shared" si="188"/>
        <v>770.2769999939087</v>
      </c>
    </row>
    <row r="35" spans="1:207">
      <c r="A35" s="35">
        <v>16106.000000000002</v>
      </c>
      <c r="B35" s="2" t="s">
        <v>177</v>
      </c>
      <c r="C35" s="36">
        <v>47.57</v>
      </c>
      <c r="D35" s="36">
        <v>1.2649999999999999</v>
      </c>
      <c r="E35" s="36">
        <v>6.62</v>
      </c>
      <c r="F35" s="36"/>
      <c r="G35" s="36">
        <v>14.15</v>
      </c>
      <c r="H35" s="36">
        <v>13.84</v>
      </c>
      <c r="I35" s="36">
        <v>11.41</v>
      </c>
      <c r="J35" s="36">
        <v>0.43490000000000001</v>
      </c>
      <c r="K35" s="36">
        <v>1.42</v>
      </c>
      <c r="L35" s="36">
        <v>0.6905</v>
      </c>
      <c r="M35" s="36"/>
      <c r="N35" s="36">
        <v>9.3700000000000006E-2</v>
      </c>
      <c r="O35" s="4">
        <f t="shared" si="0"/>
        <v>97.494100000000003</v>
      </c>
      <c r="P35" s="5">
        <f t="shared" si="1"/>
        <v>0.79172096537697867</v>
      </c>
      <c r="Q35" s="5">
        <f t="shared" si="2"/>
        <v>1.5839070039992086E-2</v>
      </c>
      <c r="R35" s="5">
        <f t="shared" si="3"/>
        <v>6.4926609980832328E-2</v>
      </c>
      <c r="S35" s="5">
        <f t="shared" si="4"/>
        <v>0</v>
      </c>
      <c r="T35" s="5">
        <f t="shared" si="5"/>
        <v>0.19695341599345254</v>
      </c>
      <c r="U35" s="5">
        <f t="shared" si="6"/>
        <v>0.34338682625222061</v>
      </c>
      <c r="V35" s="5">
        <f t="shared" si="7"/>
        <v>0.20346877708310299</v>
      </c>
      <c r="W35" s="5">
        <f t="shared" si="8"/>
        <v>6.1307533063389413E-3</v>
      </c>
      <c r="X35" s="5">
        <f t="shared" si="9"/>
        <v>2.2911008158577734E-2</v>
      </c>
      <c r="Y35" s="5">
        <f t="shared" si="10"/>
        <v>7.3304598921397936E-3</v>
      </c>
      <c r="Z35" s="5">
        <f t="shared" si="11"/>
        <v>0</v>
      </c>
      <c r="AA35" s="5">
        <f t="shared" si="12"/>
        <v>2.642958082177098E-3</v>
      </c>
      <c r="AB35" s="5">
        <f t="shared" si="13"/>
        <v>1.5834419307539573</v>
      </c>
      <c r="AC35" s="5">
        <f t="shared" si="14"/>
        <v>3.1678140079984173E-2</v>
      </c>
      <c r="AD35" s="5">
        <f t="shared" si="15"/>
        <v>0.19477982994249698</v>
      </c>
      <c r="AE35" s="5">
        <f t="shared" si="16"/>
        <v>0</v>
      </c>
      <c r="AF35" s="5">
        <f t="shared" si="17"/>
        <v>0.19695341599345254</v>
      </c>
      <c r="AG35" s="5">
        <f t="shared" si="18"/>
        <v>0.34338682625222061</v>
      </c>
      <c r="AH35" s="5">
        <f t="shared" si="19"/>
        <v>0.20346877708310299</v>
      </c>
      <c r="AI35" s="5">
        <f t="shared" si="20"/>
        <v>6.1307533063389413E-3</v>
      </c>
      <c r="AJ35" s="5">
        <f t="shared" si="21"/>
        <v>2.2911008158577734E-2</v>
      </c>
      <c r="AK35" s="5">
        <f t="shared" si="22"/>
        <v>7.3304598921397936E-3</v>
      </c>
      <c r="AL35" s="5">
        <f t="shared" si="23"/>
        <v>2.5900811414622718</v>
      </c>
      <c r="AM35" s="4">
        <f t="shared" si="24"/>
        <v>14.061012925170367</v>
      </c>
      <c r="AN35" s="4">
        <f t="shared" si="25"/>
        <v>0.28130285579713332</v>
      </c>
      <c r="AO35" s="4">
        <f t="shared" si="26"/>
        <v>1.7296508657440015</v>
      </c>
      <c r="AP35" s="4">
        <f t="shared" si="27"/>
        <v>0</v>
      </c>
      <c r="AQ35" s="4">
        <f t="shared" si="28"/>
        <v>1.7489523765622126</v>
      </c>
      <c r="AR35" s="4">
        <f t="shared" si="29"/>
        <v>3.0492855522442008</v>
      </c>
      <c r="AS35" s="4">
        <f t="shared" si="30"/>
        <v>1.8068089829299026</v>
      </c>
      <c r="AT35" s="4">
        <f t="shared" si="31"/>
        <v>5.4441277452098556E-2</v>
      </c>
      <c r="AU35" s="4">
        <f t="shared" si="32"/>
        <v>0.20345045535901168</v>
      </c>
      <c r="AV35" s="4">
        <f t="shared" si="33"/>
        <v>6.5094708741066348E-2</v>
      </c>
      <c r="AW35" s="4">
        <f t="shared" si="34"/>
        <v>22.999999999999993</v>
      </c>
      <c r="AX35" s="5">
        <f t="shared" si="35"/>
        <v>7.0305064625851834</v>
      </c>
      <c r="AY35" s="5">
        <f t="shared" si="36"/>
        <v>0.14065142789856666</v>
      </c>
      <c r="AZ35" s="5">
        <f t="shared" si="37"/>
        <v>1.1531005771626677</v>
      </c>
      <c r="BA35" s="5">
        <f t="shared" si="38"/>
        <v>0</v>
      </c>
      <c r="BB35" s="5">
        <f t="shared" si="39"/>
        <v>1.7489523765622126</v>
      </c>
      <c r="BC35" s="5">
        <f t="shared" si="40"/>
        <v>3.0492855522442008</v>
      </c>
      <c r="BD35" s="5">
        <f t="shared" si="41"/>
        <v>1.8068089829299026</v>
      </c>
      <c r="BE35" s="5">
        <f t="shared" si="42"/>
        <v>5.4441277452098556E-2</v>
      </c>
      <c r="BF35" s="5">
        <f t="shared" si="43"/>
        <v>0.40690091071802337</v>
      </c>
      <c r="BG35" s="5">
        <f t="shared" si="44"/>
        <v>0.1301894174821327</v>
      </c>
      <c r="BH35" s="5">
        <f t="shared" si="45"/>
        <v>0</v>
      </c>
      <c r="BI35" s="5">
        <f t="shared" si="46"/>
        <v>2.3469548855814763E-2</v>
      </c>
      <c r="BJ35" s="5">
        <f t="shared" si="47"/>
        <v>1.9765304511441852</v>
      </c>
      <c r="BK35" s="5">
        <f t="shared" si="48"/>
        <v>15.52083698503499</v>
      </c>
      <c r="BL35" s="11">
        <f t="shared" si="49"/>
        <v>1</v>
      </c>
      <c r="BM35" s="11">
        <f t="shared" si="50"/>
        <v>1</v>
      </c>
      <c r="BN35" s="11">
        <f t="shared" si="51"/>
        <v>1</v>
      </c>
      <c r="BO35" s="11">
        <f t="shared" si="52"/>
        <v>1</v>
      </c>
      <c r="BP35" s="11">
        <f>1</f>
        <v>1</v>
      </c>
      <c r="BQ35" s="11">
        <f t="shared" si="53"/>
        <v>0.97756404494300975</v>
      </c>
      <c r="BR35" s="11">
        <f t="shared" si="54"/>
        <v>0.97461786024023866</v>
      </c>
      <c r="BS35" s="11">
        <f t="shared" si="55"/>
        <v>0.97898315369181976</v>
      </c>
      <c r="BT35" s="11">
        <f t="shared" si="56"/>
        <v>0.66268737053153348</v>
      </c>
      <c r="BU35" s="11">
        <f t="shared" si="57"/>
        <v>0.96197929616169109</v>
      </c>
      <c r="BV35" s="5">
        <f t="shared" si="58"/>
        <v>1</v>
      </c>
      <c r="BW35" s="11">
        <f t="shared" si="59"/>
        <v>0.97898315369181976</v>
      </c>
      <c r="BX35" s="11">
        <f t="shared" si="60"/>
        <v>0.98949157684590983</v>
      </c>
      <c r="BY35" s="11">
        <f t="shared" si="61"/>
        <v>6.9566269256887727</v>
      </c>
      <c r="BZ35" s="11">
        <f t="shared" si="62"/>
        <v>0.13917340317698151</v>
      </c>
      <c r="CA35" s="11">
        <f t="shared" si="63"/>
        <v>1.1409833083586167</v>
      </c>
      <c r="CB35" s="11">
        <f t="shared" si="64"/>
        <v>0</v>
      </c>
      <c r="CC35" s="11">
        <f t="shared" si="65"/>
        <v>1.7305736449129452</v>
      </c>
      <c r="CD35" s="11">
        <f t="shared" si="66"/>
        <v>3.017242369343565</v>
      </c>
      <c r="CE35" s="11">
        <f t="shared" si="67"/>
        <v>1.7878222695786639</v>
      </c>
      <c r="CF35" s="11">
        <f t="shared" si="68"/>
        <v>5.3869185471582676E-2</v>
      </c>
      <c r="CG35" s="11">
        <f t="shared" si="69"/>
        <v>0.40262502376641374</v>
      </c>
      <c r="CH35" s="11">
        <f t="shared" si="70"/>
        <v>0.12882133199304593</v>
      </c>
      <c r="CI35" s="11">
        <f t="shared" si="71"/>
        <v>15.357737462290588</v>
      </c>
      <c r="CJ35" s="11">
        <f t="shared" si="72"/>
        <v>0.48338746508814801</v>
      </c>
      <c r="CK35" s="11">
        <f t="shared" si="73"/>
        <v>1.2471861798247972</v>
      </c>
      <c r="CL35" s="13">
        <f t="shared" si="74"/>
        <v>3.8468836952462837E-2</v>
      </c>
      <c r="CN35" s="32">
        <f t="shared" si="75"/>
        <v>16106.000000000002</v>
      </c>
      <c r="CO35" s="12">
        <f t="shared" si="76"/>
        <v>0.73915673142219318</v>
      </c>
      <c r="CP35" s="12">
        <f t="shared" si="77"/>
        <v>0.26084326857780682</v>
      </c>
      <c r="CQ35" s="12">
        <f t="shared" si="78"/>
        <v>4.88051170236945E-2</v>
      </c>
      <c r="CR35" s="12">
        <f t="shared" si="79"/>
        <v>0.12882133199304593</v>
      </c>
      <c r="CS35" s="14">
        <f t="shared" si="80"/>
        <v>0.64226253770941366</v>
      </c>
      <c r="CT35" s="14">
        <f t="shared" si="81"/>
        <v>0.22891613029754065</v>
      </c>
      <c r="CU35" s="14">
        <f t="shared" si="82"/>
        <v>8.6854446734436652E-2</v>
      </c>
      <c r="CV35" s="12">
        <f t="shared" si="83"/>
        <v>0.89391113478933193</v>
      </c>
      <c r="CW35" s="2" t="str">
        <f t="shared" si="84"/>
        <v>18aHP01.6</v>
      </c>
      <c r="CY35" s="5">
        <f t="shared" si="85"/>
        <v>13.176937673904931</v>
      </c>
      <c r="CZ35" s="5">
        <f t="shared" si="86"/>
        <v>6.9361020197132328</v>
      </c>
      <c r="DA35" s="5">
        <f t="shared" si="87"/>
        <v>0.13876278448993434</v>
      </c>
      <c r="DB35" s="5">
        <f t="shared" si="88"/>
        <v>1.1376169390859967</v>
      </c>
      <c r="DC35" s="5">
        <f t="shared" si="89"/>
        <v>0</v>
      </c>
      <c r="DD35" s="5">
        <f t="shared" si="90"/>
        <v>1.7254677420486675</v>
      </c>
      <c r="DE35" s="5">
        <f t="shared" si="91"/>
        <v>3.0083402654076039</v>
      </c>
      <c r="DF35" s="5">
        <f t="shared" si="92"/>
        <v>1.782547459764072</v>
      </c>
      <c r="DG35" s="5">
        <f t="shared" si="93"/>
        <v>5.3710249254563441E-2</v>
      </c>
      <c r="DH35" s="5">
        <f t="shared" si="94"/>
        <v>0.40143711461956999</v>
      </c>
      <c r="DI35" s="5">
        <f t="shared" si="95"/>
        <v>0.12844125616678059</v>
      </c>
      <c r="DJ35" s="5">
        <f t="shared" si="96"/>
        <v>0</v>
      </c>
      <c r="DK35" s="5">
        <f t="shared" si="97"/>
        <v>2.3154403752687371E-2</v>
      </c>
      <c r="DL35" s="5">
        <f t="shared" si="98"/>
        <v>1.9499899370215228</v>
      </c>
      <c r="DM35" s="5">
        <f t="shared" si="99"/>
        <v>12.999999999999998</v>
      </c>
      <c r="DN35" s="5">
        <f t="shared" si="100"/>
        <v>14.983746656834834</v>
      </c>
      <c r="DO35" s="5">
        <f t="shared" si="101"/>
        <v>7.0381326749590558</v>
      </c>
      <c r="DP35" s="5">
        <f t="shared" si="102"/>
        <v>0.14080399694399051</v>
      </c>
      <c r="DQ35" s="5">
        <f t="shared" si="103"/>
        <v>1.1543513817720761</v>
      </c>
      <c r="DR35" s="5">
        <f t="shared" si="104"/>
        <v>0</v>
      </c>
      <c r="DS35" s="5">
        <f t="shared" si="105"/>
        <v>1.7508495204346253</v>
      </c>
      <c r="DT35" s="5">
        <f t="shared" si="106"/>
        <v>3.0525932085750425</v>
      </c>
      <c r="DU35" s="5">
        <f t="shared" si="107"/>
        <v>1.8087688856902759</v>
      </c>
      <c r="DV35" s="5">
        <f t="shared" si="108"/>
        <v>5.4500331624932917E-2</v>
      </c>
      <c r="DW35" s="5">
        <f t="shared" si="109"/>
        <v>0.40734228898526087</v>
      </c>
      <c r="DX35" s="5">
        <f t="shared" si="110"/>
        <v>0.13033063805448167</v>
      </c>
      <c r="DY35" s="5">
        <f t="shared" si="111"/>
        <v>0</v>
      </c>
      <c r="DZ35" s="5">
        <f t="shared" si="112"/>
        <v>2.3495007016595345E-2</v>
      </c>
      <c r="EA35" s="5">
        <f t="shared" si="113"/>
        <v>1.9786744561407055</v>
      </c>
      <c r="EB35" s="5">
        <f t="shared" si="114"/>
        <v>14.999999999999998</v>
      </c>
      <c r="EC35" s="5">
        <f t="shared" si="115"/>
        <v>45.382319837806818</v>
      </c>
      <c r="ED35" s="1">
        <f t="shared" si="116"/>
        <v>6.9361020197132328</v>
      </c>
      <c r="EE35" s="5">
        <f t="shared" si="117"/>
        <v>0.13876278448993434</v>
      </c>
      <c r="EF35" s="5">
        <f t="shared" si="118"/>
        <v>1.1376169390859967</v>
      </c>
      <c r="EG35" s="5">
        <f t="shared" si="119"/>
        <v>0</v>
      </c>
      <c r="EH35" s="5">
        <f t="shared" si="120"/>
        <v>0.61768016219318156</v>
      </c>
      <c r="EI35" s="5">
        <f t="shared" si="121"/>
        <v>1.1077875798554859</v>
      </c>
      <c r="EJ35" s="5">
        <f t="shared" si="122"/>
        <v>3.0083402654076039</v>
      </c>
      <c r="EK35" s="5">
        <f t="shared" si="123"/>
        <v>1.782547459764072</v>
      </c>
      <c r="EL35" s="5">
        <f t="shared" si="124"/>
        <v>5.3710249254563441E-2</v>
      </c>
      <c r="EM35" s="5">
        <f t="shared" si="125"/>
        <v>0.40143711461956999</v>
      </c>
      <c r="EN35" s="5">
        <f t="shared" si="126"/>
        <v>0.12844125616678059</v>
      </c>
      <c r="EO35" s="5">
        <f t="shared" si="127"/>
        <v>5.6294135819183966</v>
      </c>
      <c r="EP35" s="5">
        <f t="shared" si="128"/>
        <v>9.0846057987405722</v>
      </c>
      <c r="EQ35" s="5">
        <f t="shared" si="129"/>
        <v>2.0071087387294848</v>
      </c>
      <c r="ER35" s="5">
        <f t="shared" si="130"/>
        <v>100.06522811938845</v>
      </c>
      <c r="ES35" s="5">
        <f t="shared" si="131"/>
        <v>6.9361020197132328</v>
      </c>
      <c r="ET35" s="5">
        <f t="shared" si="132"/>
        <v>1.0638979802867672</v>
      </c>
      <c r="EU35" s="5">
        <f t="shared" si="133"/>
        <v>0</v>
      </c>
      <c r="EV35" s="44">
        <f t="shared" si="134"/>
        <v>8</v>
      </c>
      <c r="EW35" s="5">
        <f t="shared" si="135"/>
        <v>7.3718958799229517E-2</v>
      </c>
      <c r="EX35" s="5">
        <f t="shared" si="136"/>
        <v>0.13876278448993434</v>
      </c>
      <c r="EY35" s="5">
        <f t="shared" si="137"/>
        <v>0</v>
      </c>
      <c r="EZ35" s="5">
        <f t="shared" si="138"/>
        <v>0.61768016219318156</v>
      </c>
      <c r="FA35" s="5">
        <f t="shared" si="139"/>
        <v>3.0083402654076039</v>
      </c>
      <c r="FB35" s="5">
        <f t="shared" si="140"/>
        <v>1.1077875798554859</v>
      </c>
      <c r="FC35" s="5">
        <f t="shared" si="141"/>
        <v>5.3710249254563441E-2</v>
      </c>
      <c r="FD35" s="44">
        <f t="shared" si="142"/>
        <v>4.9999999999999991</v>
      </c>
      <c r="FE35" s="5">
        <f t="shared" si="143"/>
        <v>0</v>
      </c>
      <c r="FF35" s="5">
        <f t="shared" si="144"/>
        <v>1.782547459764072</v>
      </c>
      <c r="FG35" s="5">
        <f t="shared" si="145"/>
        <v>0.21745254023592797</v>
      </c>
      <c r="FH35" s="44">
        <f t="shared" si="146"/>
        <v>2</v>
      </c>
      <c r="FI35" s="5">
        <f t="shared" si="147"/>
        <v>0.18398457438364202</v>
      </c>
      <c r="FJ35" s="5">
        <f t="shared" si="148"/>
        <v>0.12844125616678059</v>
      </c>
      <c r="FK35" s="44">
        <f t="shared" si="149"/>
        <v>0.31242583055042261</v>
      </c>
      <c r="FL35" s="1" t="str">
        <f t="shared" si="150"/>
        <v>Pass</v>
      </c>
      <c r="FM35" s="5">
        <f t="shared" si="151"/>
        <v>6.480121406987667E-2</v>
      </c>
      <c r="FN35" s="1" t="str">
        <f t="shared" si="152"/>
        <v>Mg-Hbl</v>
      </c>
      <c r="FO35" s="5">
        <f t="shared" si="153"/>
        <v>8.2235686960002283</v>
      </c>
      <c r="FP35" s="5">
        <f t="shared" si="154"/>
        <v>1.1376169390859967</v>
      </c>
      <c r="FQ35" s="5">
        <f t="shared" si="155"/>
        <v>3.2648510251008469</v>
      </c>
      <c r="FR35" s="5">
        <f t="shared" si="156"/>
        <v>-1.5580170494883321</v>
      </c>
      <c r="FS35" s="1" t="str">
        <f t="shared" si="157"/>
        <v>YES</v>
      </c>
      <c r="FT35" s="32">
        <f t="shared" si="158"/>
        <v>795.23624894901354</v>
      </c>
      <c r="FU35" s="32">
        <f t="shared" si="159"/>
        <v>98.619802446039728</v>
      </c>
      <c r="FV35" s="46">
        <f t="shared" si="160"/>
        <v>1.3574150852657922</v>
      </c>
      <c r="FW35" s="47">
        <f t="shared" si="161"/>
        <v>-12.604993678325865</v>
      </c>
      <c r="FX35" s="46">
        <f t="shared" si="162"/>
        <v>4.1549410869183472</v>
      </c>
      <c r="FY35" s="50">
        <f t="shared" si="189"/>
        <v>110.55433781240039</v>
      </c>
      <c r="FZ35" s="32">
        <f t="shared" si="190"/>
        <v>107.77945039007228</v>
      </c>
      <c r="GA35" s="32">
        <f t="shared" si="191"/>
        <v>46.734230897709566</v>
      </c>
      <c r="GB35" s="32">
        <f t="shared" si="192"/>
        <v>-546.91926428043394</v>
      </c>
      <c r="GC35" s="32">
        <f t="shared" si="193"/>
        <v>307.25944545311529</v>
      </c>
      <c r="GD35" s="32">
        <f t="shared" si="194"/>
        <v>-654.69871467050621</v>
      </c>
      <c r="GE35" s="4">
        <f t="shared" si="195"/>
        <v>-1.7792617778101456</v>
      </c>
      <c r="GF35" s="32">
        <f t="shared" si="196"/>
        <v>107.77945039007228</v>
      </c>
      <c r="GG35" s="1">
        <f t="shared" si="197"/>
        <v>11.825275968685574</v>
      </c>
      <c r="GH35" s="32">
        <f t="shared" si="198"/>
        <v>107.77945039007228</v>
      </c>
      <c r="GI35" s="32">
        <f t="shared" si="199"/>
        <v>783.03728816313401</v>
      </c>
      <c r="GJ35" s="46">
        <f t="shared" si="200"/>
        <v>1.3177264321209603</v>
      </c>
      <c r="GK35" s="46">
        <f t="shared" si="201"/>
        <v>76.779772991196793</v>
      </c>
      <c r="GL35" s="46">
        <f t="shared" si="202"/>
        <v>0.17807857835150051</v>
      </c>
      <c r="GM35" s="46">
        <f t="shared" si="203"/>
        <v>13.981273217660871</v>
      </c>
      <c r="GN35" s="46">
        <f t="shared" si="204"/>
        <v>0.6369629613679012</v>
      </c>
      <c r="GO35" s="46">
        <f t="shared" si="205"/>
        <v>-0.56065412765368827</v>
      </c>
      <c r="GP35" s="46">
        <f t="shared" si="206"/>
        <v>0.43095732398612441</v>
      </c>
      <c r="GQ35" s="46">
        <f t="shared" si="207"/>
        <v>6.3686735625235782</v>
      </c>
      <c r="GR35" s="46">
        <f t="shared" si="208"/>
        <v>5.1643263216914201</v>
      </c>
      <c r="GS35" s="46">
        <f t="shared" si="209"/>
        <v>102.9793908291245</v>
      </c>
      <c r="GU35" s="32">
        <f t="shared" si="184"/>
        <v>16106.000000000002</v>
      </c>
      <c r="GV35" s="32">
        <f t="shared" si="185"/>
        <v>98.619802446039728</v>
      </c>
      <c r="GW35" s="32">
        <f t="shared" si="186"/>
        <v>795.23624894901354</v>
      </c>
      <c r="GX35" s="32">
        <f t="shared" si="187"/>
        <v>107.77945039007228</v>
      </c>
      <c r="GY35" s="32">
        <f t="shared" si="188"/>
        <v>783.03728816313401</v>
      </c>
    </row>
    <row r="36" spans="1:207">
      <c r="A36" s="35">
        <v>16108</v>
      </c>
      <c r="B36" s="2" t="s">
        <v>178</v>
      </c>
      <c r="C36" s="36">
        <v>47.16</v>
      </c>
      <c r="D36" s="36">
        <v>1.2542</v>
      </c>
      <c r="E36" s="36">
        <v>7.16</v>
      </c>
      <c r="F36" s="36"/>
      <c r="G36" s="36">
        <v>14.4</v>
      </c>
      <c r="H36" s="36">
        <v>13.53</v>
      </c>
      <c r="I36" s="36">
        <v>11.64</v>
      </c>
      <c r="J36" s="36">
        <v>0.43840000000000001</v>
      </c>
      <c r="K36" s="36">
        <v>1.48</v>
      </c>
      <c r="L36" s="36">
        <v>0.7833</v>
      </c>
      <c r="M36" s="36"/>
      <c r="N36" s="36">
        <v>0.115</v>
      </c>
      <c r="O36" s="4">
        <f t="shared" si="0"/>
        <v>97.960899999999995</v>
      </c>
      <c r="P36" s="5">
        <f t="shared" si="1"/>
        <v>0.78489721940673352</v>
      </c>
      <c r="Q36" s="5">
        <f t="shared" si="2"/>
        <v>1.5703843196962906E-2</v>
      </c>
      <c r="R36" s="5">
        <f t="shared" si="3"/>
        <v>7.0222738287425909E-2</v>
      </c>
      <c r="S36" s="5">
        <f t="shared" si="4"/>
        <v>0</v>
      </c>
      <c r="T36" s="5">
        <f t="shared" si="5"/>
        <v>0.20043315832549233</v>
      </c>
      <c r="U36" s="5">
        <f t="shared" si="6"/>
        <v>0.33569535832316072</v>
      </c>
      <c r="V36" s="5">
        <f t="shared" si="7"/>
        <v>0.20757025111720587</v>
      </c>
      <c r="W36" s="5">
        <f t="shared" si="8"/>
        <v>6.180092548859489E-3</v>
      </c>
      <c r="X36" s="5">
        <f t="shared" si="9"/>
        <v>2.3879078925841582E-2</v>
      </c>
      <c r="Y36" s="5">
        <f t="shared" si="10"/>
        <v>8.3156397299248373E-3</v>
      </c>
      <c r="Z36" s="5">
        <f t="shared" si="11"/>
        <v>0</v>
      </c>
      <c r="AA36" s="5">
        <f t="shared" si="12"/>
        <v>3.2437585853827776E-3</v>
      </c>
      <c r="AB36" s="5">
        <f t="shared" si="13"/>
        <v>1.569794438813467</v>
      </c>
      <c r="AC36" s="5">
        <f t="shared" si="14"/>
        <v>3.1407686393925813E-2</v>
      </c>
      <c r="AD36" s="5">
        <f t="shared" si="15"/>
        <v>0.21066821486227771</v>
      </c>
      <c r="AE36" s="5">
        <f t="shared" si="16"/>
        <v>0</v>
      </c>
      <c r="AF36" s="5">
        <f t="shared" si="17"/>
        <v>0.20043315832549233</v>
      </c>
      <c r="AG36" s="5">
        <f t="shared" si="18"/>
        <v>0.33569535832316072</v>
      </c>
      <c r="AH36" s="5">
        <f t="shared" si="19"/>
        <v>0.20757025111720587</v>
      </c>
      <c r="AI36" s="5">
        <f t="shared" si="20"/>
        <v>6.180092548859489E-3</v>
      </c>
      <c r="AJ36" s="5">
        <f t="shared" si="21"/>
        <v>2.3879078925841582E-2</v>
      </c>
      <c r="AK36" s="5">
        <f t="shared" si="22"/>
        <v>8.3156397299248373E-3</v>
      </c>
      <c r="AL36" s="5">
        <f t="shared" si="23"/>
        <v>2.5939439190401545</v>
      </c>
      <c r="AM36" s="4">
        <f t="shared" si="24"/>
        <v>13.919064258748467</v>
      </c>
      <c r="AN36" s="4">
        <f t="shared" si="25"/>
        <v>0.27848589237333904</v>
      </c>
      <c r="AO36" s="4">
        <f t="shared" si="26"/>
        <v>1.8679543941818662</v>
      </c>
      <c r="AP36" s="4">
        <f t="shared" si="27"/>
        <v>0</v>
      </c>
      <c r="AQ36" s="4">
        <f t="shared" si="28"/>
        <v>1.7772021236265445</v>
      </c>
      <c r="AR36" s="4">
        <f t="shared" si="29"/>
        <v>2.9765459402413454</v>
      </c>
      <c r="AS36" s="4">
        <f t="shared" si="30"/>
        <v>1.8404853476794969</v>
      </c>
      <c r="AT36" s="4">
        <f t="shared" si="31"/>
        <v>5.4797687637119598E-2</v>
      </c>
      <c r="AU36" s="4">
        <f t="shared" si="32"/>
        <v>0.21173118326227561</v>
      </c>
      <c r="AV36" s="4">
        <f t="shared" si="33"/>
        <v>7.3733172249554141E-2</v>
      </c>
      <c r="AW36" s="4">
        <f t="shared" si="34"/>
        <v>23.000000000000007</v>
      </c>
      <c r="AX36" s="5">
        <f t="shared" si="35"/>
        <v>6.9595321293742334</v>
      </c>
      <c r="AY36" s="5">
        <f t="shared" si="36"/>
        <v>0.13924294618666952</v>
      </c>
      <c r="AZ36" s="5">
        <f t="shared" si="37"/>
        <v>1.2453029294545774</v>
      </c>
      <c r="BA36" s="5">
        <f t="shared" si="38"/>
        <v>0</v>
      </c>
      <c r="BB36" s="5">
        <f t="shared" si="39"/>
        <v>1.7772021236265445</v>
      </c>
      <c r="BC36" s="5">
        <f t="shared" si="40"/>
        <v>2.9765459402413454</v>
      </c>
      <c r="BD36" s="5">
        <f t="shared" si="41"/>
        <v>1.8404853476794969</v>
      </c>
      <c r="BE36" s="5">
        <f t="shared" si="42"/>
        <v>5.4797687637119598E-2</v>
      </c>
      <c r="BF36" s="5">
        <f t="shared" si="43"/>
        <v>0.42346236652455121</v>
      </c>
      <c r="BG36" s="5">
        <f t="shared" si="44"/>
        <v>0.14746634449910828</v>
      </c>
      <c r="BH36" s="5">
        <f t="shared" si="45"/>
        <v>0</v>
      </c>
      <c r="BI36" s="5">
        <f t="shared" si="46"/>
        <v>2.8761781207440582E-2</v>
      </c>
      <c r="BJ36" s="5">
        <f t="shared" si="47"/>
        <v>1.9712382187925594</v>
      </c>
      <c r="BK36" s="5">
        <f t="shared" si="48"/>
        <v>15.564037815223648</v>
      </c>
      <c r="BL36" s="11">
        <f t="shared" si="49"/>
        <v>1</v>
      </c>
      <c r="BM36" s="11">
        <f t="shared" si="50"/>
        <v>1</v>
      </c>
      <c r="BN36" s="11">
        <f t="shared" si="51"/>
        <v>1</v>
      </c>
      <c r="BO36" s="11">
        <f t="shared" si="52"/>
        <v>1</v>
      </c>
      <c r="BP36" s="11">
        <f>1</f>
        <v>1</v>
      </c>
      <c r="BQ36" s="11">
        <f t="shared" si="53"/>
        <v>0.97503483526967449</v>
      </c>
      <c r="BR36" s="11">
        <f t="shared" si="54"/>
        <v>0.97297898099356317</v>
      </c>
      <c r="BS36" s="11">
        <f t="shared" si="55"/>
        <v>0.98079290024583488</v>
      </c>
      <c r="BT36" s="11">
        <f t="shared" si="56"/>
        <v>0.66244568537306903</v>
      </c>
      <c r="BU36" s="11">
        <f t="shared" si="57"/>
        <v>0.96136517122550991</v>
      </c>
      <c r="BV36" s="5">
        <f t="shared" si="58"/>
        <v>1</v>
      </c>
      <c r="BW36" s="11">
        <f t="shared" si="59"/>
        <v>0.98079290024583488</v>
      </c>
      <c r="BX36" s="11">
        <f t="shared" si="60"/>
        <v>0.99039645012291744</v>
      </c>
      <c r="BY36" s="11">
        <f t="shared" si="61"/>
        <v>6.8926959154486296</v>
      </c>
      <c r="BZ36" s="11">
        <f t="shared" si="62"/>
        <v>0.13790571960793391</v>
      </c>
      <c r="CA36" s="11">
        <f t="shared" si="63"/>
        <v>1.2333436006594833</v>
      </c>
      <c r="CB36" s="11">
        <f t="shared" si="64"/>
        <v>0</v>
      </c>
      <c r="CC36" s="11">
        <f t="shared" si="65"/>
        <v>1.7601346743906399</v>
      </c>
      <c r="CD36" s="11">
        <f t="shared" si="66"/>
        <v>2.94796053284281</v>
      </c>
      <c r="CE36" s="11">
        <f t="shared" si="67"/>
        <v>1.8228101548450173</v>
      </c>
      <c r="CF36" s="11">
        <f t="shared" si="68"/>
        <v>5.4271435310747726E-2</v>
      </c>
      <c r="CG36" s="11">
        <f t="shared" si="69"/>
        <v>0.41939562456656526</v>
      </c>
      <c r="CH36" s="11">
        <f t="shared" si="70"/>
        <v>0.14605014410452005</v>
      </c>
      <c r="CI36" s="11">
        <f t="shared" si="71"/>
        <v>15.414567801776348</v>
      </c>
      <c r="CJ36" s="11">
        <f t="shared" si="72"/>
        <v>0.44176329434579786</v>
      </c>
      <c r="CK36" s="11">
        <f t="shared" si="73"/>
        <v>1.318371380044842</v>
      </c>
      <c r="CL36" s="13">
        <f t="shared" si="74"/>
        <v>2.6311878260244725E-2</v>
      </c>
      <c r="CN36" s="32">
        <f t="shared" si="75"/>
        <v>16108</v>
      </c>
      <c r="CO36" s="12">
        <f t="shared" si="76"/>
        <v>0.7231739788621574</v>
      </c>
      <c r="CP36" s="12">
        <f t="shared" si="77"/>
        <v>0.2768260211378426</v>
      </c>
      <c r="CQ36" s="12">
        <f t="shared" si="78"/>
        <v>6.3019758054056574E-2</v>
      </c>
      <c r="CR36" s="12">
        <f t="shared" si="79"/>
        <v>0.14605014410452005</v>
      </c>
      <c r="CS36" s="14">
        <f t="shared" si="80"/>
        <v>0.58543219822365256</v>
      </c>
      <c r="CT36" s="14">
        <f t="shared" si="81"/>
        <v>0.26851765767182734</v>
      </c>
      <c r="CU36" s="14">
        <f t="shared" si="82"/>
        <v>7.543898344736899E-2</v>
      </c>
      <c r="CV36" s="12">
        <f t="shared" si="83"/>
        <v>0.91140507742250865</v>
      </c>
      <c r="CW36" s="2" t="str">
        <f t="shared" si="84"/>
        <v>18aHP01.8</v>
      </c>
      <c r="CY36" s="5">
        <f t="shared" si="85"/>
        <v>13.152623756520491</v>
      </c>
      <c r="CZ36" s="5">
        <f t="shared" si="86"/>
        <v>6.8787733426201028</v>
      </c>
      <c r="DA36" s="5">
        <f t="shared" si="87"/>
        <v>0.13762716351779675</v>
      </c>
      <c r="DB36" s="5">
        <f t="shared" si="88"/>
        <v>1.230852366995121</v>
      </c>
      <c r="DC36" s="5">
        <f t="shared" si="89"/>
        <v>0</v>
      </c>
      <c r="DD36" s="5">
        <f t="shared" si="90"/>
        <v>1.7565793741869427</v>
      </c>
      <c r="DE36" s="5">
        <f t="shared" si="91"/>
        <v>2.942005940370199</v>
      </c>
      <c r="DF36" s="5">
        <f t="shared" si="92"/>
        <v>1.8191282562896891</v>
      </c>
      <c r="DG36" s="5">
        <f t="shared" si="93"/>
        <v>5.416181230983614E-2</v>
      </c>
      <c r="DH36" s="5">
        <f t="shared" si="94"/>
        <v>0.41854848634973113</v>
      </c>
      <c r="DI36" s="5">
        <f t="shared" si="95"/>
        <v>0.14575513707202431</v>
      </c>
      <c r="DJ36" s="5">
        <f t="shared" si="96"/>
        <v>0</v>
      </c>
      <c r="DK36" s="5">
        <f t="shared" si="97"/>
        <v>2.842802794471809E-2</v>
      </c>
      <c r="DL36" s="5">
        <f t="shared" si="98"/>
        <v>1.9483638640236314</v>
      </c>
      <c r="DM36" s="5">
        <f t="shared" si="99"/>
        <v>13</v>
      </c>
      <c r="DN36" s="5">
        <f t="shared" si="100"/>
        <v>14.993109104199988</v>
      </c>
      <c r="DO36" s="5">
        <f t="shared" si="101"/>
        <v>6.9627307595173917</v>
      </c>
      <c r="DP36" s="5">
        <f t="shared" si="102"/>
        <v>0.13930694282848616</v>
      </c>
      <c r="DQ36" s="5">
        <f t="shared" si="103"/>
        <v>1.2458752759016474</v>
      </c>
      <c r="DR36" s="5">
        <f t="shared" si="104"/>
        <v>0</v>
      </c>
      <c r="DS36" s="5">
        <f t="shared" si="105"/>
        <v>1.7780189331731409</v>
      </c>
      <c r="DT36" s="5">
        <f t="shared" si="106"/>
        <v>2.977913973234076</v>
      </c>
      <c r="DU36" s="5">
        <f t="shared" si="107"/>
        <v>1.8413312424611707</v>
      </c>
      <c r="DV36" s="5">
        <f t="shared" si="108"/>
        <v>5.4822872884086368E-2</v>
      </c>
      <c r="DW36" s="5">
        <f t="shared" si="109"/>
        <v>0.4236569916034903</v>
      </c>
      <c r="DX36" s="5">
        <f t="shared" si="110"/>
        <v>0.1475341206492643</v>
      </c>
      <c r="DY36" s="5">
        <f t="shared" si="111"/>
        <v>0</v>
      </c>
      <c r="DZ36" s="5">
        <f t="shared" si="112"/>
        <v>2.8775000242661747E-2</v>
      </c>
      <c r="EA36" s="5">
        <f t="shared" si="113"/>
        <v>1.9721442081419529</v>
      </c>
      <c r="EB36" s="5">
        <f t="shared" si="114"/>
        <v>14.999999999999998</v>
      </c>
      <c r="EC36" s="5">
        <f t="shared" si="115"/>
        <v>45.466213515272045</v>
      </c>
      <c r="ED36" s="1">
        <f t="shared" si="116"/>
        <v>6.8787733426201028</v>
      </c>
      <c r="EE36" s="5">
        <f t="shared" si="117"/>
        <v>0.13762716351779675</v>
      </c>
      <c r="EF36" s="5">
        <f t="shared" si="118"/>
        <v>1.230852366995121</v>
      </c>
      <c r="EG36" s="5">
        <f t="shared" si="119"/>
        <v>0</v>
      </c>
      <c r="EH36" s="5">
        <f t="shared" si="120"/>
        <v>0.53378648472795476</v>
      </c>
      <c r="EI36" s="5">
        <f t="shared" si="121"/>
        <v>1.2227928894589879</v>
      </c>
      <c r="EJ36" s="5">
        <f t="shared" si="122"/>
        <v>2.942005940370199</v>
      </c>
      <c r="EK36" s="5">
        <f t="shared" si="123"/>
        <v>1.8191282562896891</v>
      </c>
      <c r="EL36" s="5">
        <f t="shared" si="124"/>
        <v>5.416181230983614E-2</v>
      </c>
      <c r="EM36" s="5">
        <f t="shared" si="125"/>
        <v>0.41854848634973113</v>
      </c>
      <c r="EN36" s="5">
        <f t="shared" si="126"/>
        <v>0.14575513707202431</v>
      </c>
      <c r="EO36" s="5">
        <f t="shared" si="127"/>
        <v>4.8630887377503829</v>
      </c>
      <c r="EP36" s="5">
        <f t="shared" si="128"/>
        <v>10.024151408677239</v>
      </c>
      <c r="EQ36" s="5">
        <f t="shared" si="129"/>
        <v>2.0034681178303799</v>
      </c>
      <c r="ER36" s="5">
        <f t="shared" si="130"/>
        <v>100.45160826425798</v>
      </c>
      <c r="ES36" s="5">
        <f t="shared" si="131"/>
        <v>6.8787733426201028</v>
      </c>
      <c r="ET36" s="5">
        <f t="shared" si="132"/>
        <v>1.1212266573798972</v>
      </c>
      <c r="EU36" s="5">
        <f t="shared" si="133"/>
        <v>0</v>
      </c>
      <c r="EV36" s="44">
        <f t="shared" si="134"/>
        <v>8</v>
      </c>
      <c r="EW36" s="5">
        <f t="shared" si="135"/>
        <v>0.10962570961522378</v>
      </c>
      <c r="EX36" s="5">
        <f t="shared" si="136"/>
        <v>0.13762716351779675</v>
      </c>
      <c r="EY36" s="5">
        <f t="shared" si="137"/>
        <v>0</v>
      </c>
      <c r="EZ36" s="5">
        <f t="shared" si="138"/>
        <v>0.53378648472795476</v>
      </c>
      <c r="FA36" s="5">
        <f t="shared" si="139"/>
        <v>2.942005940370199</v>
      </c>
      <c r="FB36" s="5">
        <f t="shared" si="140"/>
        <v>1.2227928894589879</v>
      </c>
      <c r="FC36" s="5">
        <f t="shared" si="141"/>
        <v>5.416181230983614E-2</v>
      </c>
      <c r="FD36" s="44">
        <f t="shared" si="142"/>
        <v>4.9999999999999982</v>
      </c>
      <c r="FE36" s="5">
        <f t="shared" si="143"/>
        <v>0</v>
      </c>
      <c r="FF36" s="5">
        <f t="shared" si="144"/>
        <v>1.8191282562896891</v>
      </c>
      <c r="FG36" s="5">
        <f t="shared" si="145"/>
        <v>0.18087174371031089</v>
      </c>
      <c r="FH36" s="44">
        <f t="shared" si="146"/>
        <v>2</v>
      </c>
      <c r="FI36" s="5">
        <f t="shared" si="147"/>
        <v>0.23767674263942024</v>
      </c>
      <c r="FJ36" s="5">
        <f t="shared" si="148"/>
        <v>0.14575513707202431</v>
      </c>
      <c r="FK36" s="44">
        <f t="shared" si="149"/>
        <v>0.38343187971144455</v>
      </c>
      <c r="FL36" s="1" t="str">
        <f t="shared" si="150"/>
        <v>Pass</v>
      </c>
      <c r="FM36" s="5">
        <f t="shared" si="151"/>
        <v>8.9064872891988611E-2</v>
      </c>
      <c r="FN36" s="1" t="str">
        <f t="shared" si="152"/>
        <v>Mg-Hbl</v>
      </c>
      <c r="FO36" s="5">
        <f t="shared" si="153"/>
        <v>8.1204421216360529</v>
      </c>
      <c r="FP36" s="5">
        <f t="shared" si="154"/>
        <v>1.230852366995121</v>
      </c>
      <c r="FQ36" s="5">
        <f t="shared" si="155"/>
        <v>3.1657469129034022</v>
      </c>
      <c r="FR36" s="5">
        <f t="shared" si="156"/>
        <v>-1.5309770402479248</v>
      </c>
      <c r="FS36" s="1" t="str">
        <f t="shared" si="157"/>
        <v>YES</v>
      </c>
      <c r="FT36" s="32">
        <f t="shared" si="158"/>
        <v>810.85858431971928</v>
      </c>
      <c r="FU36" s="32">
        <f t="shared" si="159"/>
        <v>112.76935458525661</v>
      </c>
      <c r="FV36" s="46">
        <f t="shared" si="160"/>
        <v>1.1944879248131928</v>
      </c>
      <c r="FW36" s="47">
        <f t="shared" si="161"/>
        <v>-12.432474590753497</v>
      </c>
      <c r="FX36" s="46">
        <f t="shared" si="162"/>
        <v>4.2959547351070722</v>
      </c>
      <c r="FY36" s="50">
        <f t="shared" si="189"/>
        <v>124.71339157860781</v>
      </c>
      <c r="FZ36" s="32">
        <f t="shared" si="190"/>
        <v>117.62315346789467</v>
      </c>
      <c r="GA36" s="32">
        <f t="shared" si="191"/>
        <v>77.65632853147514</v>
      </c>
      <c r="GB36" s="32">
        <f t="shared" si="192"/>
        <v>-447.77285028465627</v>
      </c>
      <c r="GC36" s="32">
        <f t="shared" si="193"/>
        <v>359.47412177906352</v>
      </c>
      <c r="GD36" s="32">
        <f t="shared" si="194"/>
        <v>-565.396003752551</v>
      </c>
      <c r="GE36" s="4">
        <f t="shared" si="195"/>
        <v>-1.8824019395902984</v>
      </c>
      <c r="GF36" s="32">
        <f t="shared" si="196"/>
        <v>117.62315346789467</v>
      </c>
      <c r="GG36" s="1">
        <f t="shared" si="197"/>
        <v>27.639173205705191</v>
      </c>
      <c r="GH36" s="32">
        <f t="shared" si="198"/>
        <v>117.62315346789467</v>
      </c>
      <c r="GI36" s="32">
        <f t="shared" si="199"/>
        <v>786.87247834596042</v>
      </c>
      <c r="GJ36" s="46">
        <f t="shared" si="200"/>
        <v>1.592146771109852</v>
      </c>
      <c r="GK36" s="46">
        <f t="shared" si="201"/>
        <v>77.998956440644918</v>
      </c>
      <c r="GL36" s="46">
        <f t="shared" si="202"/>
        <v>0.17696661820187423</v>
      </c>
      <c r="GM36" s="46">
        <f t="shared" si="203"/>
        <v>13.121741824502044</v>
      </c>
      <c r="GN36" s="46">
        <f t="shared" si="204"/>
        <v>0.65137305178668647</v>
      </c>
      <c r="GO36" s="46">
        <f t="shared" si="205"/>
        <v>-0.52235021364649536</v>
      </c>
      <c r="GP36" s="46">
        <f t="shared" si="206"/>
        <v>0.3181017635830834</v>
      </c>
      <c r="GQ36" s="46">
        <f t="shared" si="207"/>
        <v>6.8036241511237643</v>
      </c>
      <c r="GR36" s="46">
        <f t="shared" si="208"/>
        <v>5.5026249104693576</v>
      </c>
      <c r="GS36" s="46">
        <f t="shared" si="209"/>
        <v>104.05103854666524</v>
      </c>
      <c r="GU36" s="32">
        <f t="shared" si="184"/>
        <v>16108</v>
      </c>
      <c r="GV36" s="32">
        <f t="shared" si="185"/>
        <v>112.76935458525661</v>
      </c>
      <c r="GW36" s="32">
        <f t="shared" si="186"/>
        <v>810.85858431971928</v>
      </c>
      <c r="GX36" s="32">
        <f t="shared" si="187"/>
        <v>117.62315346789467</v>
      </c>
      <c r="GY36" s="32">
        <f t="shared" si="188"/>
        <v>786.87247834596042</v>
      </c>
    </row>
    <row r="37" spans="1:207">
      <c r="A37" s="35">
        <v>16110</v>
      </c>
      <c r="B37" s="2" t="s">
        <v>179</v>
      </c>
      <c r="C37" s="36">
        <v>47.08</v>
      </c>
      <c r="D37" s="36">
        <v>1.4256</v>
      </c>
      <c r="E37" s="36">
        <v>6.98</v>
      </c>
      <c r="F37" s="36"/>
      <c r="G37" s="36">
        <v>14.13</v>
      </c>
      <c r="H37" s="36">
        <v>13.5</v>
      </c>
      <c r="I37" s="36">
        <v>11.51</v>
      </c>
      <c r="J37" s="36">
        <v>0.41739999999999999</v>
      </c>
      <c r="K37" s="36">
        <v>1.47</v>
      </c>
      <c r="L37" s="36">
        <v>0.75539999999999996</v>
      </c>
      <c r="M37" s="36"/>
      <c r="N37" s="36">
        <v>8.1699999999999995E-2</v>
      </c>
      <c r="O37" s="4">
        <f t="shared" si="0"/>
        <v>97.350099999999998</v>
      </c>
      <c r="P37" s="5">
        <f t="shared" si="1"/>
        <v>0.78356575677839302</v>
      </c>
      <c r="Q37" s="5">
        <f t="shared" si="2"/>
        <v>1.7849943279851954E-2</v>
      </c>
      <c r="R37" s="5">
        <f t="shared" si="3"/>
        <v>6.8457362185228049E-2</v>
      </c>
      <c r="S37" s="5">
        <f t="shared" si="4"/>
        <v>0</v>
      </c>
      <c r="T37" s="5">
        <f t="shared" si="5"/>
        <v>0.19667503660688937</v>
      </c>
      <c r="U37" s="5">
        <f t="shared" si="6"/>
        <v>0.33495102271712268</v>
      </c>
      <c r="V37" s="5">
        <f t="shared" si="7"/>
        <v>0.20525202666314771</v>
      </c>
      <c r="W37" s="5">
        <f t="shared" si="8"/>
        <v>5.8840570937362009E-3</v>
      </c>
      <c r="X37" s="5">
        <f t="shared" si="9"/>
        <v>2.3717733797964276E-2</v>
      </c>
      <c r="Y37" s="5">
        <f t="shared" si="10"/>
        <v>8.019448808866618E-3</v>
      </c>
      <c r="Z37" s="5">
        <f t="shared" si="11"/>
        <v>0</v>
      </c>
      <c r="AA37" s="5">
        <f t="shared" si="12"/>
        <v>2.3044789254415038E-3</v>
      </c>
      <c r="AB37" s="5">
        <f t="shared" si="13"/>
        <v>1.567131513556786</v>
      </c>
      <c r="AC37" s="5">
        <f t="shared" si="14"/>
        <v>3.5699886559703908E-2</v>
      </c>
      <c r="AD37" s="5">
        <f t="shared" si="15"/>
        <v>0.20537208655568415</v>
      </c>
      <c r="AE37" s="5">
        <f t="shared" si="16"/>
        <v>0</v>
      </c>
      <c r="AF37" s="5">
        <f t="shared" si="17"/>
        <v>0.19667503660688937</v>
      </c>
      <c r="AG37" s="5">
        <f t="shared" si="18"/>
        <v>0.33495102271712268</v>
      </c>
      <c r="AH37" s="5">
        <f t="shared" si="19"/>
        <v>0.20525202666314771</v>
      </c>
      <c r="AI37" s="5">
        <f t="shared" si="20"/>
        <v>5.8840570937362009E-3</v>
      </c>
      <c r="AJ37" s="5">
        <f t="shared" si="21"/>
        <v>2.3717733797964276E-2</v>
      </c>
      <c r="AK37" s="5">
        <f t="shared" si="22"/>
        <v>8.019448808866618E-3</v>
      </c>
      <c r="AL37" s="5">
        <f t="shared" si="23"/>
        <v>2.582702812359901</v>
      </c>
      <c r="AM37" s="4">
        <f t="shared" si="24"/>
        <v>13.955931994696465</v>
      </c>
      <c r="AN37" s="4">
        <f t="shared" si="25"/>
        <v>0.31792174730430023</v>
      </c>
      <c r="AO37" s="4">
        <f t="shared" si="26"/>
        <v>1.8289204503806864</v>
      </c>
      <c r="AP37" s="4">
        <f t="shared" si="27"/>
        <v>0</v>
      </c>
      <c r="AQ37" s="4">
        <f t="shared" si="28"/>
        <v>1.7514697472393892</v>
      </c>
      <c r="AR37" s="4">
        <f t="shared" si="29"/>
        <v>2.9828726269340056</v>
      </c>
      <c r="AS37" s="4">
        <f t="shared" si="30"/>
        <v>1.8278512690892412</v>
      </c>
      <c r="AT37" s="4">
        <f t="shared" si="31"/>
        <v>5.2399878339960487E-2</v>
      </c>
      <c r="AU37" s="4">
        <f t="shared" si="32"/>
        <v>0.21121589163978557</v>
      </c>
      <c r="AV37" s="4">
        <f t="shared" si="33"/>
        <v>7.141639437616773E-2</v>
      </c>
      <c r="AW37" s="4">
        <f t="shared" si="34"/>
        <v>23.000000000000004</v>
      </c>
      <c r="AX37" s="5">
        <f t="shared" si="35"/>
        <v>6.9779659973482326</v>
      </c>
      <c r="AY37" s="5">
        <f t="shared" si="36"/>
        <v>0.15896087365215011</v>
      </c>
      <c r="AZ37" s="5">
        <f t="shared" si="37"/>
        <v>1.2192803002537909</v>
      </c>
      <c r="BA37" s="5">
        <f t="shared" si="38"/>
        <v>0</v>
      </c>
      <c r="BB37" s="5">
        <f t="shared" si="39"/>
        <v>1.7514697472393892</v>
      </c>
      <c r="BC37" s="5">
        <f t="shared" si="40"/>
        <v>2.9828726269340056</v>
      </c>
      <c r="BD37" s="5">
        <f t="shared" si="41"/>
        <v>1.8278512690892412</v>
      </c>
      <c r="BE37" s="5">
        <f t="shared" si="42"/>
        <v>5.2399878339960487E-2</v>
      </c>
      <c r="BF37" s="5">
        <f t="shared" si="43"/>
        <v>0.42243178327957115</v>
      </c>
      <c r="BG37" s="5">
        <f t="shared" si="44"/>
        <v>0.14283278875233546</v>
      </c>
      <c r="BH37" s="5">
        <f t="shared" si="45"/>
        <v>0</v>
      </c>
      <c r="BI37" s="5">
        <f t="shared" si="46"/>
        <v>2.0522305172511884E-2</v>
      </c>
      <c r="BJ37" s="5">
        <f t="shared" si="47"/>
        <v>1.9794776948274881</v>
      </c>
      <c r="BK37" s="5">
        <f t="shared" si="48"/>
        <v>15.536065264888673</v>
      </c>
      <c r="BL37" s="11">
        <f t="shared" si="49"/>
        <v>1</v>
      </c>
      <c r="BM37" s="11">
        <f t="shared" si="50"/>
        <v>1</v>
      </c>
      <c r="BN37" s="11">
        <f t="shared" si="51"/>
        <v>1</v>
      </c>
      <c r="BO37" s="11">
        <f t="shared" si="52"/>
        <v>1</v>
      </c>
      <c r="BP37" s="11">
        <f>1</f>
        <v>1</v>
      </c>
      <c r="BQ37" s="11">
        <f t="shared" si="53"/>
        <v>0.97593749285540876</v>
      </c>
      <c r="BR37" s="11">
        <f t="shared" si="54"/>
        <v>0.97445419753479623</v>
      </c>
      <c r="BS37" s="11">
        <f t="shared" si="55"/>
        <v>0.98151484754798035</v>
      </c>
      <c r="BT37" s="11">
        <f t="shared" si="56"/>
        <v>0.66229786575392802</v>
      </c>
      <c r="BU37" s="11">
        <f t="shared" si="57"/>
        <v>0.96192457071218718</v>
      </c>
      <c r="BV37" s="5">
        <f t="shared" si="58"/>
        <v>1</v>
      </c>
      <c r="BW37" s="11">
        <f t="shared" si="59"/>
        <v>0.98151484754798035</v>
      </c>
      <c r="BX37" s="11">
        <f t="shared" si="60"/>
        <v>0.99075742377399023</v>
      </c>
      <c r="BY37" s="11">
        <f t="shared" si="61"/>
        <v>6.9134716147152373</v>
      </c>
      <c r="BZ37" s="11">
        <f t="shared" si="62"/>
        <v>0.15749166566046702</v>
      </c>
      <c r="CA37" s="11">
        <f t="shared" si="63"/>
        <v>1.2080110091378231</v>
      </c>
      <c r="CB37" s="11">
        <f t="shared" si="64"/>
        <v>0</v>
      </c>
      <c r="CC37" s="11">
        <f t="shared" si="65"/>
        <v>1.735281654592979</v>
      </c>
      <c r="CD37" s="11">
        <f t="shared" si="66"/>
        <v>2.9553031993070902</v>
      </c>
      <c r="CE37" s="11">
        <f t="shared" si="67"/>
        <v>1.8109572144048751</v>
      </c>
      <c r="CF37" s="11">
        <f t="shared" si="68"/>
        <v>5.1915568470169766E-2</v>
      </c>
      <c r="CG37" s="11">
        <f t="shared" si="69"/>
        <v>0.41852742532232046</v>
      </c>
      <c r="CH37" s="11">
        <f t="shared" si="70"/>
        <v>0.14151264581471845</v>
      </c>
      <c r="CI37" s="11">
        <f t="shared" si="71"/>
        <v>15.392471997425677</v>
      </c>
      <c r="CJ37" s="11">
        <f t="shared" si="72"/>
        <v>0.42515850639644936</v>
      </c>
      <c r="CK37" s="11">
        <f t="shared" si="73"/>
        <v>1.3101231481965296</v>
      </c>
      <c r="CL37" s="13">
        <f t="shared" si="74"/>
        <v>2.1474711883767483E-2</v>
      </c>
      <c r="CN37" s="32">
        <f t="shared" si="75"/>
        <v>16110</v>
      </c>
      <c r="CO37" s="12">
        <f t="shared" si="76"/>
        <v>0.72836790367880933</v>
      </c>
      <c r="CP37" s="12">
        <f t="shared" si="77"/>
        <v>0.27163209632119067</v>
      </c>
      <c r="CQ37" s="12">
        <f t="shared" si="78"/>
        <v>6.0741311926530095E-2</v>
      </c>
      <c r="CR37" s="12">
        <f t="shared" si="79"/>
        <v>0.14151264581471845</v>
      </c>
      <c r="CS37" s="14">
        <f t="shared" si="80"/>
        <v>0.60752800257431849</v>
      </c>
      <c r="CT37" s="14">
        <f t="shared" si="81"/>
        <v>0.25095935161096294</v>
      </c>
      <c r="CU37" s="14">
        <f t="shared" si="82"/>
        <v>8.3784036855678701E-2</v>
      </c>
      <c r="CV37" s="12">
        <f t="shared" si="83"/>
        <v>0.90547860720243756</v>
      </c>
      <c r="CW37" s="2" t="str">
        <f t="shared" si="84"/>
        <v>18aHP01.10</v>
      </c>
      <c r="CY37" s="5">
        <f t="shared" si="85"/>
        <v>13.142949423767528</v>
      </c>
      <c r="CZ37" s="5">
        <f t="shared" si="86"/>
        <v>6.9020700788425691</v>
      </c>
      <c r="DA37" s="5">
        <f t="shared" si="87"/>
        <v>0.15723193408482095</v>
      </c>
      <c r="DB37" s="5">
        <f t="shared" si="88"/>
        <v>1.2060187856034199</v>
      </c>
      <c r="DC37" s="5">
        <f t="shared" si="89"/>
        <v>0</v>
      </c>
      <c r="DD37" s="5">
        <f t="shared" si="90"/>
        <v>1.732419868628325</v>
      </c>
      <c r="DE37" s="5">
        <f t="shared" si="91"/>
        <v>2.9504293823133536</v>
      </c>
      <c r="DF37" s="5">
        <f t="shared" si="92"/>
        <v>1.8079706260749313</v>
      </c>
      <c r="DG37" s="5">
        <f t="shared" si="93"/>
        <v>5.1829950527513755E-2</v>
      </c>
      <c r="DH37" s="5">
        <f t="shared" si="94"/>
        <v>0.41783719967022531</v>
      </c>
      <c r="DI37" s="5">
        <f t="shared" si="95"/>
        <v>0.14127926646529601</v>
      </c>
      <c r="DJ37" s="5">
        <f t="shared" si="96"/>
        <v>0</v>
      </c>
      <c r="DK37" s="5">
        <f t="shared" si="97"/>
        <v>2.0299094110504238E-2</v>
      </c>
      <c r="DL37" s="5">
        <f t="shared" si="98"/>
        <v>1.9579478854435646</v>
      </c>
      <c r="DM37" s="5">
        <f t="shared" si="99"/>
        <v>13.000000000000004</v>
      </c>
      <c r="DN37" s="5">
        <f t="shared" si="100"/>
        <v>14.970800692856768</v>
      </c>
      <c r="DO37" s="5">
        <f t="shared" si="101"/>
        <v>6.9915759422384092</v>
      </c>
      <c r="DP37" s="5">
        <f t="shared" si="102"/>
        <v>0.15927091367397342</v>
      </c>
      <c r="DQ37" s="5">
        <f t="shared" si="103"/>
        <v>1.2216584055209188</v>
      </c>
      <c r="DR37" s="5">
        <f t="shared" si="104"/>
        <v>0</v>
      </c>
      <c r="DS37" s="5">
        <f t="shared" si="105"/>
        <v>1.7548858439566557</v>
      </c>
      <c r="DT37" s="5">
        <f t="shared" si="106"/>
        <v>2.9886904730058288</v>
      </c>
      <c r="DU37" s="5">
        <f t="shared" si="107"/>
        <v>1.8314163416403539</v>
      </c>
      <c r="DV37" s="5">
        <f t="shared" si="108"/>
        <v>5.2502079963862039E-2</v>
      </c>
      <c r="DW37" s="5">
        <f t="shared" si="109"/>
        <v>0.42325570149477582</v>
      </c>
      <c r="DX37" s="5">
        <f t="shared" si="110"/>
        <v>0.14311137227999501</v>
      </c>
      <c r="DY37" s="5">
        <f t="shared" si="111"/>
        <v>0</v>
      </c>
      <c r="DZ37" s="5">
        <f t="shared" si="112"/>
        <v>2.0562332229468516E-2</v>
      </c>
      <c r="EA37" s="5">
        <f t="shared" si="113"/>
        <v>1.9833385021670731</v>
      </c>
      <c r="EB37" s="5">
        <f t="shared" si="114"/>
        <v>15</v>
      </c>
      <c r="EC37" s="5">
        <f t="shared" si="115"/>
        <v>45.499680529743578</v>
      </c>
      <c r="ED37" s="1">
        <f t="shared" si="116"/>
        <v>6.9020700788425691</v>
      </c>
      <c r="EE37" s="5">
        <f t="shared" si="117"/>
        <v>0.15723193408482095</v>
      </c>
      <c r="EF37" s="5">
        <f t="shared" si="118"/>
        <v>1.2060187856034199</v>
      </c>
      <c r="EG37" s="5">
        <f t="shared" si="119"/>
        <v>0</v>
      </c>
      <c r="EH37" s="5">
        <f t="shared" si="120"/>
        <v>0.50031947025642154</v>
      </c>
      <c r="EI37" s="5">
        <f t="shared" si="121"/>
        <v>1.2321003983719034</v>
      </c>
      <c r="EJ37" s="5">
        <f t="shared" si="122"/>
        <v>2.9504293823133536</v>
      </c>
      <c r="EK37" s="5">
        <f t="shared" si="123"/>
        <v>1.8079706260749313</v>
      </c>
      <c r="EL37" s="5">
        <f t="shared" si="124"/>
        <v>5.1829950527513755E-2</v>
      </c>
      <c r="EM37" s="5">
        <f t="shared" si="125"/>
        <v>0.41783719967022531</v>
      </c>
      <c r="EN37" s="5">
        <f t="shared" si="126"/>
        <v>0.14127926646529601</v>
      </c>
      <c r="EO37" s="5">
        <f t="shared" si="127"/>
        <v>4.5350942562563912</v>
      </c>
      <c r="EP37" s="5">
        <f t="shared" si="128"/>
        <v>10.049283631674893</v>
      </c>
      <c r="EQ37" s="5">
        <f t="shared" si="129"/>
        <v>2.0061087079775031</v>
      </c>
      <c r="ER37" s="5">
        <f t="shared" si="130"/>
        <v>99.810586595908788</v>
      </c>
      <c r="ES37" s="5">
        <f t="shared" si="131"/>
        <v>6.9020700788425691</v>
      </c>
      <c r="ET37" s="5">
        <f t="shared" si="132"/>
        <v>1.0979299211574309</v>
      </c>
      <c r="EU37" s="5">
        <f t="shared" si="133"/>
        <v>0</v>
      </c>
      <c r="EV37" s="44">
        <f t="shared" si="134"/>
        <v>8</v>
      </c>
      <c r="EW37" s="5">
        <f t="shared" si="135"/>
        <v>0.10808886444598897</v>
      </c>
      <c r="EX37" s="5">
        <f t="shared" si="136"/>
        <v>0.15723193408482095</v>
      </c>
      <c r="EY37" s="5">
        <f t="shared" si="137"/>
        <v>0</v>
      </c>
      <c r="EZ37" s="5">
        <f t="shared" si="138"/>
        <v>0.50031947025642154</v>
      </c>
      <c r="FA37" s="5">
        <f t="shared" si="139"/>
        <v>2.9504293823133536</v>
      </c>
      <c r="FB37" s="5">
        <f t="shared" si="140"/>
        <v>1.2321003983719034</v>
      </c>
      <c r="FC37" s="5">
        <f t="shared" si="141"/>
        <v>5.1829950527513755E-2</v>
      </c>
      <c r="FD37" s="44">
        <f t="shared" si="142"/>
        <v>5.0000000000000027</v>
      </c>
      <c r="FE37" s="5">
        <f t="shared" si="143"/>
        <v>0</v>
      </c>
      <c r="FF37" s="5">
        <f t="shared" si="144"/>
        <v>1.8079706260749313</v>
      </c>
      <c r="FG37" s="5">
        <f t="shared" si="145"/>
        <v>0.19202937392506869</v>
      </c>
      <c r="FH37" s="44">
        <f t="shared" si="146"/>
        <v>2</v>
      </c>
      <c r="FI37" s="5">
        <f t="shared" si="147"/>
        <v>0.22580782574515662</v>
      </c>
      <c r="FJ37" s="5">
        <f t="shared" si="148"/>
        <v>0.14127926646529601</v>
      </c>
      <c r="FK37" s="44">
        <f t="shared" si="149"/>
        <v>0.36708709221045266</v>
      </c>
      <c r="FL37" s="1" t="str">
        <f t="shared" si="150"/>
        <v>Pass</v>
      </c>
      <c r="FM37" s="5">
        <f t="shared" si="151"/>
        <v>8.9624528022511488E-2</v>
      </c>
      <c r="FN37" s="1" t="str">
        <f t="shared" si="152"/>
        <v>Mg-Hbl</v>
      </c>
      <c r="FO37" s="5">
        <f t="shared" si="153"/>
        <v>8.1457374610146598</v>
      </c>
      <c r="FP37" s="5">
        <f t="shared" si="154"/>
        <v>1.2060187856034199</v>
      </c>
      <c r="FQ37" s="5">
        <f t="shared" si="155"/>
        <v>3.1486126397853957</v>
      </c>
      <c r="FR37" s="5">
        <f t="shared" si="156"/>
        <v>-1.5397686497157308</v>
      </c>
      <c r="FS37" s="1" t="str">
        <f t="shared" si="157"/>
        <v>YES</v>
      </c>
      <c r="FT37" s="32">
        <f t="shared" si="158"/>
        <v>807.02666924327218</v>
      </c>
      <c r="FU37" s="32">
        <f t="shared" si="159"/>
        <v>108.81333953238125</v>
      </c>
      <c r="FV37" s="46">
        <f t="shared" si="160"/>
        <v>1.1663191798071901</v>
      </c>
      <c r="FW37" s="47">
        <f t="shared" si="161"/>
        <v>-12.542221718381924</v>
      </c>
      <c r="FX37" s="46">
        <f t="shared" si="162"/>
        <v>4.2501064917324634</v>
      </c>
      <c r="FY37" s="50">
        <f t="shared" si="189"/>
        <v>116.94299453331458</v>
      </c>
      <c r="FZ37" s="32">
        <f t="shared" si="190"/>
        <v>114.89858478664628</v>
      </c>
      <c r="GA37" s="32">
        <f t="shared" si="191"/>
        <v>66.263568320155699</v>
      </c>
      <c r="GB37" s="32">
        <f t="shared" si="192"/>
        <v>-478.24192374985853</v>
      </c>
      <c r="GC37" s="32">
        <f t="shared" si="193"/>
        <v>343.85861649531523</v>
      </c>
      <c r="GD37" s="32">
        <f t="shared" si="194"/>
        <v>-593.14050853650485</v>
      </c>
      <c r="GE37" s="4">
        <f t="shared" si="195"/>
        <v>-1.9403951717463266</v>
      </c>
      <c r="GF37" s="32">
        <f t="shared" si="196"/>
        <v>114.89858478664628</v>
      </c>
      <c r="GG37" s="1">
        <f t="shared" si="197"/>
        <v>17.824807775212335</v>
      </c>
      <c r="GH37" s="32">
        <f t="shared" si="198"/>
        <v>114.89858478664628</v>
      </c>
      <c r="GI37" s="32">
        <f t="shared" si="199"/>
        <v>786.40132210436491</v>
      </c>
      <c r="GJ37" s="46">
        <f t="shared" si="200"/>
        <v>1.3364347383334811</v>
      </c>
      <c r="GK37" s="46">
        <f t="shared" si="201"/>
        <v>77.269805909408717</v>
      </c>
      <c r="GL37" s="46">
        <f t="shared" si="202"/>
        <v>0.18584174028910461</v>
      </c>
      <c r="GM37" s="46">
        <f t="shared" si="203"/>
        <v>13.231264044554569</v>
      </c>
      <c r="GN37" s="46">
        <f t="shared" si="204"/>
        <v>0.68265896995917086</v>
      </c>
      <c r="GO37" s="46">
        <f t="shared" si="205"/>
        <v>-0.45304969532845785</v>
      </c>
      <c r="GP37" s="46">
        <f t="shared" si="206"/>
        <v>0.47322202095206478</v>
      </c>
      <c r="GQ37" s="46">
        <f t="shared" si="207"/>
        <v>6.5431137630812977</v>
      </c>
      <c r="GR37" s="46">
        <f t="shared" si="208"/>
        <v>5.2756488089269649</v>
      </c>
      <c r="GS37" s="46">
        <f t="shared" si="209"/>
        <v>103.20850556184342</v>
      </c>
      <c r="GU37" s="32">
        <f t="shared" si="184"/>
        <v>16110</v>
      </c>
      <c r="GV37" s="32">
        <f t="shared" si="185"/>
        <v>108.81333953238125</v>
      </c>
      <c r="GW37" s="32">
        <f t="shared" si="186"/>
        <v>807.02666924327218</v>
      </c>
      <c r="GX37" s="32">
        <f t="shared" si="187"/>
        <v>114.89858478664628</v>
      </c>
      <c r="GY37" s="32">
        <f t="shared" si="188"/>
        <v>786.40132210436491</v>
      </c>
    </row>
    <row r="38" spans="1:207">
      <c r="A38" s="35">
        <v>16111.999999999998</v>
      </c>
      <c r="B38" s="2" t="s">
        <v>180</v>
      </c>
      <c r="C38" s="36">
        <v>47.09</v>
      </c>
      <c r="D38" s="36">
        <v>1.3617999999999999</v>
      </c>
      <c r="E38" s="36">
        <v>6.96</v>
      </c>
      <c r="F38" s="36"/>
      <c r="G38" s="36">
        <v>14.03</v>
      </c>
      <c r="H38" s="36">
        <v>13.51</v>
      </c>
      <c r="I38" s="36">
        <v>11.51</v>
      </c>
      <c r="J38" s="36">
        <v>0.44740000000000002</v>
      </c>
      <c r="K38" s="36">
        <v>1.51</v>
      </c>
      <c r="L38" s="36">
        <v>0.75900000000000001</v>
      </c>
      <c r="M38" s="36"/>
      <c r="N38" s="36">
        <v>9.69E-2</v>
      </c>
      <c r="O38" s="4">
        <f t="shared" si="0"/>
        <v>97.275100000000023</v>
      </c>
      <c r="P38" s="5">
        <f t="shared" si="1"/>
        <v>0.78373218960693569</v>
      </c>
      <c r="Q38" s="5">
        <f t="shared" si="2"/>
        <v>1.7051103225661047E-2</v>
      </c>
      <c r="R38" s="5">
        <f t="shared" si="3"/>
        <v>6.8261209284983845E-2</v>
      </c>
      <c r="S38" s="5">
        <f t="shared" si="4"/>
        <v>0</v>
      </c>
      <c r="T38" s="5">
        <f t="shared" si="5"/>
        <v>0.19528313967407343</v>
      </c>
      <c r="U38" s="5">
        <f t="shared" si="6"/>
        <v>0.33519913458580203</v>
      </c>
      <c r="V38" s="5">
        <f t="shared" si="7"/>
        <v>0.20525202666314771</v>
      </c>
      <c r="W38" s="5">
        <f t="shared" si="8"/>
        <v>6.3069648867694695E-3</v>
      </c>
      <c r="X38" s="5">
        <f t="shared" si="9"/>
        <v>2.4363114309473508E-2</v>
      </c>
      <c r="Y38" s="5">
        <f t="shared" si="10"/>
        <v>8.0576669922289689E-3</v>
      </c>
      <c r="Z38" s="5">
        <f t="shared" si="11"/>
        <v>0</v>
      </c>
      <c r="AA38" s="5">
        <f t="shared" si="12"/>
        <v>2.733219190639923E-3</v>
      </c>
      <c r="AB38" s="5">
        <f t="shared" si="13"/>
        <v>1.5674643792138714</v>
      </c>
      <c r="AC38" s="5">
        <f t="shared" si="14"/>
        <v>3.4102206451322094E-2</v>
      </c>
      <c r="AD38" s="5">
        <f t="shared" si="15"/>
        <v>0.20478362785495152</v>
      </c>
      <c r="AE38" s="5">
        <f t="shared" si="16"/>
        <v>0</v>
      </c>
      <c r="AF38" s="5">
        <f t="shared" si="17"/>
        <v>0.19528313967407343</v>
      </c>
      <c r="AG38" s="5">
        <f t="shared" si="18"/>
        <v>0.33519913458580203</v>
      </c>
      <c r="AH38" s="5">
        <f t="shared" si="19"/>
        <v>0.20525202666314771</v>
      </c>
      <c r="AI38" s="5">
        <f t="shared" si="20"/>
        <v>6.3069648867694695E-3</v>
      </c>
      <c r="AJ38" s="5">
        <f t="shared" si="21"/>
        <v>2.4363114309473508E-2</v>
      </c>
      <c r="AK38" s="5">
        <f t="shared" si="22"/>
        <v>8.0576669922289689E-3</v>
      </c>
      <c r="AL38" s="5">
        <f t="shared" si="23"/>
        <v>2.5808122606316402</v>
      </c>
      <c r="AM38" s="4">
        <f t="shared" si="24"/>
        <v>13.9691217652134</v>
      </c>
      <c r="AN38" s="4">
        <f t="shared" si="25"/>
        <v>0.30391623611879559</v>
      </c>
      <c r="AO38" s="4">
        <f t="shared" si="26"/>
        <v>1.8250159116615217</v>
      </c>
      <c r="AP38" s="4">
        <f t="shared" si="27"/>
        <v>0</v>
      </c>
      <c r="AQ38" s="4">
        <f t="shared" si="28"/>
        <v>1.7403482930619738</v>
      </c>
      <c r="AR38" s="4">
        <f t="shared" si="29"/>
        <v>2.9872688583657641</v>
      </c>
      <c r="AS38" s="4">
        <f t="shared" si="30"/>
        <v>1.8291902457472855</v>
      </c>
      <c r="AT38" s="4">
        <f t="shared" si="31"/>
        <v>5.6207185082186126E-2</v>
      </c>
      <c r="AU38" s="4">
        <f t="shared" si="32"/>
        <v>0.21712219740491609</v>
      </c>
      <c r="AV38" s="4">
        <f t="shared" si="33"/>
        <v>7.1809307344157081E-2</v>
      </c>
      <c r="AW38" s="4">
        <f t="shared" si="34"/>
        <v>22.999999999999996</v>
      </c>
      <c r="AX38" s="5">
        <f t="shared" si="35"/>
        <v>6.9845608826066998</v>
      </c>
      <c r="AY38" s="5">
        <f t="shared" si="36"/>
        <v>0.1519581180593978</v>
      </c>
      <c r="AZ38" s="5">
        <f t="shared" si="37"/>
        <v>1.2166772744410144</v>
      </c>
      <c r="BA38" s="5">
        <f t="shared" si="38"/>
        <v>0</v>
      </c>
      <c r="BB38" s="5">
        <f t="shared" si="39"/>
        <v>1.7403482930619738</v>
      </c>
      <c r="BC38" s="5">
        <f t="shared" si="40"/>
        <v>2.9872688583657641</v>
      </c>
      <c r="BD38" s="5">
        <f t="shared" si="41"/>
        <v>1.8291902457472855</v>
      </c>
      <c r="BE38" s="5">
        <f t="shared" si="42"/>
        <v>5.6207185082186126E-2</v>
      </c>
      <c r="BF38" s="5">
        <f t="shared" si="43"/>
        <v>0.43424439480983218</v>
      </c>
      <c r="BG38" s="5">
        <f t="shared" si="44"/>
        <v>0.14361861468831416</v>
      </c>
      <c r="BH38" s="5">
        <f t="shared" si="45"/>
        <v>0</v>
      </c>
      <c r="BI38" s="5">
        <f t="shared" si="46"/>
        <v>2.4358238816384336E-2</v>
      </c>
      <c r="BJ38" s="5">
        <f t="shared" si="47"/>
        <v>1.9756417611836157</v>
      </c>
      <c r="BK38" s="5">
        <f t="shared" si="48"/>
        <v>15.544073866862469</v>
      </c>
      <c r="BL38" s="11">
        <f t="shared" si="49"/>
        <v>1</v>
      </c>
      <c r="BM38" s="11">
        <f t="shared" si="50"/>
        <v>1</v>
      </c>
      <c r="BN38" s="11">
        <f t="shared" si="51"/>
        <v>1</v>
      </c>
      <c r="BO38" s="11">
        <f t="shared" si="52"/>
        <v>1</v>
      </c>
      <c r="BP38" s="11">
        <f>1</f>
        <v>1</v>
      </c>
      <c r="BQ38" s="11">
        <f t="shared" si="53"/>
        <v>0.97546246637469247</v>
      </c>
      <c r="BR38" s="11">
        <f t="shared" si="54"/>
        <v>0.9739971808873884</v>
      </c>
      <c r="BS38" s="11">
        <f t="shared" si="55"/>
        <v>0.98195781078341016</v>
      </c>
      <c r="BT38" s="11">
        <f t="shared" si="56"/>
        <v>0.66233455375442973</v>
      </c>
      <c r="BU38" s="11">
        <f t="shared" si="57"/>
        <v>0.96216634145517443</v>
      </c>
      <c r="BV38" s="5">
        <f t="shared" si="58"/>
        <v>1</v>
      </c>
      <c r="BW38" s="11">
        <f t="shared" si="59"/>
        <v>0.98195781078341016</v>
      </c>
      <c r="BX38" s="11">
        <f t="shared" si="60"/>
        <v>0.99097890539170508</v>
      </c>
      <c r="BY38" s="11">
        <f t="shared" si="61"/>
        <v>6.9215524980873093</v>
      </c>
      <c r="BZ38" s="11">
        <f t="shared" si="62"/>
        <v>0.15058728949988551</v>
      </c>
      <c r="CA38" s="11">
        <f t="shared" si="63"/>
        <v>1.2057015136405196</v>
      </c>
      <c r="CB38" s="11">
        <f t="shared" si="64"/>
        <v>0</v>
      </c>
      <c r="CC38" s="11">
        <f t="shared" si="65"/>
        <v>1.7246484464588772</v>
      </c>
      <c r="CD38" s="11">
        <f t="shared" si="66"/>
        <v>2.9603204233740334</v>
      </c>
      <c r="CE38" s="11">
        <f t="shared" si="67"/>
        <v>1.812688947483829</v>
      </c>
      <c r="CF38" s="11">
        <f t="shared" si="68"/>
        <v>5.570013474789378E-2</v>
      </c>
      <c r="CG38" s="11">
        <f t="shared" si="69"/>
        <v>0.4303270350411309</v>
      </c>
      <c r="CH38" s="11">
        <f t="shared" si="70"/>
        <v>0.14232301757769864</v>
      </c>
      <c r="CI38" s="11">
        <f t="shared" si="71"/>
        <v>15.403849305911178</v>
      </c>
      <c r="CJ38" s="11">
        <f t="shared" si="72"/>
        <v>0.4149703519815664</v>
      </c>
      <c r="CK38" s="11">
        <f t="shared" si="73"/>
        <v>1.3096780944773108</v>
      </c>
      <c r="CL38" s="13">
        <f t="shared" si="74"/>
        <v>1.8510305808518979E-2</v>
      </c>
      <c r="CN38" s="32">
        <f t="shared" si="75"/>
        <v>16111.999999999998</v>
      </c>
      <c r="CO38" s="12">
        <f t="shared" si="76"/>
        <v>0.73038812452182733</v>
      </c>
      <c r="CP38" s="12">
        <f t="shared" si="77"/>
        <v>0.26961187547817267</v>
      </c>
      <c r="CQ38" s="12">
        <f t="shared" si="78"/>
        <v>6.3627005863914121E-2</v>
      </c>
      <c r="CR38" s="12">
        <f t="shared" si="79"/>
        <v>0.14232301757769864</v>
      </c>
      <c r="CS38" s="14">
        <f t="shared" si="80"/>
        <v>0.59615069408882249</v>
      </c>
      <c r="CT38" s="14">
        <f t="shared" si="81"/>
        <v>0.2615262883334788</v>
      </c>
      <c r="CU38" s="14">
        <f t="shared" si="82"/>
        <v>8.4400373353825997E-2</v>
      </c>
      <c r="CV38" s="12">
        <f t="shared" si="83"/>
        <v>0.90634447374191451</v>
      </c>
      <c r="CW38" s="2" t="str">
        <f t="shared" si="84"/>
        <v>18aHP01.12</v>
      </c>
      <c r="CY38" s="5">
        <f t="shared" si="85"/>
        <v>13.137020611617036</v>
      </c>
      <c r="CZ38" s="5">
        <f t="shared" si="86"/>
        <v>6.9117111222002272</v>
      </c>
      <c r="DA38" s="5">
        <f t="shared" si="87"/>
        <v>0.15037317769184899</v>
      </c>
      <c r="DB38" s="5">
        <f t="shared" si="88"/>
        <v>1.2039871927845209</v>
      </c>
      <c r="DC38" s="5">
        <f t="shared" si="89"/>
        <v>0</v>
      </c>
      <c r="DD38" s="5">
        <f t="shared" si="90"/>
        <v>1.7221962634205539</v>
      </c>
      <c r="DE38" s="5">
        <f t="shared" si="91"/>
        <v>2.9561113061217004</v>
      </c>
      <c r="DF38" s="5">
        <f t="shared" si="92"/>
        <v>1.8101115844856466</v>
      </c>
      <c r="DG38" s="5">
        <f t="shared" si="93"/>
        <v>5.5620937781148731E-2</v>
      </c>
      <c r="DH38" s="5">
        <f t="shared" si="94"/>
        <v>0.42971517663113062</v>
      </c>
      <c r="DI38" s="5">
        <f t="shared" si="95"/>
        <v>0.14212065628465737</v>
      </c>
      <c r="DJ38" s="5">
        <f t="shared" si="96"/>
        <v>0</v>
      </c>
      <c r="DK38" s="5">
        <f t="shared" si="97"/>
        <v>2.410417962905358E-2</v>
      </c>
      <c r="DL38" s="5">
        <f t="shared" si="98"/>
        <v>1.9550355940429358</v>
      </c>
      <c r="DM38" s="5">
        <f t="shared" si="99"/>
        <v>13</v>
      </c>
      <c r="DN38" s="5">
        <f t="shared" si="100"/>
        <v>14.966210857364322</v>
      </c>
      <c r="DO38" s="5">
        <f t="shared" si="101"/>
        <v>7.000329892288522</v>
      </c>
      <c r="DP38" s="5">
        <f t="shared" si="102"/>
        <v>0.1523011931753836</v>
      </c>
      <c r="DQ38" s="5">
        <f t="shared" si="103"/>
        <v>1.2194241609014203</v>
      </c>
      <c r="DR38" s="5">
        <f t="shared" si="104"/>
        <v>0</v>
      </c>
      <c r="DS38" s="5">
        <f t="shared" si="105"/>
        <v>1.7442774690752259</v>
      </c>
      <c r="DT38" s="5">
        <f t="shared" si="106"/>
        <v>2.9940132009724816</v>
      </c>
      <c r="DU38" s="5">
        <f t="shared" si="107"/>
        <v>1.8333199998119849</v>
      </c>
      <c r="DV38" s="5">
        <f t="shared" si="108"/>
        <v>5.6334083774980996E-2</v>
      </c>
      <c r="DW38" s="5">
        <f t="shared" si="109"/>
        <v>0.43522478630202827</v>
      </c>
      <c r="DX38" s="5">
        <f t="shared" si="110"/>
        <v>0.14394286174744564</v>
      </c>
      <c r="DY38" s="5">
        <f t="shared" si="111"/>
        <v>0</v>
      </c>
      <c r="DZ38" s="5">
        <f t="shared" si="112"/>
        <v>2.4413232295599933E-2</v>
      </c>
      <c r="EA38" s="5">
        <f t="shared" si="113"/>
        <v>1.9801021581339089</v>
      </c>
      <c r="EB38" s="5">
        <f t="shared" si="114"/>
        <v>15</v>
      </c>
      <c r="EC38" s="5">
        <f t="shared" si="115"/>
        <v>45.520214794455761</v>
      </c>
      <c r="ED38" s="1">
        <f t="shared" si="116"/>
        <v>6.9117111222002272</v>
      </c>
      <c r="EE38" s="5">
        <f t="shared" si="117"/>
        <v>0.15037317769184899</v>
      </c>
      <c r="EF38" s="5">
        <f t="shared" si="118"/>
        <v>1.2039871927845209</v>
      </c>
      <c r="EG38" s="5">
        <f t="shared" si="119"/>
        <v>0</v>
      </c>
      <c r="EH38" s="5">
        <f t="shared" si="120"/>
        <v>0.47978520554423909</v>
      </c>
      <c r="EI38" s="5">
        <f t="shared" si="121"/>
        <v>1.2424110578763148</v>
      </c>
      <c r="EJ38" s="5">
        <f t="shared" si="122"/>
        <v>2.9561113061217004</v>
      </c>
      <c r="EK38" s="5">
        <f t="shared" si="123"/>
        <v>1.8101115844856466</v>
      </c>
      <c r="EL38" s="5">
        <f t="shared" si="124"/>
        <v>5.5620937781148731E-2</v>
      </c>
      <c r="EM38" s="5">
        <f t="shared" si="125"/>
        <v>0.42971517663113062</v>
      </c>
      <c r="EN38" s="5">
        <f t="shared" si="126"/>
        <v>0.14212065628465737</v>
      </c>
      <c r="EO38" s="5">
        <f t="shared" si="127"/>
        <v>4.3438196766272208</v>
      </c>
      <c r="EP38" s="5">
        <f t="shared" si="128"/>
        <v>10.121394124606867</v>
      </c>
      <c r="EQ38" s="5">
        <f t="shared" si="129"/>
        <v>2.001369122637342</v>
      </c>
      <c r="ER38" s="5">
        <f t="shared" si="130"/>
        <v>99.71168292387145</v>
      </c>
      <c r="ES38" s="5">
        <f t="shared" si="131"/>
        <v>6.9117111222002272</v>
      </c>
      <c r="ET38" s="5">
        <f t="shared" si="132"/>
        <v>1.0882888777997728</v>
      </c>
      <c r="EU38" s="5">
        <f t="shared" si="133"/>
        <v>0</v>
      </c>
      <c r="EV38" s="44">
        <f t="shared" si="134"/>
        <v>8</v>
      </c>
      <c r="EW38" s="5">
        <f t="shared" si="135"/>
        <v>0.11569831498474814</v>
      </c>
      <c r="EX38" s="5">
        <f t="shared" si="136"/>
        <v>0.15037317769184899</v>
      </c>
      <c r="EY38" s="5">
        <f t="shared" si="137"/>
        <v>0</v>
      </c>
      <c r="EZ38" s="5">
        <f t="shared" si="138"/>
        <v>0.47978520554423909</v>
      </c>
      <c r="FA38" s="5">
        <f t="shared" si="139"/>
        <v>2.9561113061217004</v>
      </c>
      <c r="FB38" s="5">
        <f t="shared" si="140"/>
        <v>1.2424110578763148</v>
      </c>
      <c r="FC38" s="5">
        <f t="shared" si="141"/>
        <v>5.5620937781148731E-2</v>
      </c>
      <c r="FD38" s="44">
        <f t="shared" si="142"/>
        <v>5</v>
      </c>
      <c r="FE38" s="5">
        <f t="shared" si="143"/>
        <v>0</v>
      </c>
      <c r="FF38" s="5">
        <f t="shared" si="144"/>
        <v>1.8101115844856466</v>
      </c>
      <c r="FG38" s="5">
        <f t="shared" si="145"/>
        <v>0.18988841551435343</v>
      </c>
      <c r="FH38" s="44">
        <f t="shared" si="146"/>
        <v>2</v>
      </c>
      <c r="FI38" s="5">
        <f t="shared" si="147"/>
        <v>0.2398267611167772</v>
      </c>
      <c r="FJ38" s="5">
        <f t="shared" si="148"/>
        <v>0.14212065628465737</v>
      </c>
      <c r="FK38" s="44">
        <f t="shared" si="149"/>
        <v>0.38194741740143456</v>
      </c>
      <c r="FL38" s="1" t="str">
        <f t="shared" si="150"/>
        <v>Pass</v>
      </c>
      <c r="FM38" s="5">
        <f t="shared" si="151"/>
        <v>9.6095968194783624E-2</v>
      </c>
      <c r="FN38" s="1" t="str">
        <f t="shared" si="152"/>
        <v>Mg-Hbl</v>
      </c>
      <c r="FO38" s="5">
        <f t="shared" si="153"/>
        <v>8.1471885498874812</v>
      </c>
      <c r="FP38" s="5">
        <f t="shared" si="154"/>
        <v>1.2039871927845209</v>
      </c>
      <c r="FQ38" s="5">
        <f t="shared" si="155"/>
        <v>3.1523255435340758</v>
      </c>
      <c r="FR38" s="5">
        <f t="shared" si="156"/>
        <v>-1.544207717058921</v>
      </c>
      <c r="FS38" s="1" t="str">
        <f t="shared" si="157"/>
        <v>YES</v>
      </c>
      <c r="FT38" s="32">
        <f t="shared" si="158"/>
        <v>806.80684814319511</v>
      </c>
      <c r="FU38" s="32">
        <f t="shared" si="159"/>
        <v>108.49591282213518</v>
      </c>
      <c r="FV38" s="46">
        <f t="shared" si="160"/>
        <v>1.1724231935700207</v>
      </c>
      <c r="FW38" s="47">
        <f t="shared" si="161"/>
        <v>-12.540853813357458</v>
      </c>
      <c r="FX38" s="46">
        <f t="shared" si="162"/>
        <v>4.2269567555377261</v>
      </c>
      <c r="FY38" s="50">
        <f t="shared" si="189"/>
        <v>124.91744307733292</v>
      </c>
      <c r="FZ38" s="32">
        <f t="shared" si="190"/>
        <v>115.19413434720867</v>
      </c>
      <c r="GA38" s="32">
        <f t="shared" si="191"/>
        <v>70.818995543858733</v>
      </c>
      <c r="GB38" s="32">
        <f t="shared" si="192"/>
        <v>-428.36920338279043</v>
      </c>
      <c r="GC38" s="32">
        <f t="shared" si="193"/>
        <v>368.68072540076076</v>
      </c>
      <c r="GD38" s="32">
        <f t="shared" si="194"/>
        <v>-543.56333772999915</v>
      </c>
      <c r="GE38" s="4">
        <f t="shared" si="195"/>
        <v>-1.9513950679611716</v>
      </c>
      <c r="GF38" s="32">
        <f t="shared" si="196"/>
        <v>115.19413434720867</v>
      </c>
      <c r="GG38" s="1">
        <f t="shared" si="197"/>
        <v>28.966939080156834</v>
      </c>
      <c r="GH38" s="32">
        <f t="shared" si="198"/>
        <v>115.19413434720867</v>
      </c>
      <c r="GI38" s="32">
        <f t="shared" si="199"/>
        <v>791.42575402429634</v>
      </c>
      <c r="GJ38" s="46">
        <f t="shared" si="200"/>
        <v>1.5724930234399612</v>
      </c>
      <c r="GK38" s="46">
        <f t="shared" si="201"/>
        <v>77.64219482375465</v>
      </c>
      <c r="GL38" s="46">
        <f t="shared" si="202"/>
        <v>0.18176811829523973</v>
      </c>
      <c r="GM38" s="46">
        <f t="shared" si="203"/>
        <v>13.173101935050937</v>
      </c>
      <c r="GN38" s="46">
        <f t="shared" si="204"/>
        <v>0.64729262095731954</v>
      </c>
      <c r="GO38" s="46">
        <f t="shared" si="205"/>
        <v>-0.50529738244008193</v>
      </c>
      <c r="GP38" s="46">
        <f t="shared" si="206"/>
        <v>0.29422989314067749</v>
      </c>
      <c r="GQ38" s="46">
        <f t="shared" si="207"/>
        <v>6.7815030676509442</v>
      </c>
      <c r="GR38" s="46">
        <f t="shared" si="208"/>
        <v>5.2063487596620206</v>
      </c>
      <c r="GS38" s="46">
        <f t="shared" si="209"/>
        <v>103.42114183607171</v>
      </c>
      <c r="GU38" s="32">
        <f t="shared" si="184"/>
        <v>16111.999999999998</v>
      </c>
      <c r="GV38" s="32">
        <f t="shared" si="185"/>
        <v>108.49591282213518</v>
      </c>
      <c r="GW38" s="32">
        <f t="shared" si="186"/>
        <v>806.80684814319511</v>
      </c>
      <c r="GX38" s="32">
        <f t="shared" si="187"/>
        <v>115.19413434720867</v>
      </c>
      <c r="GY38" s="32">
        <f t="shared" si="188"/>
        <v>791.42575402429634</v>
      </c>
    </row>
    <row r="39" spans="1:207">
      <c r="A39" s="35">
        <v>16119</v>
      </c>
      <c r="B39" s="2" t="s">
        <v>181</v>
      </c>
      <c r="C39" s="36">
        <v>47.92</v>
      </c>
      <c r="D39" s="36">
        <v>1.2555000000000001</v>
      </c>
      <c r="E39" s="36">
        <v>6.55</v>
      </c>
      <c r="F39" s="36"/>
      <c r="G39" s="36">
        <v>13.97</v>
      </c>
      <c r="H39" s="36">
        <v>13.96</v>
      </c>
      <c r="I39" s="36">
        <v>11.64</v>
      </c>
      <c r="J39" s="36">
        <v>0.46339999999999998</v>
      </c>
      <c r="K39" s="36">
        <v>1.48</v>
      </c>
      <c r="L39" s="36">
        <v>0.70799999999999996</v>
      </c>
      <c r="M39" s="36"/>
      <c r="N39" s="36">
        <v>8.2600000000000007E-2</v>
      </c>
      <c r="O39" s="4">
        <f t="shared" si="0"/>
        <v>98.029499999999985</v>
      </c>
      <c r="P39" s="5">
        <f t="shared" si="1"/>
        <v>0.79754611437596845</v>
      </c>
      <c r="Q39" s="5">
        <f t="shared" si="2"/>
        <v>1.5720120502142346E-2</v>
      </c>
      <c r="R39" s="5">
        <f t="shared" si="3"/>
        <v>6.4240074829977609E-2</v>
      </c>
      <c r="S39" s="5">
        <f t="shared" si="4"/>
        <v>0</v>
      </c>
      <c r="T39" s="5">
        <f t="shared" si="5"/>
        <v>0.19444800151438388</v>
      </c>
      <c r="U39" s="5">
        <f t="shared" si="6"/>
        <v>0.34636416867637282</v>
      </c>
      <c r="V39" s="5">
        <f t="shared" si="7"/>
        <v>0.20757025111720587</v>
      </c>
      <c r="W39" s="5">
        <f t="shared" si="8"/>
        <v>6.5325157097205454E-3</v>
      </c>
      <c r="X39" s="5">
        <f t="shared" si="9"/>
        <v>2.3879078925841582E-2</v>
      </c>
      <c r="Y39" s="5">
        <f t="shared" si="10"/>
        <v>7.5162427279289986E-3</v>
      </c>
      <c r="Z39" s="5">
        <f t="shared" si="11"/>
        <v>0</v>
      </c>
      <c r="AA39" s="5">
        <f t="shared" si="12"/>
        <v>2.3298648621966735E-3</v>
      </c>
      <c r="AB39" s="5">
        <f t="shared" si="13"/>
        <v>1.5950922287519369</v>
      </c>
      <c r="AC39" s="5">
        <f t="shared" si="14"/>
        <v>3.1440241004284691E-2</v>
      </c>
      <c r="AD39" s="5">
        <f t="shared" si="15"/>
        <v>0.19272022448993281</v>
      </c>
      <c r="AE39" s="5">
        <f t="shared" si="16"/>
        <v>0</v>
      </c>
      <c r="AF39" s="5">
        <f t="shared" si="17"/>
        <v>0.19444800151438388</v>
      </c>
      <c r="AG39" s="5">
        <f t="shared" si="18"/>
        <v>0.34636416867637282</v>
      </c>
      <c r="AH39" s="5">
        <f t="shared" si="19"/>
        <v>0.20757025111720587</v>
      </c>
      <c r="AI39" s="5">
        <f t="shared" si="20"/>
        <v>6.5325157097205454E-3</v>
      </c>
      <c r="AJ39" s="5">
        <f t="shared" si="21"/>
        <v>2.3879078925841582E-2</v>
      </c>
      <c r="AK39" s="5">
        <f t="shared" si="22"/>
        <v>7.5162427279289986E-3</v>
      </c>
      <c r="AL39" s="5">
        <f t="shared" si="23"/>
        <v>2.6055629529176079</v>
      </c>
      <c r="AM39" s="4">
        <f t="shared" si="24"/>
        <v>14.080305071966785</v>
      </c>
      <c r="AN39" s="4">
        <f t="shared" si="25"/>
        <v>0.27753140344923161</v>
      </c>
      <c r="AO39" s="4">
        <f t="shared" si="26"/>
        <v>1.7011928874353395</v>
      </c>
      <c r="AP39" s="4">
        <f t="shared" si="27"/>
        <v>0</v>
      </c>
      <c r="AQ39" s="4">
        <f t="shared" si="28"/>
        <v>1.7164444366323666</v>
      </c>
      <c r="AR39" s="4">
        <f t="shared" si="29"/>
        <v>3.0574490133259444</v>
      </c>
      <c r="AS39" s="4">
        <f t="shared" si="30"/>
        <v>1.8322780381682455</v>
      </c>
      <c r="AT39" s="4">
        <f t="shared" si="31"/>
        <v>5.7664260675540709E-2</v>
      </c>
      <c r="AU39" s="4">
        <f t="shared" si="32"/>
        <v>0.210787006577355</v>
      </c>
      <c r="AV39" s="4">
        <f t="shared" si="33"/>
        <v>6.6347881769193054E-2</v>
      </c>
      <c r="AW39" s="4">
        <f t="shared" si="34"/>
        <v>22.999999999999996</v>
      </c>
      <c r="AX39" s="5">
        <f t="shared" si="35"/>
        <v>7.0401525359833927</v>
      </c>
      <c r="AY39" s="5">
        <f t="shared" si="36"/>
        <v>0.1387657017246158</v>
      </c>
      <c r="AZ39" s="5">
        <f t="shared" si="37"/>
        <v>1.1341285916235597</v>
      </c>
      <c r="BA39" s="5">
        <f t="shared" si="38"/>
        <v>0</v>
      </c>
      <c r="BB39" s="5">
        <f t="shared" si="39"/>
        <v>1.7164444366323666</v>
      </c>
      <c r="BC39" s="5">
        <f t="shared" si="40"/>
        <v>3.0574490133259444</v>
      </c>
      <c r="BD39" s="5">
        <f t="shared" si="41"/>
        <v>1.8322780381682455</v>
      </c>
      <c r="BE39" s="5">
        <f t="shared" si="42"/>
        <v>5.7664260675540709E-2</v>
      </c>
      <c r="BF39" s="5">
        <f t="shared" si="43"/>
        <v>0.42157401315470999</v>
      </c>
      <c r="BG39" s="5">
        <f t="shared" si="44"/>
        <v>0.13269576353838611</v>
      </c>
      <c r="BH39" s="5">
        <f t="shared" si="45"/>
        <v>0</v>
      </c>
      <c r="BI39" s="5">
        <f t="shared" si="46"/>
        <v>2.0566339328135969E-2</v>
      </c>
      <c r="BJ39" s="5">
        <f t="shared" si="47"/>
        <v>1.9794336606718641</v>
      </c>
      <c r="BK39" s="5">
        <f t="shared" si="48"/>
        <v>15.531152354826764</v>
      </c>
      <c r="BL39" s="11">
        <f t="shared" si="49"/>
        <v>1</v>
      </c>
      <c r="BM39" s="11">
        <f t="shared" si="50"/>
        <v>1</v>
      </c>
      <c r="BN39" s="11">
        <f t="shared" si="51"/>
        <v>1</v>
      </c>
      <c r="BO39" s="11">
        <f t="shared" si="52"/>
        <v>1</v>
      </c>
      <c r="BP39" s="11">
        <f>1</f>
        <v>1</v>
      </c>
      <c r="BQ39" s="11">
        <f t="shared" si="53"/>
        <v>0.97867933278947861</v>
      </c>
      <c r="BR39" s="11">
        <f t="shared" si="54"/>
        <v>0.97412360200347592</v>
      </c>
      <c r="BS39" s="11">
        <f t="shared" si="55"/>
        <v>0.98139125911154534</v>
      </c>
      <c r="BT39" s="11">
        <f t="shared" si="56"/>
        <v>0.66282416659708232</v>
      </c>
      <c r="BU39" s="11">
        <f t="shared" si="57"/>
        <v>0.96268599050799208</v>
      </c>
      <c r="BV39" s="5">
        <f t="shared" si="58"/>
        <v>1</v>
      </c>
      <c r="BW39" s="11">
        <f t="shared" si="59"/>
        <v>0.98139125911154534</v>
      </c>
      <c r="BX39" s="11">
        <f t="shared" si="60"/>
        <v>0.99069562955577273</v>
      </c>
      <c r="BY39" s="11">
        <f t="shared" si="61"/>
        <v>6.9746483488047373</v>
      </c>
      <c r="BZ39" s="11">
        <f t="shared" si="62"/>
        <v>0.13747457423081683</v>
      </c>
      <c r="CA39" s="11">
        <f t="shared" si="63"/>
        <v>1.1235762390757045</v>
      </c>
      <c r="CB39" s="11">
        <f t="shared" si="64"/>
        <v>0</v>
      </c>
      <c r="CC39" s="11">
        <f t="shared" si="65"/>
        <v>1.7004740017470061</v>
      </c>
      <c r="CD39" s="11">
        <f t="shared" si="66"/>
        <v>3.0290013750916227</v>
      </c>
      <c r="CE39" s="11">
        <f t="shared" si="67"/>
        <v>1.8152298445443062</v>
      </c>
      <c r="CF39" s="11">
        <f t="shared" si="68"/>
        <v>5.7127731032822988E-2</v>
      </c>
      <c r="CG39" s="11">
        <f t="shared" si="69"/>
        <v>0.41765153236665903</v>
      </c>
      <c r="CH39" s="11">
        <f t="shared" si="70"/>
        <v>0.13146111299804539</v>
      </c>
      <c r="CI39" s="11">
        <f t="shared" si="71"/>
        <v>15.386644759891723</v>
      </c>
      <c r="CJ39" s="11">
        <f t="shared" si="72"/>
        <v>0.42800104043445453</v>
      </c>
      <c r="CK39" s="11">
        <f t="shared" si="73"/>
        <v>1.2724729613125516</v>
      </c>
      <c r="CL39" s="13">
        <f t="shared" si="74"/>
        <v>2.2302269982709788E-2</v>
      </c>
      <c r="CN39" s="32">
        <f t="shared" si="75"/>
        <v>16119</v>
      </c>
      <c r="CO39" s="12">
        <f t="shared" si="76"/>
        <v>0.74366208720118432</v>
      </c>
      <c r="CP39" s="12">
        <f t="shared" si="77"/>
        <v>0.25633791279881568</v>
      </c>
      <c r="CQ39" s="12">
        <f t="shared" si="78"/>
        <v>4.9112293940220653E-2</v>
      </c>
      <c r="CR39" s="12">
        <f t="shared" si="79"/>
        <v>0.13146111299804539</v>
      </c>
      <c r="CS39" s="14">
        <f t="shared" si="80"/>
        <v>0.61335524010827958</v>
      </c>
      <c r="CT39" s="14">
        <f t="shared" si="81"/>
        <v>0.25518364689367523</v>
      </c>
      <c r="CU39" s="14">
        <f t="shared" si="82"/>
        <v>8.1233942736491982E-2</v>
      </c>
      <c r="CV39" s="12">
        <f t="shared" si="83"/>
        <v>0.90761492227215312</v>
      </c>
      <c r="CW39" s="2" t="str">
        <f t="shared" si="84"/>
        <v>18aHP02.1</v>
      </c>
      <c r="CY39" s="5">
        <f t="shared" si="85"/>
        <v>13.144604539965421</v>
      </c>
      <c r="CZ39" s="5">
        <f t="shared" si="86"/>
        <v>6.96270341869295</v>
      </c>
      <c r="DA39" s="5">
        <f t="shared" si="87"/>
        <v>0.13723913237063814</v>
      </c>
      <c r="DB39" s="5">
        <f t="shared" si="88"/>
        <v>1.1216519786714756</v>
      </c>
      <c r="DC39" s="5">
        <f t="shared" si="89"/>
        <v>0</v>
      </c>
      <c r="DD39" s="5">
        <f t="shared" si="90"/>
        <v>1.6975617340466194</v>
      </c>
      <c r="DE39" s="5">
        <f t="shared" si="91"/>
        <v>3.0238138433445663</v>
      </c>
      <c r="DF39" s="5">
        <f t="shared" si="92"/>
        <v>1.8121210435631603</v>
      </c>
      <c r="DG39" s="5">
        <f t="shared" si="93"/>
        <v>5.7029892873749495E-2</v>
      </c>
      <c r="DH39" s="5">
        <f t="shared" si="94"/>
        <v>0.41693625352882985</v>
      </c>
      <c r="DI39" s="5">
        <f t="shared" si="95"/>
        <v>0.13123596991861708</v>
      </c>
      <c r="DJ39" s="5">
        <f t="shared" si="96"/>
        <v>0</v>
      </c>
      <c r="DK39" s="5">
        <f t="shared" si="97"/>
        <v>2.0340087862884534E-2</v>
      </c>
      <c r="DL39" s="5">
        <f t="shared" si="98"/>
        <v>1.9576577987185249</v>
      </c>
      <c r="DM39" s="5">
        <f t="shared" si="99"/>
        <v>12.999999999999998</v>
      </c>
      <c r="DN39" s="5">
        <f t="shared" si="100"/>
        <v>14.976882578133667</v>
      </c>
      <c r="DO39" s="5">
        <f t="shared" si="101"/>
        <v>7.0510192951589818</v>
      </c>
      <c r="DP39" s="5">
        <f t="shared" si="102"/>
        <v>0.13897989217784329</v>
      </c>
      <c r="DQ39" s="5">
        <f t="shared" si="103"/>
        <v>1.1358791648130371</v>
      </c>
      <c r="DR39" s="5">
        <f t="shared" si="104"/>
        <v>0</v>
      </c>
      <c r="DS39" s="5">
        <f t="shared" si="105"/>
        <v>1.7190938377974452</v>
      </c>
      <c r="DT39" s="5">
        <f t="shared" si="106"/>
        <v>3.0621683091010916</v>
      </c>
      <c r="DU39" s="5">
        <f t="shared" si="107"/>
        <v>1.8351062331656876</v>
      </c>
      <c r="DV39" s="5">
        <f t="shared" si="108"/>
        <v>5.7753267785911784E-2</v>
      </c>
      <c r="DW39" s="5">
        <f t="shared" si="109"/>
        <v>0.422224729634534</v>
      </c>
      <c r="DX39" s="5">
        <f t="shared" si="110"/>
        <v>0.132900584797389</v>
      </c>
      <c r="DY39" s="5">
        <f t="shared" si="111"/>
        <v>0</v>
      </c>
      <c r="DZ39" s="5">
        <f t="shared" si="112"/>
        <v>2.0598084301765452E-2</v>
      </c>
      <c r="EA39" s="5">
        <f t="shared" si="113"/>
        <v>1.9824889963033911</v>
      </c>
      <c r="EB39" s="5">
        <f t="shared" si="114"/>
        <v>14.999999999999998</v>
      </c>
      <c r="EC39" s="5">
        <f t="shared" si="115"/>
        <v>45.49395139137242</v>
      </c>
      <c r="ED39" s="1">
        <f t="shared" si="116"/>
        <v>6.96270341869295</v>
      </c>
      <c r="EE39" s="5">
        <f t="shared" si="117"/>
        <v>0.13723913237063814</v>
      </c>
      <c r="EF39" s="5">
        <f t="shared" si="118"/>
        <v>1.1216519786714756</v>
      </c>
      <c r="EG39" s="5">
        <f t="shared" si="119"/>
        <v>0</v>
      </c>
      <c r="EH39" s="5">
        <f t="shared" si="120"/>
        <v>0.50604860862758017</v>
      </c>
      <c r="EI39" s="5">
        <f t="shared" si="121"/>
        <v>1.1915131254190392</v>
      </c>
      <c r="EJ39" s="5">
        <f t="shared" si="122"/>
        <v>3.0238138433445663</v>
      </c>
      <c r="EK39" s="5">
        <f t="shared" si="123"/>
        <v>1.8121210435631603</v>
      </c>
      <c r="EL39" s="5">
        <f t="shared" si="124"/>
        <v>5.7029892873749495E-2</v>
      </c>
      <c r="EM39" s="5">
        <f t="shared" si="125"/>
        <v>0.41693625352882985</v>
      </c>
      <c r="EN39" s="5">
        <f t="shared" si="126"/>
        <v>0.13123596991861708</v>
      </c>
      <c r="EO39" s="5">
        <f t="shared" si="127"/>
        <v>4.6282091012328896</v>
      </c>
      <c r="EP39" s="5">
        <f t="shared" si="128"/>
        <v>9.8054981025195822</v>
      </c>
      <c r="EQ39" s="5">
        <f t="shared" si="129"/>
        <v>2.0229984073531755</v>
      </c>
      <c r="ER39" s="5">
        <f t="shared" si="130"/>
        <v>100.51620561110565</v>
      </c>
      <c r="ES39" s="5">
        <f t="shared" si="131"/>
        <v>6.96270341869295</v>
      </c>
      <c r="ET39" s="5">
        <f t="shared" si="132"/>
        <v>1.03729658130705</v>
      </c>
      <c r="EU39" s="5">
        <f t="shared" si="133"/>
        <v>0</v>
      </c>
      <c r="EV39" s="44">
        <f t="shared" si="134"/>
        <v>8</v>
      </c>
      <c r="EW39" s="5">
        <f t="shared" si="135"/>
        <v>8.4355397364425544E-2</v>
      </c>
      <c r="EX39" s="5">
        <f t="shared" si="136"/>
        <v>0.13723913237063814</v>
      </c>
      <c r="EY39" s="5">
        <f t="shared" si="137"/>
        <v>0</v>
      </c>
      <c r="EZ39" s="5">
        <f t="shared" si="138"/>
        <v>0.50604860862758017</v>
      </c>
      <c r="FA39" s="5">
        <f t="shared" si="139"/>
        <v>3.0238138433445663</v>
      </c>
      <c r="FB39" s="5">
        <f t="shared" si="140"/>
        <v>1.1915131254190392</v>
      </c>
      <c r="FC39" s="5">
        <f t="shared" si="141"/>
        <v>5.7029892873749495E-2</v>
      </c>
      <c r="FD39" s="44">
        <f t="shared" si="142"/>
        <v>4.9999999999999982</v>
      </c>
      <c r="FE39" s="5">
        <f t="shared" si="143"/>
        <v>0</v>
      </c>
      <c r="FF39" s="5">
        <f t="shared" si="144"/>
        <v>1.8121210435631603</v>
      </c>
      <c r="FG39" s="5">
        <f t="shared" si="145"/>
        <v>0.18787895643683972</v>
      </c>
      <c r="FH39" s="44">
        <f t="shared" si="146"/>
        <v>2</v>
      </c>
      <c r="FI39" s="5">
        <f t="shared" si="147"/>
        <v>0.22905729709199013</v>
      </c>
      <c r="FJ39" s="5">
        <f t="shared" si="148"/>
        <v>0.13123596991861708</v>
      </c>
      <c r="FK39" s="44">
        <f t="shared" si="149"/>
        <v>0.36029326701060721</v>
      </c>
      <c r="FL39" s="1" t="str">
        <f t="shared" si="150"/>
        <v>Pass</v>
      </c>
      <c r="FM39" s="5">
        <f t="shared" si="151"/>
        <v>7.5206391080715668E-2</v>
      </c>
      <c r="FN39" s="1" t="str">
        <f t="shared" si="152"/>
        <v>Mg-Hbl</v>
      </c>
      <c r="FO39" s="5">
        <f t="shared" si="153"/>
        <v>8.2168369606718787</v>
      </c>
      <c r="FP39" s="5">
        <f t="shared" si="154"/>
        <v>1.1216519786714756</v>
      </c>
      <c r="FQ39" s="5">
        <f t="shared" si="155"/>
        <v>3.245005130120302</v>
      </c>
      <c r="FR39" s="5">
        <f t="shared" si="156"/>
        <v>-1.5797843134771905</v>
      </c>
      <c r="FS39" s="1" t="str">
        <f t="shared" si="157"/>
        <v>YES</v>
      </c>
      <c r="FT39" s="32">
        <f t="shared" si="158"/>
        <v>796.25601933869916</v>
      </c>
      <c r="FU39" s="32">
        <f t="shared" si="159"/>
        <v>96.381518317149983</v>
      </c>
      <c r="FV39" s="46">
        <f t="shared" si="160"/>
        <v>1.3247884339177762</v>
      </c>
      <c r="FW39" s="47">
        <f t="shared" si="161"/>
        <v>-12.616781363618731</v>
      </c>
      <c r="FX39" s="46">
        <f t="shared" si="162"/>
        <v>4.041424805216451</v>
      </c>
      <c r="FY39" s="50">
        <f t="shared" si="189"/>
        <v>111.50067249632156</v>
      </c>
      <c r="FZ39" s="32">
        <f t="shared" si="190"/>
        <v>104.41584511922713</v>
      </c>
      <c r="GA39" s="32">
        <f t="shared" si="191"/>
        <v>41.550669715285153</v>
      </c>
      <c r="GB39" s="32">
        <f t="shared" si="192"/>
        <v>-512.58986112782623</v>
      </c>
      <c r="GC39" s="32">
        <f t="shared" si="193"/>
        <v>338.85720272822488</v>
      </c>
      <c r="GD39" s="32">
        <f t="shared" si="194"/>
        <v>-617.00570624705335</v>
      </c>
      <c r="GE39" s="4">
        <f t="shared" si="195"/>
        <v>-2.0390597217196507</v>
      </c>
      <c r="GF39" s="32">
        <f t="shared" si="196"/>
        <v>104.41584511922713</v>
      </c>
      <c r="GG39" s="1">
        <f t="shared" si="197"/>
        <v>14.781953361414679</v>
      </c>
      <c r="GH39" s="32">
        <f t="shared" si="198"/>
        <v>104.41584511922713</v>
      </c>
      <c r="GI39" s="32">
        <f t="shared" si="199"/>
        <v>783.78437583680807</v>
      </c>
      <c r="GJ39" s="46">
        <f t="shared" si="200"/>
        <v>1.5873846078756513</v>
      </c>
      <c r="GK39" s="46">
        <f t="shared" si="201"/>
        <v>76.302050021620659</v>
      </c>
      <c r="GL39" s="46">
        <f t="shared" si="202"/>
        <v>0.17620594875158963</v>
      </c>
      <c r="GM39" s="46">
        <f t="shared" si="203"/>
        <v>14.832384563101257</v>
      </c>
      <c r="GN39" s="46">
        <f t="shared" si="204"/>
        <v>0.59552956618778663</v>
      </c>
      <c r="GO39" s="46">
        <f t="shared" si="205"/>
        <v>-0.5957539708366677</v>
      </c>
      <c r="GP39" s="46">
        <f t="shared" si="206"/>
        <v>0.31141526399042974</v>
      </c>
      <c r="GQ39" s="46">
        <f t="shared" si="207"/>
        <v>6.6147003308773602</v>
      </c>
      <c r="GR39" s="46">
        <f t="shared" si="208"/>
        <v>5.0958269039987014</v>
      </c>
      <c r="GS39" s="46">
        <f t="shared" si="209"/>
        <v>103.33235862769111</v>
      </c>
      <c r="GU39" s="32">
        <f t="shared" si="184"/>
        <v>16119</v>
      </c>
      <c r="GV39" s="32">
        <f t="shared" si="185"/>
        <v>96.381518317149983</v>
      </c>
      <c r="GW39" s="32">
        <f t="shared" si="186"/>
        <v>796.25601933869916</v>
      </c>
      <c r="GX39" s="32">
        <f t="shared" si="187"/>
        <v>104.41584511922713</v>
      </c>
      <c r="GY39" s="32">
        <f t="shared" si="188"/>
        <v>783.78437583680807</v>
      </c>
    </row>
    <row r="40" spans="1:207">
      <c r="A40" s="35">
        <v>16120.999999999998</v>
      </c>
      <c r="B40" s="2" t="s">
        <v>182</v>
      </c>
      <c r="C40" s="36">
        <v>46.55</v>
      </c>
      <c r="D40" s="36">
        <v>1.4359999999999999</v>
      </c>
      <c r="E40" s="36">
        <v>7.15</v>
      </c>
      <c r="F40" s="36"/>
      <c r="G40" s="36">
        <v>14.56</v>
      </c>
      <c r="H40" s="36">
        <v>13.06</v>
      </c>
      <c r="I40" s="36">
        <v>11.62</v>
      </c>
      <c r="J40" s="36">
        <v>0.45779999999999998</v>
      </c>
      <c r="K40" s="36">
        <v>1.53</v>
      </c>
      <c r="L40" s="36">
        <v>0.80449999999999999</v>
      </c>
      <c r="M40" s="36"/>
      <c r="N40" s="36">
        <v>0.1008</v>
      </c>
      <c r="O40" s="4">
        <f t="shared" si="0"/>
        <v>97.269100000000023</v>
      </c>
      <c r="P40" s="5">
        <f t="shared" si="1"/>
        <v>0.77474481686563712</v>
      </c>
      <c r="Q40" s="5">
        <f t="shared" si="2"/>
        <v>1.7980161721287462E-2</v>
      </c>
      <c r="R40" s="5">
        <f t="shared" si="3"/>
        <v>7.0124661837303801E-2</v>
      </c>
      <c r="S40" s="5">
        <f t="shared" si="4"/>
        <v>0</v>
      </c>
      <c r="T40" s="5">
        <f t="shared" si="5"/>
        <v>0.20266019341799782</v>
      </c>
      <c r="U40" s="5">
        <f t="shared" si="6"/>
        <v>0.32403410049523129</v>
      </c>
      <c r="V40" s="5">
        <f t="shared" si="7"/>
        <v>0.20721360120119689</v>
      </c>
      <c r="W40" s="5">
        <f t="shared" si="8"/>
        <v>6.4535729216876683E-3</v>
      </c>
      <c r="X40" s="5">
        <f t="shared" si="9"/>
        <v>2.4685804565228123E-2</v>
      </c>
      <c r="Y40" s="5">
        <f t="shared" si="10"/>
        <v>8.5407023652809035E-3</v>
      </c>
      <c r="Z40" s="5">
        <f t="shared" si="11"/>
        <v>0</v>
      </c>
      <c r="AA40" s="5">
        <f t="shared" si="12"/>
        <v>2.8432249165789912E-3</v>
      </c>
      <c r="AB40" s="5">
        <f t="shared" si="13"/>
        <v>1.5494896337312742</v>
      </c>
      <c r="AC40" s="5">
        <f t="shared" si="14"/>
        <v>3.5960323442574924E-2</v>
      </c>
      <c r="AD40" s="5">
        <f t="shared" si="15"/>
        <v>0.21037398551191139</v>
      </c>
      <c r="AE40" s="5">
        <f t="shared" si="16"/>
        <v>0</v>
      </c>
      <c r="AF40" s="5">
        <f t="shared" si="17"/>
        <v>0.20266019341799782</v>
      </c>
      <c r="AG40" s="5">
        <f t="shared" si="18"/>
        <v>0.32403410049523129</v>
      </c>
      <c r="AH40" s="5">
        <f t="shared" si="19"/>
        <v>0.20721360120119689</v>
      </c>
      <c r="AI40" s="5">
        <f t="shared" si="20"/>
        <v>6.4535729216876683E-3</v>
      </c>
      <c r="AJ40" s="5">
        <f t="shared" si="21"/>
        <v>2.4685804565228123E-2</v>
      </c>
      <c r="AK40" s="5">
        <f t="shared" si="22"/>
        <v>8.5407023652809035E-3</v>
      </c>
      <c r="AL40" s="5">
        <f t="shared" si="23"/>
        <v>2.5694119176523831</v>
      </c>
      <c r="AM40" s="4">
        <f t="shared" si="24"/>
        <v>13.870201710740576</v>
      </c>
      <c r="AN40" s="4">
        <f t="shared" si="25"/>
        <v>0.32189756476840636</v>
      </c>
      <c r="AO40" s="4">
        <f t="shared" si="26"/>
        <v>1.8831552985069397</v>
      </c>
      <c r="AP40" s="4">
        <f t="shared" si="27"/>
        <v>0</v>
      </c>
      <c r="AQ40" s="4">
        <f t="shared" si="28"/>
        <v>1.8141055611171817</v>
      </c>
      <c r="AR40" s="4">
        <f t="shared" si="29"/>
        <v>2.900579802011571</v>
      </c>
      <c r="AS40" s="4">
        <f t="shared" si="30"/>
        <v>1.8548652300103137</v>
      </c>
      <c r="AT40" s="4">
        <f t="shared" si="31"/>
        <v>5.7768929994858782E-2</v>
      </c>
      <c r="AU40" s="4">
        <f t="shared" si="32"/>
        <v>0.22097410738213177</v>
      </c>
      <c r="AV40" s="4">
        <f t="shared" si="33"/>
        <v>7.6451795468023012E-2</v>
      </c>
      <c r="AW40" s="4">
        <f t="shared" si="34"/>
        <v>23.000000000000004</v>
      </c>
      <c r="AX40" s="5">
        <f t="shared" si="35"/>
        <v>6.9351008553702878</v>
      </c>
      <c r="AY40" s="5">
        <f t="shared" si="36"/>
        <v>0.16094878238420318</v>
      </c>
      <c r="AZ40" s="5">
        <f t="shared" si="37"/>
        <v>1.2554368656712931</v>
      </c>
      <c r="BA40" s="5">
        <f t="shared" si="38"/>
        <v>0</v>
      </c>
      <c r="BB40" s="5">
        <f t="shared" si="39"/>
        <v>1.8141055611171817</v>
      </c>
      <c r="BC40" s="5">
        <f t="shared" si="40"/>
        <v>2.900579802011571</v>
      </c>
      <c r="BD40" s="5">
        <f t="shared" si="41"/>
        <v>1.8548652300103137</v>
      </c>
      <c r="BE40" s="5">
        <f t="shared" si="42"/>
        <v>5.7768929994858782E-2</v>
      </c>
      <c r="BF40" s="5">
        <f t="shared" si="43"/>
        <v>0.44194821476426355</v>
      </c>
      <c r="BG40" s="5">
        <f t="shared" si="44"/>
        <v>0.15290359093604602</v>
      </c>
      <c r="BH40" s="5">
        <f t="shared" si="45"/>
        <v>0</v>
      </c>
      <c r="BI40" s="5">
        <f t="shared" si="46"/>
        <v>2.5451027385700795E-2</v>
      </c>
      <c r="BJ40" s="5">
        <f t="shared" si="47"/>
        <v>1.9745489726142993</v>
      </c>
      <c r="BK40" s="5">
        <f t="shared" si="48"/>
        <v>15.573657832260018</v>
      </c>
      <c r="BL40" s="11">
        <f t="shared" si="49"/>
        <v>1</v>
      </c>
      <c r="BM40" s="11">
        <f t="shared" si="50"/>
        <v>1</v>
      </c>
      <c r="BN40" s="11">
        <f t="shared" si="51"/>
        <v>1</v>
      </c>
      <c r="BO40" s="11">
        <f t="shared" si="52"/>
        <v>1</v>
      </c>
      <c r="BP40" s="11">
        <f>1</f>
        <v>1</v>
      </c>
      <c r="BQ40" s="11">
        <f t="shared" si="53"/>
        <v>0.97673684835708796</v>
      </c>
      <c r="BR40" s="11">
        <f t="shared" si="54"/>
        <v>0.97271506732164559</v>
      </c>
      <c r="BS40" s="11">
        <f t="shared" si="55"/>
        <v>0.98293646702457882</v>
      </c>
      <c r="BT40" s="11">
        <f t="shared" si="56"/>
        <v>0.66235538926301329</v>
      </c>
      <c r="BU40" s="11">
        <f t="shared" si="57"/>
        <v>0.96056292258440912</v>
      </c>
      <c r="BV40" s="5">
        <f t="shared" si="58"/>
        <v>1</v>
      </c>
      <c r="BW40" s="11">
        <f t="shared" si="59"/>
        <v>0.98293646702457882</v>
      </c>
      <c r="BX40" s="11">
        <f t="shared" si="60"/>
        <v>0.99146823351228941</v>
      </c>
      <c r="BY40" s="11">
        <f t="shared" si="61"/>
        <v>6.8759321943035463</v>
      </c>
      <c r="BZ40" s="11">
        <f t="shared" si="62"/>
        <v>0.15957560495641981</v>
      </c>
      <c r="CA40" s="11">
        <f t="shared" si="63"/>
        <v>1.2447257714933224</v>
      </c>
      <c r="CB40" s="11">
        <f t="shared" si="64"/>
        <v>0</v>
      </c>
      <c r="CC40" s="11">
        <f t="shared" si="65"/>
        <v>1.7986280360856728</v>
      </c>
      <c r="CD40" s="11">
        <f t="shared" si="66"/>
        <v>2.8758327324618382</v>
      </c>
      <c r="CE40" s="11">
        <f t="shared" si="67"/>
        <v>1.8390399530016921</v>
      </c>
      <c r="CF40" s="11">
        <f t="shared" si="68"/>
        <v>5.7276058973897745E-2</v>
      </c>
      <c r="CG40" s="11">
        <f t="shared" si="69"/>
        <v>0.43817761579623427</v>
      </c>
      <c r="CH40" s="11">
        <f t="shared" si="70"/>
        <v>0.15159905320304726</v>
      </c>
      <c r="CI40" s="11">
        <f t="shared" si="71"/>
        <v>15.440787020275671</v>
      </c>
      <c r="CJ40" s="11">
        <f t="shared" si="72"/>
        <v>0.39246125843468715</v>
      </c>
      <c r="CK40" s="11">
        <f t="shared" si="73"/>
        <v>1.4061667776509856</v>
      </c>
      <c r="CL40" s="13">
        <f t="shared" si="74"/>
        <v>1.1970398274698368E-2</v>
      </c>
      <c r="CN40" s="32">
        <f t="shared" si="75"/>
        <v>16120.999999999998</v>
      </c>
      <c r="CO40" s="12">
        <f t="shared" si="76"/>
        <v>0.71898304857588657</v>
      </c>
      <c r="CP40" s="12">
        <f t="shared" si="77"/>
        <v>0.28101695142411343</v>
      </c>
      <c r="CQ40" s="12">
        <f t="shared" si="78"/>
        <v>6.0328982898434802E-2</v>
      </c>
      <c r="CR40" s="12">
        <f t="shared" si="79"/>
        <v>0.15159905320304726</v>
      </c>
      <c r="CS40" s="14">
        <f t="shared" si="80"/>
        <v>0.55921297972432804</v>
      </c>
      <c r="CT40" s="14">
        <f t="shared" si="81"/>
        <v>0.28918796707262473</v>
      </c>
      <c r="CU40" s="14">
        <f t="shared" si="82"/>
        <v>7.4494824361804768E-2</v>
      </c>
      <c r="CV40" s="12">
        <f t="shared" si="83"/>
        <v>0.91951997650084605</v>
      </c>
      <c r="CW40" s="2" t="str">
        <f t="shared" si="84"/>
        <v>18aHP02.3</v>
      </c>
      <c r="CY40" s="5">
        <f t="shared" si="85"/>
        <v>13.123940796549396</v>
      </c>
      <c r="CZ40" s="5">
        <f t="shared" si="86"/>
        <v>6.8696066614014306</v>
      </c>
      <c r="DA40" s="5">
        <f t="shared" si="87"/>
        <v>0.15942880293583517</v>
      </c>
      <c r="DB40" s="5">
        <f t="shared" si="88"/>
        <v>1.243580682565858</v>
      </c>
      <c r="DC40" s="5">
        <f t="shared" si="89"/>
        <v>0</v>
      </c>
      <c r="DD40" s="5">
        <f t="shared" si="90"/>
        <v>1.796973383232878</v>
      </c>
      <c r="DE40" s="5">
        <f t="shared" si="91"/>
        <v>2.8731871021594864</v>
      </c>
      <c r="DF40" s="5">
        <f t="shared" si="92"/>
        <v>1.8373481230937918</v>
      </c>
      <c r="DG40" s="5">
        <f t="shared" si="93"/>
        <v>5.7223367704509857E-2</v>
      </c>
      <c r="DH40" s="5">
        <f t="shared" si="94"/>
        <v>0.43777451308268722</v>
      </c>
      <c r="DI40" s="5">
        <f t="shared" si="95"/>
        <v>0.15145958923338218</v>
      </c>
      <c r="DJ40" s="5">
        <f t="shared" si="96"/>
        <v>0</v>
      </c>
      <c r="DK40" s="5">
        <f t="shared" si="97"/>
        <v>2.5210671180496514E-2</v>
      </c>
      <c r="DL40" s="5">
        <f t="shared" si="98"/>
        <v>1.9559015879388095</v>
      </c>
      <c r="DM40" s="5">
        <f t="shared" si="99"/>
        <v>12.999999999999998</v>
      </c>
      <c r="DN40" s="5">
        <f t="shared" si="100"/>
        <v>14.97880602655971</v>
      </c>
      <c r="DO40" s="5">
        <f t="shared" si="101"/>
        <v>6.9449135429151978</v>
      </c>
      <c r="DP40" s="5">
        <f t="shared" si="102"/>
        <v>0.16117651376766923</v>
      </c>
      <c r="DQ40" s="5">
        <f t="shared" si="103"/>
        <v>1.257213221913561</v>
      </c>
      <c r="DR40" s="5">
        <f t="shared" si="104"/>
        <v>0</v>
      </c>
      <c r="DS40" s="5">
        <f t="shared" si="105"/>
        <v>1.8166723948829724</v>
      </c>
      <c r="DT40" s="5">
        <f t="shared" si="106"/>
        <v>2.9046839216040321</v>
      </c>
      <c r="DU40" s="5">
        <f t="shared" si="107"/>
        <v>1.8574897358855116</v>
      </c>
      <c r="DV40" s="5">
        <f t="shared" si="108"/>
        <v>5.7850669031055263E-2</v>
      </c>
      <c r="DW40" s="5">
        <f t="shared" si="109"/>
        <v>0.44257354088899536</v>
      </c>
      <c r="DX40" s="5">
        <f t="shared" si="110"/>
        <v>0.15311993893063766</v>
      </c>
      <c r="DY40" s="5">
        <f t="shared" si="111"/>
        <v>0</v>
      </c>
      <c r="DZ40" s="5">
        <f t="shared" si="112"/>
        <v>2.5487038827299288E-2</v>
      </c>
      <c r="EA40" s="5">
        <f t="shared" si="113"/>
        <v>1.9773428226987408</v>
      </c>
      <c r="EB40" s="5">
        <f t="shared" si="114"/>
        <v>15</v>
      </c>
      <c r="EC40" s="5">
        <f t="shared" si="115"/>
        <v>45.565581959744044</v>
      </c>
      <c r="ED40" s="1">
        <f t="shared" si="116"/>
        <v>6.8696066614014306</v>
      </c>
      <c r="EE40" s="5">
        <f t="shared" si="117"/>
        <v>0.15942880293583517</v>
      </c>
      <c r="EF40" s="5">
        <f t="shared" si="118"/>
        <v>1.243580682565858</v>
      </c>
      <c r="EG40" s="5">
        <f t="shared" si="119"/>
        <v>0</v>
      </c>
      <c r="EH40" s="5">
        <f t="shared" si="120"/>
        <v>0.43441804025595587</v>
      </c>
      <c r="EI40" s="5">
        <f t="shared" si="121"/>
        <v>1.3625553429769222</v>
      </c>
      <c r="EJ40" s="5">
        <f t="shared" si="122"/>
        <v>2.8731871021594864</v>
      </c>
      <c r="EK40" s="5">
        <f t="shared" si="123"/>
        <v>1.8373481230937918</v>
      </c>
      <c r="EL40" s="5">
        <f t="shared" si="124"/>
        <v>5.7223367704509857E-2</v>
      </c>
      <c r="EM40" s="5">
        <f t="shared" si="125"/>
        <v>0.43777451308268722</v>
      </c>
      <c r="EN40" s="5">
        <f t="shared" si="126"/>
        <v>0.15145958923338218</v>
      </c>
      <c r="EO40" s="5">
        <f t="shared" si="127"/>
        <v>3.9118076385791642</v>
      </c>
      <c r="EP40" s="5">
        <f t="shared" si="128"/>
        <v>11.040122229330196</v>
      </c>
      <c r="EQ40" s="5">
        <f t="shared" si="129"/>
        <v>1.9897517292214493</v>
      </c>
      <c r="ER40" s="5">
        <f t="shared" si="130"/>
        <v>99.65078159713083</v>
      </c>
      <c r="ES40" s="5">
        <f t="shared" si="131"/>
        <v>6.8696066614014306</v>
      </c>
      <c r="ET40" s="5">
        <f t="shared" si="132"/>
        <v>1.1303933385985694</v>
      </c>
      <c r="EU40" s="5">
        <f t="shared" si="133"/>
        <v>0</v>
      </c>
      <c r="EV40" s="44">
        <f t="shared" si="134"/>
        <v>8</v>
      </c>
      <c r="EW40" s="5">
        <f t="shared" si="135"/>
        <v>0.11318734396728858</v>
      </c>
      <c r="EX40" s="5">
        <f t="shared" si="136"/>
        <v>0.15942880293583517</v>
      </c>
      <c r="EY40" s="5">
        <f t="shared" si="137"/>
        <v>0</v>
      </c>
      <c r="EZ40" s="5">
        <f t="shared" si="138"/>
        <v>0.43441804025595587</v>
      </c>
      <c r="FA40" s="5">
        <f t="shared" si="139"/>
        <v>2.8731871021594864</v>
      </c>
      <c r="FB40" s="5">
        <f t="shared" si="140"/>
        <v>1.3625553429769222</v>
      </c>
      <c r="FC40" s="5">
        <f t="shared" si="141"/>
        <v>5.7223367704509857E-2</v>
      </c>
      <c r="FD40" s="44">
        <f t="shared" si="142"/>
        <v>4.9999999999999982</v>
      </c>
      <c r="FE40" s="5">
        <f t="shared" si="143"/>
        <v>0</v>
      </c>
      <c r="FF40" s="5">
        <f t="shared" si="144"/>
        <v>1.8373481230937918</v>
      </c>
      <c r="FG40" s="5">
        <f t="shared" si="145"/>
        <v>0.16265187690620819</v>
      </c>
      <c r="FH40" s="44">
        <f t="shared" si="146"/>
        <v>2</v>
      </c>
      <c r="FI40" s="5">
        <f t="shared" si="147"/>
        <v>0.27512263617647903</v>
      </c>
      <c r="FJ40" s="5">
        <f t="shared" si="148"/>
        <v>0.15145958923338218</v>
      </c>
      <c r="FK40" s="44">
        <f t="shared" si="149"/>
        <v>0.42658222540986124</v>
      </c>
      <c r="FL40" s="1" t="str">
        <f t="shared" si="150"/>
        <v>Pass</v>
      </c>
      <c r="FM40" s="5">
        <f t="shared" si="151"/>
        <v>9.1017290276454874E-2</v>
      </c>
      <c r="FN40" s="1" t="str">
        <f t="shared" si="152"/>
        <v>Mg-Hbl</v>
      </c>
      <c r="FO40" s="5">
        <f t="shared" si="153"/>
        <v>8.0950294338305646</v>
      </c>
      <c r="FP40" s="5">
        <f t="shared" si="154"/>
        <v>1.243580682565858</v>
      </c>
      <c r="FQ40" s="5">
        <f t="shared" si="155"/>
        <v>3.0491895606931494</v>
      </c>
      <c r="FR40" s="5">
        <f t="shared" si="156"/>
        <v>-1.538433494013681</v>
      </c>
      <c r="FS40" s="1" t="str">
        <f t="shared" si="157"/>
        <v>YES</v>
      </c>
      <c r="FT40" s="32">
        <f t="shared" si="158"/>
        <v>814.70827615730923</v>
      </c>
      <c r="FU40" s="32">
        <f t="shared" si="159"/>
        <v>114.85241320754038</v>
      </c>
      <c r="FV40" s="46">
        <f t="shared" si="160"/>
        <v>1.0028676377795378</v>
      </c>
      <c r="FW40" s="47">
        <f t="shared" si="161"/>
        <v>-12.543522911866868</v>
      </c>
      <c r="FX40" s="46">
        <f t="shared" si="162"/>
        <v>4.2570693287186536</v>
      </c>
      <c r="FY40" s="50">
        <f t="shared" si="189"/>
        <v>128.19632279107714</v>
      </c>
      <c r="FZ40" s="32">
        <f t="shared" si="190"/>
        <v>117.49198420747602</v>
      </c>
      <c r="GA40" s="32">
        <f t="shared" si="191"/>
        <v>82.524390293604341</v>
      </c>
      <c r="GB40" s="32">
        <f t="shared" si="192"/>
        <v>-417.76597285887925</v>
      </c>
      <c r="GC40" s="32">
        <f t="shared" si="193"/>
        <v>379.65161337547551</v>
      </c>
      <c r="GD40" s="32">
        <f t="shared" si="194"/>
        <v>-535.25795706635529</v>
      </c>
      <c r="GE40" s="4">
        <f t="shared" si="195"/>
        <v>-1.9614859857891371</v>
      </c>
      <c r="GF40" s="32">
        <f t="shared" si="196"/>
        <v>117.49198420747602</v>
      </c>
      <c r="GG40" s="1">
        <f t="shared" si="197"/>
        <v>32.553200297528505</v>
      </c>
      <c r="GH40" s="32">
        <f t="shared" si="198"/>
        <v>117.49198420747602</v>
      </c>
      <c r="GI40" s="32">
        <f t="shared" si="199"/>
        <v>792.30903985460554</v>
      </c>
      <c r="GJ40" s="46">
        <f t="shared" si="200"/>
        <v>1.4759855539402391</v>
      </c>
      <c r="GK40" s="46">
        <f t="shared" si="201"/>
        <v>77.504088180401411</v>
      </c>
      <c r="GL40" s="46">
        <f t="shared" si="202"/>
        <v>0.18643049514396498</v>
      </c>
      <c r="GM40" s="46">
        <f t="shared" si="203"/>
        <v>13.15657671423031</v>
      </c>
      <c r="GN40" s="46">
        <f t="shared" si="204"/>
        <v>0.68015555327611166</v>
      </c>
      <c r="GO40" s="46">
        <f t="shared" si="205"/>
        <v>-0.47620253329506013</v>
      </c>
      <c r="GP40" s="46">
        <f t="shared" si="206"/>
        <v>0.34059529089237017</v>
      </c>
      <c r="GQ40" s="46">
        <f t="shared" si="207"/>
        <v>6.8679094106844163</v>
      </c>
      <c r="GR40" s="46">
        <f t="shared" si="208"/>
        <v>5.3098190423993801</v>
      </c>
      <c r="GS40" s="46">
        <f t="shared" si="209"/>
        <v>103.5693721537329</v>
      </c>
      <c r="GU40" s="32">
        <f t="shared" si="184"/>
        <v>16120.999999999998</v>
      </c>
      <c r="GV40" s="32">
        <f t="shared" si="185"/>
        <v>114.85241320754038</v>
      </c>
      <c r="GW40" s="32">
        <f t="shared" si="186"/>
        <v>814.70827615730923</v>
      </c>
      <c r="GX40" s="32">
        <f t="shared" si="187"/>
        <v>117.49198420747602</v>
      </c>
      <c r="GY40" s="32">
        <f t="shared" si="188"/>
        <v>792.30903985460554</v>
      </c>
    </row>
    <row r="41" spans="1:207">
      <c r="A41" s="35">
        <v>16123.000000000002</v>
      </c>
      <c r="B41" s="2" t="s">
        <v>183</v>
      </c>
      <c r="C41" s="36">
        <v>47.84</v>
      </c>
      <c r="D41" s="36">
        <v>1.2151000000000001</v>
      </c>
      <c r="E41" s="36">
        <v>6.48</v>
      </c>
      <c r="F41" s="36"/>
      <c r="G41" s="36">
        <v>14.1</v>
      </c>
      <c r="H41" s="36">
        <v>13.85</v>
      </c>
      <c r="I41" s="36">
        <v>11.78</v>
      </c>
      <c r="J41" s="36">
        <v>0.44209999999999999</v>
      </c>
      <c r="K41" s="36">
        <v>1.49</v>
      </c>
      <c r="L41" s="36">
        <v>0.66569999999999996</v>
      </c>
      <c r="M41" s="36"/>
      <c r="N41" s="36">
        <v>8.5599999999999996E-2</v>
      </c>
      <c r="O41" s="4">
        <f t="shared" si="0"/>
        <v>97.948499999999981</v>
      </c>
      <c r="P41" s="5">
        <f t="shared" si="1"/>
        <v>0.79621465174762796</v>
      </c>
      <c r="Q41" s="5">
        <f t="shared" si="2"/>
        <v>1.5214271941181334E-2</v>
      </c>
      <c r="R41" s="5">
        <f t="shared" si="3"/>
        <v>6.3553539679122889E-2</v>
      </c>
      <c r="S41" s="5">
        <f t="shared" si="4"/>
        <v>0</v>
      </c>
      <c r="T41" s="5">
        <f t="shared" si="5"/>
        <v>0.19625746752704457</v>
      </c>
      <c r="U41" s="5">
        <f t="shared" si="6"/>
        <v>0.34363493812089996</v>
      </c>
      <c r="V41" s="5">
        <f t="shared" si="7"/>
        <v>0.21006680052926846</v>
      </c>
      <c r="W41" s="5">
        <f t="shared" si="8"/>
        <v>6.2322511766669253E-3</v>
      </c>
      <c r="X41" s="5">
        <f t="shared" si="9"/>
        <v>2.4040424053718892E-2</v>
      </c>
      <c r="Y41" s="5">
        <f t="shared" si="10"/>
        <v>7.0671790734213764E-3</v>
      </c>
      <c r="Z41" s="5">
        <f t="shared" si="11"/>
        <v>0</v>
      </c>
      <c r="AA41" s="5">
        <f t="shared" si="12"/>
        <v>2.4144846513805716E-3</v>
      </c>
      <c r="AB41" s="5">
        <f t="shared" si="13"/>
        <v>1.5924293034952559</v>
      </c>
      <c r="AC41" s="5">
        <f t="shared" si="14"/>
        <v>3.0428543882362668E-2</v>
      </c>
      <c r="AD41" s="5">
        <f t="shared" si="15"/>
        <v>0.19066061903736867</v>
      </c>
      <c r="AE41" s="5">
        <f t="shared" si="16"/>
        <v>0</v>
      </c>
      <c r="AF41" s="5">
        <f t="shared" si="17"/>
        <v>0.19625746752704457</v>
      </c>
      <c r="AG41" s="5">
        <f t="shared" si="18"/>
        <v>0.34363493812089996</v>
      </c>
      <c r="AH41" s="5">
        <f t="shared" si="19"/>
        <v>0.21006680052926846</v>
      </c>
      <c r="AI41" s="5">
        <f t="shared" si="20"/>
        <v>6.2322511766669253E-3</v>
      </c>
      <c r="AJ41" s="5">
        <f t="shared" si="21"/>
        <v>2.4040424053718892E-2</v>
      </c>
      <c r="AK41" s="5">
        <f t="shared" si="22"/>
        <v>7.0671790734213764E-3</v>
      </c>
      <c r="AL41" s="5">
        <f t="shared" si="23"/>
        <v>2.6008175268960079</v>
      </c>
      <c r="AM41" s="4">
        <f t="shared" si="24"/>
        <v>14.082446615969513</v>
      </c>
      <c r="AN41" s="4">
        <f t="shared" si="25"/>
        <v>0.26909096930363957</v>
      </c>
      <c r="AO41" s="4">
        <f t="shared" si="26"/>
        <v>1.6860830075584223</v>
      </c>
      <c r="AP41" s="4">
        <f t="shared" si="27"/>
        <v>0</v>
      </c>
      <c r="AQ41" s="4">
        <f t="shared" si="28"/>
        <v>1.7355780274632513</v>
      </c>
      <c r="AR41" s="4">
        <f t="shared" si="29"/>
        <v>3.0388920003216819</v>
      </c>
      <c r="AS41" s="4">
        <f t="shared" si="30"/>
        <v>1.8576991127630003</v>
      </c>
      <c r="AT41" s="4">
        <f t="shared" si="31"/>
        <v>5.5114122994400563E-2</v>
      </c>
      <c r="AU41" s="4">
        <f t="shared" si="32"/>
        <v>0.21259844165055225</v>
      </c>
      <c r="AV41" s="4">
        <f t="shared" si="33"/>
        <v>6.249770197553383E-2</v>
      </c>
      <c r="AW41" s="4">
        <f t="shared" si="34"/>
        <v>22.999999999999996</v>
      </c>
      <c r="AX41" s="5">
        <f t="shared" si="35"/>
        <v>7.0412233079847564</v>
      </c>
      <c r="AY41" s="5">
        <f t="shared" si="36"/>
        <v>0.13454548465181979</v>
      </c>
      <c r="AZ41" s="5">
        <f t="shared" si="37"/>
        <v>1.1240553383722816</v>
      </c>
      <c r="BA41" s="5">
        <f t="shared" si="38"/>
        <v>0</v>
      </c>
      <c r="BB41" s="5">
        <f t="shared" si="39"/>
        <v>1.7355780274632513</v>
      </c>
      <c r="BC41" s="5">
        <f t="shared" si="40"/>
        <v>3.0388920003216819</v>
      </c>
      <c r="BD41" s="5">
        <f t="shared" si="41"/>
        <v>1.8576991127630003</v>
      </c>
      <c r="BE41" s="5">
        <f t="shared" si="42"/>
        <v>5.5114122994400563E-2</v>
      </c>
      <c r="BF41" s="5">
        <f t="shared" si="43"/>
        <v>0.4251968833011045</v>
      </c>
      <c r="BG41" s="5">
        <f t="shared" si="44"/>
        <v>0.12499540395106766</v>
      </c>
      <c r="BH41" s="5">
        <f t="shared" si="45"/>
        <v>0</v>
      </c>
      <c r="BI41" s="5">
        <f t="shared" si="46"/>
        <v>2.1352188843494213E-2</v>
      </c>
      <c r="BJ41" s="5">
        <f t="shared" si="47"/>
        <v>1.9786478111565058</v>
      </c>
      <c r="BK41" s="5">
        <f t="shared" si="48"/>
        <v>15.537299681803365</v>
      </c>
      <c r="BL41" s="11">
        <f t="shared" si="49"/>
        <v>1</v>
      </c>
      <c r="BM41" s="11">
        <f t="shared" si="50"/>
        <v>1</v>
      </c>
      <c r="BN41" s="11">
        <f t="shared" si="51"/>
        <v>1</v>
      </c>
      <c r="BO41" s="11">
        <f t="shared" si="52"/>
        <v>1</v>
      </c>
      <c r="BP41" s="11">
        <f>1</f>
        <v>1</v>
      </c>
      <c r="BQ41" s="11">
        <f t="shared" si="53"/>
        <v>0.97975835810198864</v>
      </c>
      <c r="BR41" s="11">
        <f t="shared" si="54"/>
        <v>0.9732483689382655</v>
      </c>
      <c r="BS41" s="11">
        <f t="shared" si="55"/>
        <v>0.98252714236128957</v>
      </c>
      <c r="BT41" s="11">
        <f t="shared" si="56"/>
        <v>0.66298557271830239</v>
      </c>
      <c r="BU41" s="11">
        <f t="shared" si="57"/>
        <v>0.96227004288123363</v>
      </c>
      <c r="BV41" s="5">
        <f t="shared" si="58"/>
        <v>1</v>
      </c>
      <c r="BW41" s="11">
        <f t="shared" si="59"/>
        <v>0.98252714236128957</v>
      </c>
      <c r="BX41" s="11">
        <f t="shared" si="60"/>
        <v>0.99126357118064479</v>
      </c>
      <c r="BY41" s="11">
        <f t="shared" si="61"/>
        <v>6.9797081617533623</v>
      </c>
      <c r="BZ41" s="11">
        <f t="shared" si="62"/>
        <v>0.13337003760219351</v>
      </c>
      <c r="CA41" s="11">
        <f t="shared" si="63"/>
        <v>1.1142351089195759</v>
      </c>
      <c r="CB41" s="11">
        <f t="shared" si="64"/>
        <v>0</v>
      </c>
      <c r="CC41" s="11">
        <f t="shared" si="65"/>
        <v>1.7204152735658818</v>
      </c>
      <c r="CD41" s="11">
        <f t="shared" si="66"/>
        <v>3.0123429366711636</v>
      </c>
      <c r="CE41" s="11">
        <f t="shared" si="67"/>
        <v>1.841469456696567</v>
      </c>
      <c r="CF41" s="11">
        <f t="shared" si="68"/>
        <v>5.4632622381918794E-2</v>
      </c>
      <c r="CG41" s="11">
        <f t="shared" si="69"/>
        <v>0.42148218099593271</v>
      </c>
      <c r="CH41" s="11">
        <f t="shared" si="70"/>
        <v>0.12390339050170261</v>
      </c>
      <c r="CI41" s="11">
        <f t="shared" si="71"/>
        <v>15.4015591690883</v>
      </c>
      <c r="CJ41" s="11">
        <f t="shared" si="72"/>
        <v>0.4018757256903398</v>
      </c>
      <c r="CK41" s="11">
        <f t="shared" si="73"/>
        <v>1.318539547875542</v>
      </c>
      <c r="CL41" s="13">
        <f t="shared" si="74"/>
        <v>1.470414089409644E-2</v>
      </c>
      <c r="CN41" s="32">
        <f t="shared" si="75"/>
        <v>16123.000000000002</v>
      </c>
      <c r="CO41" s="12">
        <f t="shared" si="76"/>
        <v>0.74492704043834057</v>
      </c>
      <c r="CP41" s="12">
        <f t="shared" si="77"/>
        <v>0.25507295956165943</v>
      </c>
      <c r="CQ41" s="12">
        <f t="shared" si="78"/>
        <v>4.6971635336468864E-2</v>
      </c>
      <c r="CR41" s="12">
        <f t="shared" si="79"/>
        <v>0.12390339050170261</v>
      </c>
      <c r="CS41" s="14">
        <f t="shared" si="80"/>
        <v>0.59844083091170119</v>
      </c>
      <c r="CT41" s="14">
        <f t="shared" si="81"/>
        <v>0.27765577858659629</v>
      </c>
      <c r="CU41" s="14">
        <f t="shared" si="82"/>
        <v>7.1913201204668264E-2</v>
      </c>
      <c r="CV41" s="12">
        <f t="shared" si="83"/>
        <v>0.92073472834828352</v>
      </c>
      <c r="CW41" s="2" t="str">
        <f t="shared" si="84"/>
        <v>18aHP02.5</v>
      </c>
      <c r="CY41" s="5">
        <f t="shared" si="85"/>
        <v>13.129408281788191</v>
      </c>
      <c r="CZ41" s="5">
        <f t="shared" si="86"/>
        <v>6.97182241874307</v>
      </c>
      <c r="DA41" s="5">
        <f t="shared" si="87"/>
        <v>0.13321935482041661</v>
      </c>
      <c r="DB41" s="5">
        <f t="shared" si="88"/>
        <v>1.1129762351216521</v>
      </c>
      <c r="DC41" s="5">
        <f t="shared" si="89"/>
        <v>0</v>
      </c>
      <c r="DD41" s="5">
        <f t="shared" si="90"/>
        <v>1.7184715314488881</v>
      </c>
      <c r="DE41" s="5">
        <f t="shared" si="91"/>
        <v>3.00893956195879</v>
      </c>
      <c r="DF41" s="5">
        <f t="shared" si="92"/>
        <v>1.8393889463714526</v>
      </c>
      <c r="DG41" s="5">
        <f t="shared" si="93"/>
        <v>5.4570897907184605E-2</v>
      </c>
      <c r="DH41" s="5">
        <f t="shared" si="94"/>
        <v>0.42100598627751101</v>
      </c>
      <c r="DI41" s="5">
        <f t="shared" si="95"/>
        <v>0.12376340323103784</v>
      </c>
      <c r="DJ41" s="5">
        <f t="shared" si="96"/>
        <v>0</v>
      </c>
      <c r="DK41" s="5">
        <f t="shared" si="97"/>
        <v>2.1141733809165945E-2</v>
      </c>
      <c r="DL41" s="5">
        <f t="shared" si="98"/>
        <v>1.9591455298647509</v>
      </c>
      <c r="DM41" s="5">
        <f t="shared" si="99"/>
        <v>13.000000000000002</v>
      </c>
      <c r="DN41" s="5">
        <f t="shared" si="100"/>
        <v>14.987107394551192</v>
      </c>
      <c r="DO41" s="5">
        <f t="shared" si="101"/>
        <v>7.047280495112128</v>
      </c>
      <c r="DP41" s="5">
        <f t="shared" si="102"/>
        <v>0.13466122692301785</v>
      </c>
      <c r="DQ41" s="5">
        <f t="shared" si="103"/>
        <v>1.1250223029504851</v>
      </c>
      <c r="DR41" s="5">
        <f t="shared" si="104"/>
        <v>0</v>
      </c>
      <c r="DS41" s="5">
        <f t="shared" si="105"/>
        <v>1.7370710522441266</v>
      </c>
      <c r="DT41" s="5">
        <f t="shared" si="106"/>
        <v>3.0415061962789305</v>
      </c>
      <c r="DU41" s="5">
        <f t="shared" si="107"/>
        <v>1.859297191770038</v>
      </c>
      <c r="DV41" s="5">
        <f t="shared" si="108"/>
        <v>5.5161534721274705E-2</v>
      </c>
      <c r="DW41" s="5">
        <f t="shared" si="109"/>
        <v>0.42556265739680871</v>
      </c>
      <c r="DX41" s="5">
        <f t="shared" si="110"/>
        <v>0.12510293079955354</v>
      </c>
      <c r="DY41" s="5">
        <f t="shared" si="111"/>
        <v>0</v>
      </c>
      <c r="DZ41" s="5">
        <f t="shared" si="112"/>
        <v>2.1370556987458253E-2</v>
      </c>
      <c r="EA41" s="5">
        <f t="shared" si="113"/>
        <v>1.9803499358480698</v>
      </c>
      <c r="EB41" s="5">
        <f t="shared" si="114"/>
        <v>15.000000000000002</v>
      </c>
      <c r="EC41" s="5">
        <f t="shared" si="115"/>
        <v>45.546607064500087</v>
      </c>
      <c r="ED41" s="1">
        <f t="shared" si="116"/>
        <v>6.97182241874307</v>
      </c>
      <c r="EE41" s="5">
        <f t="shared" si="117"/>
        <v>0.13321935482041661</v>
      </c>
      <c r="EF41" s="5">
        <f t="shared" si="118"/>
        <v>1.1129762351216521</v>
      </c>
      <c r="EG41" s="5">
        <f t="shared" si="119"/>
        <v>0</v>
      </c>
      <c r="EH41" s="5">
        <f t="shared" si="120"/>
        <v>0.45339293549991311</v>
      </c>
      <c r="EI41" s="5">
        <f t="shared" si="121"/>
        <v>1.265078595948975</v>
      </c>
      <c r="EJ41" s="5">
        <f t="shared" si="122"/>
        <v>3.00893956195879</v>
      </c>
      <c r="EK41" s="5">
        <f t="shared" si="123"/>
        <v>1.8393889463714526</v>
      </c>
      <c r="EL41" s="5">
        <f t="shared" si="124"/>
        <v>5.4570897907184605E-2</v>
      </c>
      <c r="EM41" s="5">
        <f t="shared" si="125"/>
        <v>0.42100598627751101</v>
      </c>
      <c r="EN41" s="5">
        <f t="shared" si="126"/>
        <v>0.12376340323103784</v>
      </c>
      <c r="EO41" s="5">
        <f t="shared" si="127"/>
        <v>4.1342946685656035</v>
      </c>
      <c r="EP41" s="5">
        <f t="shared" si="128"/>
        <v>10.37992650820418</v>
      </c>
      <c r="EQ41" s="5">
        <f t="shared" si="129"/>
        <v>2.017135193177114</v>
      </c>
      <c r="ER41" s="5">
        <f t="shared" si="130"/>
        <v>100.37985636994691</v>
      </c>
      <c r="ES41" s="5">
        <f t="shared" si="131"/>
        <v>6.97182241874307</v>
      </c>
      <c r="ET41" s="5">
        <f t="shared" si="132"/>
        <v>1.02817758125693</v>
      </c>
      <c r="EU41" s="5">
        <f t="shared" si="133"/>
        <v>0</v>
      </c>
      <c r="EV41" s="44">
        <f t="shared" si="134"/>
        <v>8</v>
      </c>
      <c r="EW41" s="5">
        <f t="shared" si="135"/>
        <v>8.4798653864722073E-2</v>
      </c>
      <c r="EX41" s="5">
        <f t="shared" si="136"/>
        <v>0.13321935482041661</v>
      </c>
      <c r="EY41" s="5">
        <f t="shared" si="137"/>
        <v>0</v>
      </c>
      <c r="EZ41" s="5">
        <f t="shared" si="138"/>
        <v>0.45339293549991311</v>
      </c>
      <c r="FA41" s="5">
        <f t="shared" si="139"/>
        <v>3.00893956195879</v>
      </c>
      <c r="FB41" s="5">
        <f t="shared" si="140"/>
        <v>1.265078595948975</v>
      </c>
      <c r="FC41" s="5">
        <f t="shared" si="141"/>
        <v>5.4570897907184605E-2</v>
      </c>
      <c r="FD41" s="44">
        <f t="shared" si="142"/>
        <v>5.0000000000000009</v>
      </c>
      <c r="FE41" s="5">
        <f t="shared" si="143"/>
        <v>0</v>
      </c>
      <c r="FF41" s="5">
        <f t="shared" si="144"/>
        <v>1.8393889463714526</v>
      </c>
      <c r="FG41" s="5">
        <f t="shared" si="145"/>
        <v>0.16061105362854744</v>
      </c>
      <c r="FH41" s="44">
        <f t="shared" si="146"/>
        <v>2</v>
      </c>
      <c r="FI41" s="5">
        <f t="shared" si="147"/>
        <v>0.26039493264896357</v>
      </c>
      <c r="FJ41" s="5">
        <f t="shared" si="148"/>
        <v>0.12376340323103784</v>
      </c>
      <c r="FK41" s="44">
        <f t="shared" si="149"/>
        <v>0.38415833588000142</v>
      </c>
      <c r="FL41" s="1" t="str">
        <f t="shared" si="150"/>
        <v>Pass</v>
      </c>
      <c r="FM41" s="5">
        <f t="shared" si="151"/>
        <v>7.6190893559783229E-2</v>
      </c>
      <c r="FN41" s="1" t="str">
        <f t="shared" si="152"/>
        <v>Mg-Hbl</v>
      </c>
      <c r="FO41" s="5">
        <f t="shared" si="153"/>
        <v>8.2152424357250187</v>
      </c>
      <c r="FP41" s="5">
        <f t="shared" si="154"/>
        <v>1.1129762351216521</v>
      </c>
      <c r="FQ41" s="5">
        <f t="shared" si="155"/>
        <v>3.2203497526169835</v>
      </c>
      <c r="FR41" s="5">
        <f t="shared" si="156"/>
        <v>-1.5637582150822771</v>
      </c>
      <c r="FS41" s="1" t="str">
        <f t="shared" si="157"/>
        <v>YES</v>
      </c>
      <c r="FT41" s="32">
        <f t="shared" si="158"/>
        <v>796.49756913932424</v>
      </c>
      <c r="FU41" s="32">
        <f t="shared" si="159"/>
        <v>95.186559043309884</v>
      </c>
      <c r="FV41" s="46">
        <f t="shared" si="160"/>
        <v>1.2842549933023211</v>
      </c>
      <c r="FW41" s="47">
        <f t="shared" si="161"/>
        <v>-12.652670521837713</v>
      </c>
      <c r="FX41" s="46">
        <f t="shared" si="162"/>
        <v>4.1250009083459247</v>
      </c>
      <c r="FY41" s="50">
        <f t="shared" si="189"/>
        <v>101.68836313734688</v>
      </c>
      <c r="FZ41" s="32">
        <f t="shared" si="190"/>
        <v>99.827371588265123</v>
      </c>
      <c r="GA41" s="32">
        <f t="shared" si="191"/>
        <v>24.805313556646595</v>
      </c>
      <c r="GB41" s="32">
        <f t="shared" si="192"/>
        <v>-553.58716905704091</v>
      </c>
      <c r="GC41" s="32">
        <f t="shared" si="193"/>
        <v>340.6379810920244</v>
      </c>
      <c r="GD41" s="32">
        <f t="shared" si="194"/>
        <v>-653.41454064530603</v>
      </c>
      <c r="GE41" s="4">
        <f t="shared" si="195"/>
        <v>-2.3498226402950033</v>
      </c>
      <c r="GF41" s="32">
        <f t="shared" si="196"/>
        <v>99.827371588265123</v>
      </c>
      <c r="GG41" s="1">
        <f t="shared" si="197"/>
        <v>2.6118600303392441</v>
      </c>
      <c r="GH41" s="32">
        <f t="shared" si="198"/>
        <v>99.827371588265123</v>
      </c>
      <c r="GI41" s="32">
        <f t="shared" si="199"/>
        <v>773.73406624507652</v>
      </c>
      <c r="GJ41" s="46">
        <f t="shared" si="200"/>
        <v>1.4432983482259061</v>
      </c>
      <c r="GK41" s="46">
        <f t="shared" si="201"/>
        <v>74.982214696353552</v>
      </c>
      <c r="GL41" s="46">
        <f t="shared" si="202"/>
        <v>0.17345882755510042</v>
      </c>
      <c r="GM41" s="46">
        <f t="shared" si="203"/>
        <v>17.123706999936672</v>
      </c>
      <c r="GN41" s="46">
        <f t="shared" si="204"/>
        <v>0.60607852853970212</v>
      </c>
      <c r="GO41" s="46">
        <f t="shared" si="205"/>
        <v>-0.60818076179383462</v>
      </c>
      <c r="GP41" s="46">
        <f t="shared" si="206"/>
        <v>0.5225251080297113</v>
      </c>
      <c r="GQ41" s="46">
        <f t="shared" si="207"/>
        <v>6.1231974702479066</v>
      </c>
      <c r="GR41" s="46">
        <f t="shared" si="208"/>
        <v>5.2682588924929394</v>
      </c>
      <c r="GS41" s="46">
        <f t="shared" si="209"/>
        <v>104.19125976136174</v>
      </c>
      <c r="GU41" s="32">
        <f t="shared" si="184"/>
        <v>16123.000000000002</v>
      </c>
      <c r="GV41" s="32">
        <f t="shared" si="185"/>
        <v>95.186559043309884</v>
      </c>
      <c r="GW41" s="32">
        <f t="shared" si="186"/>
        <v>796.49756913932424</v>
      </c>
      <c r="GX41" s="32">
        <f t="shared" si="187"/>
        <v>99.827371588265123</v>
      </c>
      <c r="GY41" s="32">
        <f t="shared" si="188"/>
        <v>773.73406624507652</v>
      </c>
    </row>
    <row r="42" spans="1:207">
      <c r="A42" s="35">
        <v>16123.999999999998</v>
      </c>
      <c r="B42" s="2" t="s">
        <v>184</v>
      </c>
      <c r="C42" s="36">
        <v>47.01</v>
      </c>
      <c r="D42" s="36">
        <v>1.3110999999999999</v>
      </c>
      <c r="E42" s="36">
        <v>7</v>
      </c>
      <c r="F42" s="36"/>
      <c r="G42" s="36">
        <v>14.23</v>
      </c>
      <c r="H42" s="36">
        <v>13.47</v>
      </c>
      <c r="I42" s="36">
        <v>11.37</v>
      </c>
      <c r="J42" s="36">
        <v>0.39889999999999998</v>
      </c>
      <c r="K42" s="36">
        <v>1.43</v>
      </c>
      <c r="L42" s="36">
        <v>0.78659999999999997</v>
      </c>
      <c r="M42" s="36"/>
      <c r="N42" s="36">
        <v>8.5900000000000004E-2</v>
      </c>
      <c r="O42" s="4">
        <f t="shared" ref="O42:O63" si="210">SUM(C42:N42)</f>
        <v>97.092500000000015</v>
      </c>
      <c r="P42" s="5">
        <f t="shared" ref="P42:P63" si="211">C42/C$3</f>
        <v>0.78240072697859508</v>
      </c>
      <c r="Q42" s="5">
        <f t="shared" ref="Q42:Q63" si="212">D42/D$3</f>
        <v>1.6416288323662945E-2</v>
      </c>
      <c r="R42" s="5">
        <f t="shared" ref="R42:R63" si="213">E42/E$3</f>
        <v>6.8653515085472253E-2</v>
      </c>
      <c r="S42" s="5">
        <f t="shared" ref="S42:S63" si="214">F42/F$3</f>
        <v>0</v>
      </c>
      <c r="T42" s="5">
        <f t="shared" ref="T42:T63" si="215">G42/G$3</f>
        <v>0.19806693353970528</v>
      </c>
      <c r="U42" s="5">
        <f t="shared" ref="U42:U63" si="216">H42/H$3</f>
        <v>0.33420668711108464</v>
      </c>
      <c r="V42" s="5">
        <f t="shared" ref="V42:V63" si="217">I42/I$3</f>
        <v>0.20275547725108509</v>
      </c>
      <c r="W42" s="5">
        <f t="shared" ref="W42:W63" si="218">J42/J$3</f>
        <v>5.6232639546990194E-3</v>
      </c>
      <c r="X42" s="5">
        <f t="shared" ref="X42:X63" si="219">K42/K$3</f>
        <v>2.3072353286455044E-2</v>
      </c>
      <c r="Y42" s="5">
        <f t="shared" ref="Y42:Y63" si="220">L42/L$3</f>
        <v>8.3506730646736582E-3</v>
      </c>
      <c r="Z42" s="5">
        <f t="shared" ref="Z42:Z63" si="221">M42/M$3</f>
        <v>0</v>
      </c>
      <c r="AA42" s="5">
        <f t="shared" ref="AA42:AA63" si="222">N42/N$3</f>
        <v>2.4229466302989619E-3</v>
      </c>
      <c r="AB42" s="5">
        <f t="shared" ref="AB42:AB63" si="223">P42*2</f>
        <v>1.5648014539571902</v>
      </c>
      <c r="AC42" s="5">
        <f t="shared" ref="AC42:AC63" si="224">Q42*2</f>
        <v>3.283257664732589E-2</v>
      </c>
      <c r="AD42" s="5">
        <f t="shared" ref="AD42:AD63" si="225">R42*3</f>
        <v>0.20596054525641677</v>
      </c>
      <c r="AE42" s="5">
        <f t="shared" ref="AE42:AE63" si="226">S42*3</f>
        <v>0</v>
      </c>
      <c r="AF42" s="5">
        <f t="shared" ref="AF42:AF63" si="227">T42</f>
        <v>0.19806693353970528</v>
      </c>
      <c r="AG42" s="5">
        <f t="shared" ref="AG42:AG63" si="228">U42</f>
        <v>0.33420668711108464</v>
      </c>
      <c r="AH42" s="5">
        <f t="shared" ref="AH42:AH63" si="229">V42</f>
        <v>0.20275547725108509</v>
      </c>
      <c r="AI42" s="5">
        <f t="shared" ref="AI42:AI63" si="230">W42</f>
        <v>5.6232639546990194E-3</v>
      </c>
      <c r="AJ42" s="5">
        <f t="shared" ref="AJ42:AJ63" si="231">X42</f>
        <v>2.3072353286455044E-2</v>
      </c>
      <c r="AK42" s="5">
        <f t="shared" ref="AK42:AK63" si="232">Y42</f>
        <v>8.3506730646736582E-3</v>
      </c>
      <c r="AL42" s="5">
        <f t="shared" ref="AL42:AL63" si="233">SUM(AB42:AK42)</f>
        <v>2.5756699640686356</v>
      </c>
      <c r="AM42" s="4">
        <f t="shared" ref="AM42:AM63" si="234">AB42*$AM$3/$AL42</f>
        <v>13.973231797199432</v>
      </c>
      <c r="AN42" s="4">
        <f t="shared" ref="AN42:AN63" si="235">AC42*$AM$3/$AL42</f>
        <v>0.29318556857945816</v>
      </c>
      <c r="AO42" s="4">
        <f t="shared" ref="AO42:AO63" si="236">AD42*$AM$3/$AL42</f>
        <v>1.8391690732824624</v>
      </c>
      <c r="AP42" s="4">
        <f t="shared" ref="AP42:AP63" si="237">AE42*$AM$3/$AL42</f>
        <v>0</v>
      </c>
      <c r="AQ42" s="4">
        <f t="shared" ref="AQ42:AQ63" si="238">AF42*$AM$3/$AL42</f>
        <v>1.7686813663879133</v>
      </c>
      <c r="AR42" s="4">
        <f t="shared" ref="AR42:AR63" si="239">AG42*$AM$3/$AL42</f>
        <v>2.9843706339660963</v>
      </c>
      <c r="AS42" s="4">
        <f t="shared" ref="AS42:AS63" si="240">AH42*$AM$3/$AL42</f>
        <v>1.8105487278379775</v>
      </c>
      <c r="AT42" s="4">
        <f t="shared" ref="AT42:AT63" si="241">AI42*$AM$3/$AL42</f>
        <v>5.0214147294622473E-2</v>
      </c>
      <c r="AU42" s="4">
        <f t="shared" ref="AU42:AU63" si="242">AJ42*$AM$3/$AL42</f>
        <v>0.20602955075432366</v>
      </c>
      <c r="AV42" s="4">
        <f t="shared" ref="AV42:AV63" si="243">AK42*$AM$3/$AL42</f>
        <v>7.4569134697715506E-2</v>
      </c>
      <c r="AW42" s="4">
        <f t="shared" ref="AW42:AW63" si="244">SUM(AM42:AV42)</f>
        <v>23</v>
      </c>
      <c r="AX42" s="5">
        <f t="shared" ref="AX42:AX63" si="245">AM42/2</f>
        <v>6.986615898599716</v>
      </c>
      <c r="AY42" s="5">
        <f t="shared" ref="AY42:AY63" si="246">AN42/2</f>
        <v>0.14659278428972908</v>
      </c>
      <c r="AZ42" s="5">
        <f t="shared" ref="AZ42:AZ63" si="247">AO42*2/3</f>
        <v>1.2261127155216416</v>
      </c>
      <c r="BA42" s="5">
        <f t="shared" ref="BA42:BA63" si="248">AP42*2/3</f>
        <v>0</v>
      </c>
      <c r="BB42" s="5">
        <f t="shared" ref="BB42:BB63" si="249">AQ42</f>
        <v>1.7686813663879133</v>
      </c>
      <c r="BC42" s="5">
        <f t="shared" ref="BC42:BC63" si="250">AR42</f>
        <v>2.9843706339660963</v>
      </c>
      <c r="BD42" s="5">
        <f t="shared" ref="BD42:BD63" si="251">AS42</f>
        <v>1.8105487278379775</v>
      </c>
      <c r="BE42" s="5">
        <f t="shared" ref="BE42:BE63" si="252">AT42</f>
        <v>5.0214147294622473E-2</v>
      </c>
      <c r="BF42" s="5">
        <f t="shared" ref="BF42:BF63" si="253">AU42*2</f>
        <v>0.41205910150864733</v>
      </c>
      <c r="BG42" s="5">
        <f t="shared" ref="BG42:BG63" si="254">AV42*2</f>
        <v>0.14913826939543101</v>
      </c>
      <c r="BH42" s="5">
        <f t="shared" ref="BH42:BH63" si="255">Z42*$AM$3/$AL42</f>
        <v>0</v>
      </c>
      <c r="BI42" s="5">
        <f t="shared" ref="BI42:BI63" si="256">AA42*$AM$3/$AL42</f>
        <v>2.1636224079286236E-2</v>
      </c>
      <c r="BJ42" s="5">
        <f t="shared" ref="BJ42:BJ63" si="257">2-BH42-BI42</f>
        <v>1.9783637759207138</v>
      </c>
      <c r="BK42" s="5">
        <f t="shared" ref="BK42:BK63" si="258">SUM(AX42:BG42)</f>
        <v>15.534333644801775</v>
      </c>
      <c r="BL42" s="11">
        <f t="shared" ref="BL42:BL63" si="259">IF(16/BK42&gt;1,1,16/BK42)</f>
        <v>1</v>
      </c>
      <c r="BM42" s="11">
        <f t="shared" ref="BM42:BM63" si="260">IF(8/AX42&gt;1,1,8/AX42)</f>
        <v>1</v>
      </c>
      <c r="BN42" s="11">
        <f t="shared" ref="BN42:BN63" si="261">IF(15/(BK42-BF42-BG42)&gt;1,1,15/(BK42-BF42-BG42))</f>
        <v>1</v>
      </c>
      <c r="BO42" s="11">
        <f t="shared" ref="BO42:BO63" si="262">IF(2/BD42&gt;1,1,2/BD42)</f>
        <v>1</v>
      </c>
      <c r="BP42" s="11">
        <f>1</f>
        <v>1</v>
      </c>
      <c r="BQ42" s="11">
        <f t="shared" ref="BQ42:BQ63" si="263">IF(8/(AX42+AZ42)&gt;1,"FAIL",8/(AX42+AZ42))</f>
        <v>0.97409769345652297</v>
      </c>
      <c r="BR42" s="11">
        <f t="shared" ref="BR42:BR63" si="264">IF(15/(BK42-BG42)&gt;1,"FAIL",15/(BK42-BG42))</f>
        <v>0.97496324446928451</v>
      </c>
      <c r="BS42" s="11">
        <f t="shared" ref="BS42:BS63" si="265">IF(12.9/(BK42-BF42-BG42-BD42)&gt;1,"FAIL",12.9/(BK42-BF42-BG42-BD42))</f>
        <v>0.98005046157217579</v>
      </c>
      <c r="BT42" s="11">
        <f t="shared" ref="BT42:BT63" si="266">IF(36/(46+AZ42+AX42+AY42)&gt;1,"FAIL",36/(46+AZ42+AX42+AY42))</f>
        <v>0.66225992293296487</v>
      </c>
      <c r="BU42" s="11">
        <f t="shared" ref="BU42:BU63" si="267">IF(1-BB42/46&gt;1,"FAIL",1-BB42/46)</f>
        <v>0.96155040507852363</v>
      </c>
      <c r="BV42" s="5">
        <f t="shared" ref="BV42:BV63" si="268">MIN(BL42:BP42)</f>
        <v>1</v>
      </c>
      <c r="BW42" s="11">
        <f t="shared" ref="BW42:BW63" si="269">IF(OR(BQ42="FAIL",BR42="FAIL",BS42="FAIL",BT42="FAIL",BU42="FAIL"),"FAIL",MAX(BQ42:BU42))</f>
        <v>0.98005046157217579</v>
      </c>
      <c r="BX42" s="11">
        <f t="shared" ref="BX42:BX63" si="270">IF(BW42="FAIL","FAIL",AVERAGE(BV42:BW42))</f>
        <v>0.99002523078608795</v>
      </c>
      <c r="BY42" s="11">
        <f t="shared" ref="BY42:BY63" si="271">IF($BX42="FAIL","",AX42*$BX42)</f>
        <v>6.9169260174249354</v>
      </c>
      <c r="BZ42" s="11">
        <f t="shared" ref="BZ42:BZ63" si="272">IF($BX42="FAIL","",AY42*$BX42)</f>
        <v>0.14513055509801423</v>
      </c>
      <c r="CA42" s="11">
        <f t="shared" ref="CA42:CA63" si="273">IF($BX42="FAIL","",AZ42*$BX42)</f>
        <v>1.2138825241540703</v>
      </c>
      <c r="CB42" s="11">
        <f t="shared" ref="CB42:CB63" si="274">IF($BX42="FAIL","",BA42*$BX42)</f>
        <v>0</v>
      </c>
      <c r="CC42" s="11">
        <f t="shared" ref="CC42:CC63" si="275">IF($BX42="FAIL","",BB42*$BX42)</f>
        <v>1.7510391779452472</v>
      </c>
      <c r="CD42" s="11">
        <f t="shared" ref="CD42:CD63" si="276">IF($BX42="FAIL","",BC42*$BX42)</f>
        <v>2.9546022256435083</v>
      </c>
      <c r="CE42" s="11">
        <f t="shared" ref="CE42:CE63" si="277">IF($BX42="FAIL","",BD42*$BX42)</f>
        <v>1.7924889221272515</v>
      </c>
      <c r="CF42" s="11">
        <f t="shared" ref="CF42:CF63" si="278">IF($BX42="FAIL","",BE42*$BX42)</f>
        <v>4.9713272764085228E-2</v>
      </c>
      <c r="CG42" s="11">
        <f t="shared" ref="CG42:CG63" si="279">IF($BX42="FAIL","",BF42*$BX42)</f>
        <v>0.40794890706860659</v>
      </c>
      <c r="CH42" s="11">
        <f t="shared" ref="CH42:CH63" si="280">IF($BX42="FAIL","",BG42*$BX42)</f>
        <v>0.14765064957724935</v>
      </c>
      <c r="CI42" s="11">
        <f t="shared" ref="CI42:CI63" si="281">IF(BX42="FAIL","",BX42*BK42)</f>
        <v>15.379382251802967</v>
      </c>
      <c r="CJ42" s="11">
        <f t="shared" ref="CJ42:CJ63" si="282">IF($BX42="FAIL","",46*(1-BX42))</f>
        <v>0.45883938383995426</v>
      </c>
      <c r="CK42" s="11">
        <f t="shared" ref="CK42:CK63" si="283">IF($BX42="FAIL","",CC42-CJ42)</f>
        <v>1.292199794105293</v>
      </c>
      <c r="CL42" s="13">
        <f t="shared" ref="CL42:CL63" si="284">IF($BX42="FAIL","",BY42+BZ42+CA42+CJ42+CD42+CF42+CK42-13)</f>
        <v>3.1293773029863914E-2</v>
      </c>
      <c r="CN42" s="32">
        <f t="shared" ref="CN42:CN63" si="285">IF(BX42="FAIL","",A42)</f>
        <v>16123.999999999998</v>
      </c>
      <c r="CO42" s="12">
        <f t="shared" ref="CO42:CO63" si="286">IF($CN42="","",(BY42-4)/4)</f>
        <v>0.72923150435623385</v>
      </c>
      <c r="CP42" s="12">
        <f t="shared" ref="CP42:CP63" si="287">IF($CN42="","",(8-BY42)/4)</f>
        <v>0.27076849564376615</v>
      </c>
      <c r="CQ42" s="12">
        <f t="shared" ref="CQ42:CQ63" si="288">IF($CN42="","",(CA42+BY42-8)/2)</f>
        <v>6.5404270789502839E-2</v>
      </c>
      <c r="CR42" s="12">
        <f t="shared" ref="CR42:CR63" si="289">IF($CN42="","",CH42)</f>
        <v>0.14765064957724935</v>
      </c>
      <c r="CS42" s="14">
        <f t="shared" ref="CS42:CS63" si="290">IF($CN42="","",3-CE42-CG42-CH42-CL42)</f>
        <v>0.62061774819702853</v>
      </c>
      <c r="CT42" s="14">
        <f t="shared" ref="CT42:CT63" si="291">IF($CN42="","",CE42+CG42+CL42-2)</f>
        <v>0.23173160222572209</v>
      </c>
      <c r="CU42" s="14">
        <f t="shared" ref="CU42:CU63" si="292">IF($CN42="","",(2-CE42-CL42)/2)</f>
        <v>8.8108652421442279E-2</v>
      </c>
      <c r="CV42" s="12">
        <f t="shared" ref="CV42:CV63" si="293">IF($CN42="","",CE42/2)</f>
        <v>0.89624446106362576</v>
      </c>
      <c r="CW42" s="2" t="str">
        <f t="shared" si="84"/>
        <v>18aHP02.6</v>
      </c>
      <c r="CY42" s="5">
        <f t="shared" ref="CY42:CY63" si="294">SUM(AX42:BC42,BE42)</f>
        <v>13.162587546059719</v>
      </c>
      <c r="CZ42" s="5">
        <f t="shared" ref="CZ42:CZ63" si="295">AX42*13/$CY42</f>
        <v>6.9003154861435663</v>
      </c>
      <c r="DA42" s="5">
        <f t="shared" ref="DA42:DA63" si="296">AY42*13/$CY42</f>
        <v>0.14478203385906141</v>
      </c>
      <c r="DB42" s="5">
        <f t="shared" ref="DB42:DB63" si="297">AZ42*13/$CY42</f>
        <v>1.2109674671491846</v>
      </c>
      <c r="DC42" s="5">
        <f t="shared" ref="DC42:DC63" si="298">BA42*13/$CY42</f>
        <v>0</v>
      </c>
      <c r="DD42" s="5">
        <f t="shared" ref="DD42:DD63" si="299">BB42*13/$CY42</f>
        <v>1.7468341754677175</v>
      </c>
      <c r="DE42" s="5">
        <f t="shared" ref="DE42:DE63" si="300">BC42*13/$CY42</f>
        <v>2.9475069476877485</v>
      </c>
      <c r="DF42" s="5">
        <f t="shared" ref="DF42:DF63" si="301">BD42*13/$CY42</f>
        <v>1.7881843808848705</v>
      </c>
      <c r="DG42" s="5">
        <f t="shared" ref="DG42:DG63" si="302">BE42*13/$CY42</f>
        <v>4.9593889692722763E-2</v>
      </c>
      <c r="DH42" s="5">
        <f t="shared" ref="DH42:DH63" si="303">BF42*13/$CY42</f>
        <v>0.40696924528460127</v>
      </c>
      <c r="DI42" s="5">
        <f t="shared" ref="DI42:DI63" si="304">BG42*13/$CY42</f>
        <v>0.14729607650138601</v>
      </c>
      <c r="DJ42" s="5">
        <f t="shared" ref="DJ42:DJ63" si="305">BH42*13/$CY42</f>
        <v>0</v>
      </c>
      <c r="DK42" s="5">
        <f t="shared" ref="DK42:DK63" si="306">BI42*13/$CY42</f>
        <v>2.1368968073068643E-2</v>
      </c>
      <c r="DL42" s="5">
        <f t="shared" ref="DL42:DL63" si="307">BJ42*13/$CY42</f>
        <v>1.9539265358708515</v>
      </c>
      <c r="DM42" s="5">
        <f t="shared" ref="DM42:DM63" si="308">SUM(DG42,CZ42:DE42)</f>
        <v>13.000000000000004</v>
      </c>
      <c r="DN42" s="5">
        <f t="shared" ref="DN42:DN63" si="309">SUM(AX42:BE42)</f>
        <v>14.973136273897696</v>
      </c>
      <c r="DO42" s="5">
        <f t="shared" ref="DO42:DO63" si="310">AX42*15/$DN42</f>
        <v>6.9991507832390258</v>
      </c>
      <c r="DP42" s="5">
        <f t="shared" ref="DP42:DP63" si="311">AY42*15/$DN42</f>
        <v>0.14685579053863354</v>
      </c>
      <c r="DQ42" s="5">
        <f t="shared" ref="DQ42:DQ63" si="312">AZ42*15/$DN42</f>
        <v>1.2283125189267403</v>
      </c>
      <c r="DR42" s="5">
        <f t="shared" ref="DR42:DR63" si="313">BA42*15/$DN42</f>
        <v>0</v>
      </c>
      <c r="DS42" s="5">
        <f t="shared" ref="DS42:DS63" si="314">BB42*15/$DN42</f>
        <v>1.7718546075125348</v>
      </c>
      <c r="DT42" s="5">
        <f t="shared" ref="DT42:DT63" si="315">BC42*15/$DN42</f>
        <v>2.9897249774938706</v>
      </c>
      <c r="DU42" s="5">
        <f t="shared" ref="DU42:DU63" si="316">BD42*15/$DN42</f>
        <v>1.8137970843766342</v>
      </c>
      <c r="DV42" s="5">
        <f t="shared" ref="DV42:DV63" si="317">BE42*15/$DN42</f>
        <v>5.0304237912560348E-2</v>
      </c>
      <c r="DW42" s="5">
        <f t="shared" ref="DW42:DW63" si="318">BF42*15/$DN42</f>
        <v>0.4127983883646808</v>
      </c>
      <c r="DX42" s="5">
        <f t="shared" ref="DX42:DX63" si="319">BG42*15/$DN42</f>
        <v>0.14940584257095835</v>
      </c>
      <c r="DY42" s="5">
        <f t="shared" ref="DY42:DY63" si="320">BH42*15/$DN42</f>
        <v>0</v>
      </c>
      <c r="DZ42" s="5">
        <f t="shared" ref="DZ42:DZ63" si="321">BI42*15/$DN42</f>
        <v>2.1675042239150798E-2</v>
      </c>
      <c r="EA42" s="5">
        <f t="shared" ref="EA42:EA63" si="322">BJ42*15/$DN42</f>
        <v>1.9819132141703144</v>
      </c>
      <c r="EB42" s="5">
        <f t="shared" ref="EB42:EB63" si="323">SUM(DO42:DV42)</f>
        <v>15</v>
      </c>
      <c r="EC42" s="5">
        <f t="shared" ref="EC42:EC63" si="324">IF(DF42&lt;1.5, DO42*4+DP42*4+DQ42*3+DR42*3+DS42*2+DT42*2+DU42*2+DV42*2+DW42+DX42, CZ42*4+DA42*4+DB42*3+DC42*3+DD42*2+DE42*2+DF42*2+DG42*2+DH42+DI42)</f>
        <v>45.431796590710171</v>
      </c>
      <c r="ED42" s="1">
        <f t="shared" ref="ED42:ED63" si="325">IF($CZ42+$DA42+$DB42&lt;8, DO42, CZ42)</f>
        <v>6.9003154861435663</v>
      </c>
      <c r="EE42" s="5">
        <f t="shared" ref="EE42:EE63" si="326">IF($CZ42+$DA42+$DB42&lt;8, DP42, DA42)</f>
        <v>0.14478203385906141</v>
      </c>
      <c r="EF42" s="5">
        <f t="shared" ref="EF42:EF63" si="327">IF($CZ42+$DA42+$DB42&lt;8, DQ42, DB42)</f>
        <v>1.2109674671491846</v>
      </c>
      <c r="EG42" s="5">
        <f t="shared" ref="EG42:EG63" si="328">IF($CZ42+$DA42+$DB42&lt;8, DR42, DC42)</f>
        <v>0</v>
      </c>
      <c r="EH42" s="5">
        <f t="shared" ref="EH42:EH63" si="329">IF($EC42&gt;46, 0, 46-$EC42)</f>
        <v>0.56820340928982915</v>
      </c>
      <c r="EI42" s="5">
        <f t="shared" ref="EI42:EI63" si="330">IF($CZ42+$DA42+$DB42&lt;8, $DS42-$EH42, $DD42-$EH42)</f>
        <v>1.1786307661778883</v>
      </c>
      <c r="EJ42" s="5">
        <f t="shared" ref="EJ42:EJ63" si="331">IF($CZ42+$DA42+$DB42&lt;8, DT42, DE42)</f>
        <v>2.9475069476877485</v>
      </c>
      <c r="EK42" s="5">
        <f t="shared" ref="EK42:EK63" si="332">IF($CZ42+$DA42+$DB42&lt;8, DU42, DF42)</f>
        <v>1.7881843808848705</v>
      </c>
      <c r="EL42" s="5">
        <f t="shared" ref="EL42:EL63" si="333">IF($CZ42+$DA42+$DB42&lt;8, DV42, DG42)</f>
        <v>4.9593889692722763E-2</v>
      </c>
      <c r="EM42" s="5">
        <f t="shared" ref="EM42:EM63" si="334">IF($CZ42+$DA42+$DB42&lt;8, DW42, DH42)</f>
        <v>0.40696924528460127</v>
      </c>
      <c r="EN42" s="5">
        <f t="shared" ref="EN42:EN63" si="335">IF($CZ42+$DA42+$DB42&lt;8, DX42, DI42)</f>
        <v>0.14729607650138601</v>
      </c>
      <c r="EO42" s="5">
        <f t="shared" ref="EO42:EO63" si="336">($EH42/($EH42+$EI42))*$G42*$O$3/($G$3*2)</f>
        <v>5.1440711047085896</v>
      </c>
      <c r="EP42" s="5">
        <f t="shared" ref="EP42:EP63" si="337">($EI42/($EH42+$EI42))*$G42</f>
        <v>9.6013210860273244</v>
      </c>
      <c r="EQ42" s="5">
        <f t="shared" ref="EQ42:EQ63" si="338">$EA42*$AL42*$P$3/(23*2)</f>
        <v>1.9992082329260235</v>
      </c>
      <c r="ER42" s="5">
        <f t="shared" ref="ER42:ER63" si="339">SUM(EO42:EQ42,C42:F42,H42:N42)</f>
        <v>99.607100423661947</v>
      </c>
      <c r="ES42" s="5">
        <f t="shared" ref="ES42:ES63" si="340">ED42</f>
        <v>6.9003154861435663</v>
      </c>
      <c r="ET42" s="5">
        <f t="shared" ref="ET42:ET63" si="341">IF(8-$ES42&lt;$EF42, 8-$ES42, $EF42)</f>
        <v>1.0996845138564337</v>
      </c>
      <c r="EU42" s="5">
        <f t="shared" ref="EU42:EU63" si="342">IF(8-$ES42-$ET42&lt;$EE42, 8-$ES42-$ET42, $EE42)</f>
        <v>0</v>
      </c>
      <c r="EV42" s="44">
        <f t="shared" ref="EV42:EV63" si="343">SUM(ES42:EU42)</f>
        <v>8</v>
      </c>
      <c r="EW42" s="5">
        <f t="shared" ref="EW42:EW63" si="344">EF42-ET42</f>
        <v>0.11128295329275084</v>
      </c>
      <c r="EX42" s="5">
        <f t="shared" ref="EX42:EX63" si="345">EE42-EU42</f>
        <v>0.14478203385906141</v>
      </c>
      <c r="EY42" s="5">
        <f t="shared" ref="EY42:EY63" si="346">EG42</f>
        <v>0</v>
      </c>
      <c r="EZ42" s="5">
        <f t="shared" ref="EZ42:EZ63" si="347">EH42</f>
        <v>0.56820340928982915</v>
      </c>
      <c r="FA42" s="5">
        <f t="shared" ref="FA42:FA63" si="348">EJ42</f>
        <v>2.9475069476877485</v>
      </c>
      <c r="FB42" s="5">
        <f t="shared" ref="FB42:FB63" si="349">IF(5-EW42-EX42-EY42-EZ42-FA42&lt;EI42, 5-EW42-EX42-EY42-EZ42-FA42, EI42)</f>
        <v>1.1786307661778883</v>
      </c>
      <c r="FC42" s="5">
        <f t="shared" ref="FC42:FC63" si="350">EL42</f>
        <v>4.9593889692722763E-2</v>
      </c>
      <c r="FD42" s="44">
        <f t="shared" ref="FD42:FD63" si="351">SUM(EW42:FC42)</f>
        <v>5.0000000000000009</v>
      </c>
      <c r="FE42" s="5">
        <f t="shared" ref="FE42:FE63" si="352">EH42+EI42-EZ42-FB42</f>
        <v>0</v>
      </c>
      <c r="FF42" s="5">
        <f t="shared" ref="FF42:FF63" si="353">EK42</f>
        <v>1.7881843808848705</v>
      </c>
      <c r="FG42" s="5">
        <f t="shared" ref="FG42:FG63" si="354">IF(2-FE42-FF42&lt;EM42, 2-FE42-FF42, EM42)</f>
        <v>0.21181561911512947</v>
      </c>
      <c r="FH42" s="44">
        <f t="shared" ref="FH42:FH63" si="355">SUM(FE42:FG42)</f>
        <v>2</v>
      </c>
      <c r="FI42" s="5">
        <f t="shared" ref="FI42:FI63" si="356">EM42-FG42</f>
        <v>0.19515362616947179</v>
      </c>
      <c r="FJ42" s="5">
        <f t="shared" ref="FJ42:FJ63" si="357">EN42</f>
        <v>0.14729607650138601</v>
      </c>
      <c r="FK42" s="44">
        <f t="shared" ref="FK42:FK63" si="358">SUM(FI42:FJ42)</f>
        <v>0.34244970267085784</v>
      </c>
      <c r="FL42" s="1" t="str">
        <f t="shared" ref="FL42:FL63" si="359">IF(OR(ER42&lt;98, EZ42&lt;0, FB42&lt;0, FI42&lt;0, FK42&gt;1, FA42/(FA42+FB42+FE42)&lt;0.5), "Fail", "Pass")</f>
        <v>Pass</v>
      </c>
      <c r="FM42" s="5">
        <f t="shared" ref="FM42:FM63" si="360">EW42/(ET42+EW42)</f>
        <v>9.1895906629704191E-2</v>
      </c>
      <c r="FN42" s="1" t="str">
        <f t="shared" ref="FN42:FN63" si="361">IF(FF42&lt;1.5, "Low-Ca", IF(FL42="Fail", "Invalid",IF(FM42&gt;0.21, "Xenocryst", IF(ES42&gt;=6.5, "Mg-Hbl", IF(FK42&gt;0.5, "Mg-Hst", "Tsch-Prg")))))</f>
        <v>Mg-Hbl</v>
      </c>
      <c r="FO42" s="5">
        <f t="shared" ref="FO42:FO63" si="362">ES42+ET42/15-2*EU42-EW42/2-EX42/1.8+EZ42/9+FB42/3.3+FA42/26+FF42/5+FG42/1.3-FI42/15+(1-FK42)/2.3</f>
        <v>8.164665209059832</v>
      </c>
      <c r="FP42" s="5">
        <f t="shared" ref="FP42:FP63" si="363">EF42</f>
        <v>1.2109674671491846</v>
      </c>
      <c r="FQ42" s="5">
        <f t="shared" ref="FQ42:FQ63" si="364">FA42+ES42/47-EW42/9-1.3*EX42+EZ42/3.7+FB42/5.2-FF42/20-FI42/2.8+(1-FK42)/9.5</f>
        <v>3.1840778840113821</v>
      </c>
      <c r="FR42" s="5">
        <f t="shared" ref="FR42:FR63" si="365">EW42+ET42/13.9-(ES42+EX42)/5-FB42/3-FA42/1.7+(FF42+(1-FK42))/1.2+FI42/2.7-1.56*FJ42-(EZ42/(EZ42+FA42+FB42+FC42))/1.6</f>
        <v>-1.5395768115933317</v>
      </c>
      <c r="FS42" s="1" t="str">
        <f t="shared" ref="FS42:FS63" si="366">IF(OR(FL42="Fail", FN42="Low-Ca"), "NO", "YES")</f>
        <v>YES</v>
      </c>
      <c r="FT42" s="32">
        <f t="shared" ref="FT42:FT63" si="367">IF($FS42="yes", -151.487*FO42+2041, "")</f>
        <v>804.15936147515322</v>
      </c>
      <c r="FU42" s="32">
        <f t="shared" ref="FU42:FU63" si="368">IF($FS42="yes", 19.209*EXP(1.438*FP42), "")</f>
        <v>109.59043918170926</v>
      </c>
      <c r="FV42" s="46">
        <f t="shared" ref="FV42:FV63" si="369">IF($FS42="yes", 1.644*FQ42-4.01, "")</f>
        <v>1.224624041314712</v>
      </c>
      <c r="FW42" s="47">
        <f t="shared" ref="FW42:FW63" si="370">IF($FS42="yes", (-25018.7/(FT42+273.15))+(12.981)+(0.046*(FU42*10-1)/(FT42+273.15))-(0.5117*LN(FT42+273.15))+(FV42), "")</f>
        <v>-12.543747567191083</v>
      </c>
      <c r="FX42" s="46">
        <f t="shared" ref="FX42:FX63" si="371">IF($FS42="yes", 5.215*FR42+12.28, "")</f>
        <v>4.2511069275407749</v>
      </c>
      <c r="FY42" s="50">
        <f t="shared" si="189"/>
        <v>118.84774904652382</v>
      </c>
      <c r="FZ42" s="32">
        <f t="shared" si="190"/>
        <v>116.23290021253372</v>
      </c>
      <c r="GA42" s="32">
        <f t="shared" si="191"/>
        <v>67.379801103881377</v>
      </c>
      <c r="GB42" s="32">
        <f t="shared" si="192"/>
        <v>-473.16089837599623</v>
      </c>
      <c r="GC42" s="32">
        <f t="shared" si="193"/>
        <v>336.70080346903177</v>
      </c>
      <c r="GD42" s="32">
        <f t="shared" si="194"/>
        <v>-589.39379858852999</v>
      </c>
      <c r="GE42" s="4">
        <f t="shared" si="195"/>
        <v>-1.8330431680050399</v>
      </c>
      <c r="GF42" s="32">
        <f t="shared" si="196"/>
        <v>116.23290021253372</v>
      </c>
      <c r="GG42" s="1">
        <f t="shared" si="197"/>
        <v>19.960068942794209</v>
      </c>
      <c r="GH42" s="32">
        <f t="shared" si="198"/>
        <v>116.23290021253372</v>
      </c>
      <c r="GI42" s="32">
        <f t="shared" si="199"/>
        <v>782.12267519397392</v>
      </c>
      <c r="GJ42" s="46">
        <f t="shared" si="200"/>
        <v>1.4039575942160609</v>
      </c>
      <c r="GK42" s="46">
        <f t="shared" si="201"/>
        <v>77.927088523226359</v>
      </c>
      <c r="GL42" s="46">
        <f t="shared" si="202"/>
        <v>0.17821806718148889</v>
      </c>
      <c r="GM42" s="46">
        <f t="shared" si="203"/>
        <v>13.12689674475001</v>
      </c>
      <c r="GN42" s="46">
        <f t="shared" si="204"/>
        <v>0.64040822274471221</v>
      </c>
      <c r="GO42" s="46">
        <f t="shared" si="205"/>
        <v>-0.55679744950242871</v>
      </c>
      <c r="GP42" s="46">
        <f t="shared" si="206"/>
        <v>0.34290635828424954</v>
      </c>
      <c r="GQ42" s="46">
        <f t="shared" si="207"/>
        <v>7.0771939651325315</v>
      </c>
      <c r="GR42" s="46">
        <f t="shared" si="208"/>
        <v>5.4113773622302928</v>
      </c>
      <c r="GS42" s="46">
        <f t="shared" si="209"/>
        <v>104.14729179404723</v>
      </c>
      <c r="GU42" s="32">
        <f t="shared" ref="GU42:GU63" si="372">A42</f>
        <v>16123.999999999998</v>
      </c>
      <c r="GV42" s="32">
        <f t="shared" ref="GV42:GV63" si="373">FU42</f>
        <v>109.59043918170926</v>
      </c>
      <c r="GW42" s="32">
        <f t="shared" ref="GW42:GW63" si="374">FT42</f>
        <v>804.15936147515322</v>
      </c>
      <c r="GX42" s="32">
        <f t="shared" ref="GX42:GX63" si="375">GH42</f>
        <v>116.23290021253372</v>
      </c>
      <c r="GY42" s="32">
        <f t="shared" ref="GY42:GY63" si="376">GI42</f>
        <v>782.12267519397392</v>
      </c>
    </row>
    <row r="43" spans="1:207">
      <c r="A43" s="35">
        <v>16128</v>
      </c>
      <c r="B43" s="2" t="s">
        <v>185</v>
      </c>
      <c r="C43" s="36">
        <v>47.44</v>
      </c>
      <c r="D43" s="36">
        <v>1.2782</v>
      </c>
      <c r="E43" s="36">
        <v>6.68</v>
      </c>
      <c r="F43" s="36"/>
      <c r="G43" s="36">
        <v>14.07</v>
      </c>
      <c r="H43" s="36">
        <v>13.82</v>
      </c>
      <c r="I43" s="36">
        <v>11.69</v>
      </c>
      <c r="J43" s="36">
        <v>0.45839999999999997</v>
      </c>
      <c r="K43" s="36">
        <v>1.44</v>
      </c>
      <c r="L43" s="36">
        <v>0.65390000000000004</v>
      </c>
      <c r="M43" s="36"/>
      <c r="N43" s="36">
        <v>8.5199999999999998E-2</v>
      </c>
      <c r="O43" s="4">
        <f t="shared" si="210"/>
        <v>97.615699999999975</v>
      </c>
      <c r="P43" s="5">
        <f t="shared" si="211"/>
        <v>0.78955733860592536</v>
      </c>
      <c r="Q43" s="5">
        <f t="shared" si="212"/>
        <v>1.600434729258331E-2</v>
      </c>
      <c r="R43" s="5">
        <f t="shared" si="213"/>
        <v>6.5515068681564953E-2</v>
      </c>
      <c r="S43" s="5">
        <f t="shared" si="214"/>
        <v>0</v>
      </c>
      <c r="T43" s="5">
        <f t="shared" si="215"/>
        <v>0.19583989844719982</v>
      </c>
      <c r="U43" s="5">
        <f t="shared" si="216"/>
        <v>0.34289060251486192</v>
      </c>
      <c r="V43" s="5">
        <f t="shared" si="217"/>
        <v>0.2084618759072282</v>
      </c>
      <c r="W43" s="5">
        <f t="shared" si="218"/>
        <v>6.4620310775483341E-3</v>
      </c>
      <c r="X43" s="5">
        <f t="shared" si="219"/>
        <v>2.323369841433235E-2</v>
      </c>
      <c r="Y43" s="5">
        <f t="shared" si="220"/>
        <v>6.9419083612892269E-3</v>
      </c>
      <c r="Z43" s="5">
        <f t="shared" si="221"/>
        <v>0</v>
      </c>
      <c r="AA43" s="5">
        <f t="shared" si="222"/>
        <v>2.4032020128227187E-3</v>
      </c>
      <c r="AB43" s="5">
        <f t="shared" si="223"/>
        <v>1.5791146772118507</v>
      </c>
      <c r="AC43" s="5">
        <f t="shared" si="224"/>
        <v>3.2008694585166621E-2</v>
      </c>
      <c r="AD43" s="5">
        <f t="shared" si="225"/>
        <v>0.19654520604469486</v>
      </c>
      <c r="AE43" s="5">
        <f t="shared" si="226"/>
        <v>0</v>
      </c>
      <c r="AF43" s="5">
        <f t="shared" si="227"/>
        <v>0.19583989844719982</v>
      </c>
      <c r="AG43" s="5">
        <f t="shared" si="228"/>
        <v>0.34289060251486192</v>
      </c>
      <c r="AH43" s="5">
        <f t="shared" si="229"/>
        <v>0.2084618759072282</v>
      </c>
      <c r="AI43" s="5">
        <f t="shared" si="230"/>
        <v>6.4620310775483341E-3</v>
      </c>
      <c r="AJ43" s="5">
        <f t="shared" si="231"/>
        <v>2.323369841433235E-2</v>
      </c>
      <c r="AK43" s="5">
        <f t="shared" si="232"/>
        <v>6.9419083612892269E-3</v>
      </c>
      <c r="AL43" s="5">
        <f t="shared" si="233"/>
        <v>2.5914985925641725</v>
      </c>
      <c r="AM43" s="4">
        <f t="shared" si="234"/>
        <v>14.014916959663831</v>
      </c>
      <c r="AN43" s="4">
        <f t="shared" si="235"/>
        <v>0.28408272247232641</v>
      </c>
      <c r="AO43" s="4">
        <f t="shared" si="236"/>
        <v>1.7443728319972223</v>
      </c>
      <c r="AP43" s="4">
        <f t="shared" si="237"/>
        <v>0</v>
      </c>
      <c r="AQ43" s="4">
        <f t="shared" si="238"/>
        <v>1.7381131045989779</v>
      </c>
      <c r="AR43" s="4">
        <f t="shared" si="239"/>
        <v>3.0432136372640279</v>
      </c>
      <c r="AS43" s="4">
        <f t="shared" si="240"/>
        <v>1.8501353462523715</v>
      </c>
      <c r="AT43" s="4">
        <f t="shared" si="241"/>
        <v>5.7351647888240674E-2</v>
      </c>
      <c r="AU43" s="4">
        <f t="shared" si="242"/>
        <v>0.20620310775507839</v>
      </c>
      <c r="AV43" s="4">
        <f t="shared" si="243"/>
        <v>6.1610642107921006E-2</v>
      </c>
      <c r="AW43" s="4">
        <f t="shared" si="244"/>
        <v>23</v>
      </c>
      <c r="AX43" s="5">
        <f t="shared" si="245"/>
        <v>7.0074584798319153</v>
      </c>
      <c r="AY43" s="5">
        <f t="shared" si="246"/>
        <v>0.1420413612361632</v>
      </c>
      <c r="AZ43" s="5">
        <f t="shared" si="247"/>
        <v>1.1629152213314815</v>
      </c>
      <c r="BA43" s="5">
        <f t="shared" si="248"/>
        <v>0</v>
      </c>
      <c r="BB43" s="5">
        <f t="shared" si="249"/>
        <v>1.7381131045989779</v>
      </c>
      <c r="BC43" s="5">
        <f t="shared" si="250"/>
        <v>3.0432136372640279</v>
      </c>
      <c r="BD43" s="5">
        <f t="shared" si="251"/>
        <v>1.8501353462523715</v>
      </c>
      <c r="BE43" s="5">
        <f t="shared" si="252"/>
        <v>5.7351647888240674E-2</v>
      </c>
      <c r="BF43" s="5">
        <f t="shared" si="253"/>
        <v>0.41240621551015677</v>
      </c>
      <c r="BG43" s="5">
        <f t="shared" si="254"/>
        <v>0.12322128421584201</v>
      </c>
      <c r="BH43" s="5">
        <f t="shared" si="255"/>
        <v>0</v>
      </c>
      <c r="BI43" s="5">
        <f t="shared" si="256"/>
        <v>2.1328835158745625E-2</v>
      </c>
      <c r="BJ43" s="5">
        <f t="shared" si="257"/>
        <v>1.9786711648412543</v>
      </c>
      <c r="BK43" s="5">
        <f t="shared" si="258"/>
        <v>15.53685629812918</v>
      </c>
      <c r="BL43" s="11">
        <f t="shared" si="259"/>
        <v>1</v>
      </c>
      <c r="BM43" s="11">
        <f t="shared" si="260"/>
        <v>1</v>
      </c>
      <c r="BN43" s="11">
        <f t="shared" si="261"/>
        <v>0.99991808681677385</v>
      </c>
      <c r="BO43" s="11">
        <f t="shared" si="262"/>
        <v>1</v>
      </c>
      <c r="BP43" s="11">
        <f>1</f>
        <v>1</v>
      </c>
      <c r="BQ43" s="11">
        <f t="shared" si="263"/>
        <v>0.97914737961873921</v>
      </c>
      <c r="BR43" s="11">
        <f t="shared" si="264"/>
        <v>0.97316434354777681</v>
      </c>
      <c r="BS43" s="11">
        <f t="shared" si="265"/>
        <v>0.98090702852470835</v>
      </c>
      <c r="BT43" s="11">
        <f t="shared" si="266"/>
        <v>0.6628318766278315</v>
      </c>
      <c r="BU43" s="11">
        <f t="shared" si="267"/>
        <v>0.96221493250871792</v>
      </c>
      <c r="BV43" s="5">
        <f t="shared" si="268"/>
        <v>0.99991808681677385</v>
      </c>
      <c r="BW43" s="11">
        <f t="shared" si="269"/>
        <v>0.98090702852470835</v>
      </c>
      <c r="BX43" s="11">
        <f t="shared" si="270"/>
        <v>0.9904125576707411</v>
      </c>
      <c r="BY43" s="11">
        <f t="shared" si="271"/>
        <v>6.9402748757818502</v>
      </c>
      <c r="BZ43" s="11">
        <f t="shared" si="272"/>
        <v>0.14067954787694206</v>
      </c>
      <c r="CA43" s="11">
        <f t="shared" si="273"/>
        <v>1.1517658387131486</v>
      </c>
      <c r="CB43" s="11">
        <f t="shared" si="274"/>
        <v>0</v>
      </c>
      <c r="CC43" s="11">
        <f t="shared" si="275"/>
        <v>1.721449045446906</v>
      </c>
      <c r="CD43" s="11">
        <f t="shared" si="276"/>
        <v>3.0140370020211447</v>
      </c>
      <c r="CE43" s="11">
        <f t="shared" si="277"/>
        <v>1.8323972803188535</v>
      </c>
      <c r="CF43" s="11">
        <f t="shared" si="278"/>
        <v>5.6801792271624206E-2</v>
      </c>
      <c r="CG43" s="11">
        <f t="shared" si="279"/>
        <v>0.4084522947027252</v>
      </c>
      <c r="CH43" s="11">
        <f t="shared" si="280"/>
        <v>0.1220399072596854</v>
      </c>
      <c r="CI43" s="11">
        <f t="shared" si="281"/>
        <v>15.387897584392883</v>
      </c>
      <c r="CJ43" s="11">
        <f t="shared" si="282"/>
        <v>0.44102234714590938</v>
      </c>
      <c r="CK43" s="11">
        <f t="shared" si="283"/>
        <v>1.2804266983009966</v>
      </c>
      <c r="CL43" s="13">
        <f t="shared" si="284"/>
        <v>2.5008102111614861E-2</v>
      </c>
      <c r="CN43" s="32">
        <f t="shared" si="285"/>
        <v>16128</v>
      </c>
      <c r="CO43" s="12">
        <f t="shared" si="286"/>
        <v>0.73506871894546255</v>
      </c>
      <c r="CP43" s="12">
        <f t="shared" si="287"/>
        <v>0.26493128105453745</v>
      </c>
      <c r="CQ43" s="12">
        <f t="shared" si="288"/>
        <v>4.6020357247499533E-2</v>
      </c>
      <c r="CR43" s="12">
        <f t="shared" si="289"/>
        <v>0.1220399072596854</v>
      </c>
      <c r="CS43" s="14">
        <f t="shared" si="290"/>
        <v>0.61210241560712109</v>
      </c>
      <c r="CT43" s="14">
        <f t="shared" si="291"/>
        <v>0.26585767713319353</v>
      </c>
      <c r="CU43" s="14">
        <f t="shared" si="292"/>
        <v>7.1297308784765812E-2</v>
      </c>
      <c r="CV43" s="12">
        <f t="shared" si="293"/>
        <v>0.91619864015942676</v>
      </c>
      <c r="CW43" s="2" t="str">
        <f t="shared" si="84"/>
        <v>18aHP03.2</v>
      </c>
      <c r="CY43" s="5">
        <f t="shared" si="294"/>
        <v>13.151093452150809</v>
      </c>
      <c r="CZ43" s="5">
        <f t="shared" si="295"/>
        <v>6.9269495018998857</v>
      </c>
      <c r="DA43" s="5">
        <f t="shared" si="296"/>
        <v>0.14040944221015536</v>
      </c>
      <c r="DB43" s="5">
        <f t="shared" si="297"/>
        <v>1.1495544406489475</v>
      </c>
      <c r="DC43" s="5">
        <f t="shared" si="298"/>
        <v>0</v>
      </c>
      <c r="DD43" s="5">
        <f t="shared" si="299"/>
        <v>1.7181438518400396</v>
      </c>
      <c r="DE43" s="5">
        <f t="shared" si="300"/>
        <v>3.0082500309479738</v>
      </c>
      <c r="DF43" s="5">
        <f t="shared" si="301"/>
        <v>1.8288790653637446</v>
      </c>
      <c r="DG43" s="5">
        <f t="shared" si="302"/>
        <v>5.6692732452995651E-2</v>
      </c>
      <c r="DH43" s="5">
        <f t="shared" si="303"/>
        <v>0.40766806358259294</v>
      </c>
      <c r="DI43" s="5">
        <f t="shared" si="304"/>
        <v>0.12180558982675053</v>
      </c>
      <c r="DJ43" s="5">
        <f t="shared" si="305"/>
        <v>0</v>
      </c>
      <c r="DK43" s="5">
        <f t="shared" si="306"/>
        <v>2.1083787296663607E-2</v>
      </c>
      <c r="DL43" s="5">
        <f t="shared" si="307"/>
        <v>1.9559381306601129</v>
      </c>
      <c r="DM43" s="5">
        <f t="shared" si="308"/>
        <v>12.999999999999998</v>
      </c>
      <c r="DN43" s="5">
        <f t="shared" si="309"/>
        <v>15.001228798403181</v>
      </c>
      <c r="DO43" s="5">
        <f t="shared" si="310"/>
        <v>7.006884476601507</v>
      </c>
      <c r="DP43" s="5">
        <f t="shared" si="311"/>
        <v>0.14202972617611459</v>
      </c>
      <c r="DQ43" s="5">
        <f t="shared" si="312"/>
        <v>1.16281996324388</v>
      </c>
      <c r="DR43" s="5">
        <f t="shared" si="313"/>
        <v>0</v>
      </c>
      <c r="DS43" s="5">
        <f t="shared" si="314"/>
        <v>1.7379707302217733</v>
      </c>
      <c r="DT43" s="5">
        <f t="shared" si="315"/>
        <v>3.0429643579477621</v>
      </c>
      <c r="DU43" s="5">
        <f t="shared" si="316"/>
        <v>1.8499837957767606</v>
      </c>
      <c r="DV43" s="5">
        <f t="shared" si="317"/>
        <v>5.7346950032198883E-2</v>
      </c>
      <c r="DW43" s="5">
        <f t="shared" si="318"/>
        <v>0.41237243400426205</v>
      </c>
      <c r="DX43" s="5">
        <f t="shared" si="319"/>
        <v>0.12321119076821067</v>
      </c>
      <c r="DY43" s="5">
        <f t="shared" si="320"/>
        <v>0</v>
      </c>
      <c r="DZ43" s="5">
        <f t="shared" si="321"/>
        <v>2.1327088045963265E-2</v>
      </c>
      <c r="EA43" s="5">
        <f t="shared" si="322"/>
        <v>1.9785090855875842</v>
      </c>
      <c r="EB43" s="5">
        <f t="shared" si="323"/>
        <v>14.999999999999996</v>
      </c>
      <c r="EC43" s="5">
        <f t="shared" si="324"/>
        <v>45.471504113005849</v>
      </c>
      <c r="ED43" s="1">
        <f t="shared" si="325"/>
        <v>6.9269495018998857</v>
      </c>
      <c r="EE43" s="5">
        <f t="shared" si="326"/>
        <v>0.14040944221015536</v>
      </c>
      <c r="EF43" s="5">
        <f t="shared" si="327"/>
        <v>1.1495544406489475</v>
      </c>
      <c r="EG43" s="5">
        <f t="shared" si="328"/>
        <v>0</v>
      </c>
      <c r="EH43" s="5">
        <f t="shared" si="329"/>
        <v>0.52849588699415051</v>
      </c>
      <c r="EI43" s="5">
        <f t="shared" si="330"/>
        <v>1.1896479648458891</v>
      </c>
      <c r="EJ43" s="5">
        <f t="shared" si="331"/>
        <v>3.0082500309479738</v>
      </c>
      <c r="EK43" s="5">
        <f t="shared" si="332"/>
        <v>1.8288790653637446</v>
      </c>
      <c r="EL43" s="5">
        <f t="shared" si="333"/>
        <v>5.6692732452995651E-2</v>
      </c>
      <c r="EM43" s="5">
        <f t="shared" si="334"/>
        <v>0.40766806358259294</v>
      </c>
      <c r="EN43" s="5">
        <f t="shared" si="335"/>
        <v>0.12180558982675053</v>
      </c>
      <c r="EO43" s="5">
        <f t="shared" si="336"/>
        <v>4.8097897726624117</v>
      </c>
      <c r="EP43" s="5">
        <f t="shared" si="337"/>
        <v>9.7421102706014917</v>
      </c>
      <c r="EQ43" s="5">
        <f t="shared" si="338"/>
        <v>2.008039312821845</v>
      </c>
      <c r="ER43" s="5">
        <f t="shared" si="339"/>
        <v>100.10563935608573</v>
      </c>
      <c r="ES43" s="5">
        <f t="shared" si="340"/>
        <v>6.9269495018998857</v>
      </c>
      <c r="ET43" s="5">
        <f t="shared" si="341"/>
        <v>1.0730504981001143</v>
      </c>
      <c r="EU43" s="5">
        <f t="shared" si="342"/>
        <v>0</v>
      </c>
      <c r="EV43" s="44">
        <f t="shared" si="343"/>
        <v>8</v>
      </c>
      <c r="EW43" s="5">
        <f t="shared" si="344"/>
        <v>7.6503942548833193E-2</v>
      </c>
      <c r="EX43" s="5">
        <f t="shared" si="345"/>
        <v>0.14040944221015536</v>
      </c>
      <c r="EY43" s="5">
        <f t="shared" si="346"/>
        <v>0</v>
      </c>
      <c r="EZ43" s="5">
        <f t="shared" si="347"/>
        <v>0.52849588699415051</v>
      </c>
      <c r="FA43" s="5">
        <f t="shared" si="348"/>
        <v>3.0082500309479738</v>
      </c>
      <c r="FB43" s="5">
        <f t="shared" si="349"/>
        <v>1.1896479648458891</v>
      </c>
      <c r="FC43" s="5">
        <f t="shared" si="350"/>
        <v>5.6692732452995651E-2</v>
      </c>
      <c r="FD43" s="44">
        <f t="shared" si="351"/>
        <v>4.9999999999999982</v>
      </c>
      <c r="FE43" s="5">
        <f t="shared" si="352"/>
        <v>0</v>
      </c>
      <c r="FF43" s="5">
        <f t="shared" si="353"/>
        <v>1.8288790653637446</v>
      </c>
      <c r="FG43" s="5">
        <f t="shared" si="354"/>
        <v>0.17112093463625544</v>
      </c>
      <c r="FH43" s="44">
        <f t="shared" si="355"/>
        <v>2</v>
      </c>
      <c r="FI43" s="5">
        <f t="shared" si="356"/>
        <v>0.2365471289463375</v>
      </c>
      <c r="FJ43" s="5">
        <f t="shared" si="357"/>
        <v>0.12180558982675053</v>
      </c>
      <c r="FK43" s="44">
        <f t="shared" si="358"/>
        <v>0.35835271877308805</v>
      </c>
      <c r="FL43" s="1" t="str">
        <f t="shared" si="359"/>
        <v>Pass</v>
      </c>
      <c r="FM43" s="5">
        <f t="shared" si="360"/>
        <v>6.6550952128587415E-2</v>
      </c>
      <c r="FN43" s="1" t="str">
        <f t="shared" si="361"/>
        <v>Mg-Hbl</v>
      </c>
      <c r="FO43" s="5">
        <f t="shared" si="362"/>
        <v>8.1777666290543074</v>
      </c>
      <c r="FP43" s="5">
        <f t="shared" si="363"/>
        <v>1.1495544406489475</v>
      </c>
      <c r="FQ43" s="5">
        <f t="shared" si="364"/>
        <v>3.2278311516297178</v>
      </c>
      <c r="FR43" s="5">
        <f t="shared" si="365"/>
        <v>-1.5385707514926641</v>
      </c>
      <c r="FS43" s="1" t="str">
        <f t="shared" si="366"/>
        <v>YES</v>
      </c>
      <c r="FT43" s="32">
        <f t="shared" si="367"/>
        <v>802.17466666445011</v>
      </c>
      <c r="FU43" s="32">
        <f t="shared" si="368"/>
        <v>100.32733646653374</v>
      </c>
      <c r="FV43" s="46">
        <f t="shared" si="369"/>
        <v>1.2965544132792557</v>
      </c>
      <c r="FW43" s="47">
        <f t="shared" si="370"/>
        <v>-12.517612490420781</v>
      </c>
      <c r="FX43" s="46">
        <f t="shared" si="371"/>
        <v>4.2563535309657556</v>
      </c>
      <c r="FY43" s="50">
        <f t="shared" si="189"/>
        <v>106.58764950874438</v>
      </c>
      <c r="FZ43" s="32">
        <f t="shared" si="190"/>
        <v>107.00255190158073</v>
      </c>
      <c r="GA43" s="32">
        <f t="shared" si="191"/>
        <v>48.262117954882484</v>
      </c>
      <c r="GB43" s="32">
        <f t="shared" si="192"/>
        <v>-569.32201643578992</v>
      </c>
      <c r="GC43" s="32">
        <f t="shared" si="193"/>
        <v>320.86289748001519</v>
      </c>
      <c r="GD43" s="32">
        <f t="shared" si="194"/>
        <v>-676.32456833737069</v>
      </c>
      <c r="GE43" s="4">
        <f t="shared" si="195"/>
        <v>-2.0103196661043907</v>
      </c>
      <c r="GF43" s="32">
        <f t="shared" si="196"/>
        <v>107.00255190158073</v>
      </c>
      <c r="GG43" s="1">
        <f t="shared" si="197"/>
        <v>6.3933979044587943</v>
      </c>
      <c r="GH43" s="32">
        <f t="shared" si="198"/>
        <v>107.00255190158073</v>
      </c>
      <c r="GI43" s="32">
        <f t="shared" si="199"/>
        <v>782.96384497285896</v>
      </c>
      <c r="GJ43" s="46">
        <f t="shared" si="200"/>
        <v>1.3243800084389417</v>
      </c>
      <c r="GK43" s="46">
        <f t="shared" si="201"/>
        <v>76.169309601429234</v>
      </c>
      <c r="GL43" s="46">
        <f t="shared" si="202"/>
        <v>0.18021982655091143</v>
      </c>
      <c r="GM43" s="46">
        <f t="shared" si="203"/>
        <v>14.203839730750671</v>
      </c>
      <c r="GN43" s="46">
        <f t="shared" si="204"/>
        <v>0.68012040566751364</v>
      </c>
      <c r="GO43" s="46">
        <f t="shared" si="205"/>
        <v>-0.43501325628244525</v>
      </c>
      <c r="GP43" s="46">
        <f t="shared" si="206"/>
        <v>0.61318305863536793</v>
      </c>
      <c r="GQ43" s="46">
        <f t="shared" si="207"/>
        <v>5.6982957714733002</v>
      </c>
      <c r="GR43" s="46">
        <f t="shared" si="208"/>
        <v>5.2797595883958071</v>
      </c>
      <c r="GS43" s="46">
        <f t="shared" si="209"/>
        <v>102.38971472662035</v>
      </c>
      <c r="GU43" s="32">
        <f t="shared" si="372"/>
        <v>16128</v>
      </c>
      <c r="GV43" s="32">
        <f t="shared" si="373"/>
        <v>100.32733646653374</v>
      </c>
      <c r="GW43" s="32">
        <f t="shared" si="374"/>
        <v>802.17466666445011</v>
      </c>
      <c r="GX43" s="32">
        <f t="shared" si="375"/>
        <v>107.00255190158073</v>
      </c>
      <c r="GY43" s="32">
        <f t="shared" si="376"/>
        <v>782.96384497285896</v>
      </c>
    </row>
    <row r="44" spans="1:207">
      <c r="A44" s="35">
        <v>16129.999999999998</v>
      </c>
      <c r="B44" s="2" t="s">
        <v>186</v>
      </c>
      <c r="C44" s="36">
        <v>44.72</v>
      </c>
      <c r="D44" s="36">
        <v>1.8</v>
      </c>
      <c r="E44" s="36">
        <v>8.41</v>
      </c>
      <c r="F44" s="36"/>
      <c r="G44" s="36">
        <v>15.32</v>
      </c>
      <c r="H44" s="36">
        <v>12.46</v>
      </c>
      <c r="I44" s="36">
        <v>11.6</v>
      </c>
      <c r="J44" s="36">
        <v>0.42599999999999999</v>
      </c>
      <c r="K44" s="36">
        <v>1.7</v>
      </c>
      <c r="L44" s="36">
        <v>0.99039999999999995</v>
      </c>
      <c r="M44" s="36"/>
      <c r="N44" s="36">
        <v>0.12790000000000001</v>
      </c>
      <c r="O44" s="4">
        <f t="shared" si="210"/>
        <v>97.554299999999998</v>
      </c>
      <c r="P44" s="5">
        <f t="shared" si="211"/>
        <v>0.74428760924234783</v>
      </c>
      <c r="Q44" s="5">
        <f t="shared" si="212"/>
        <v>2.2537807171530245E-2</v>
      </c>
      <c r="R44" s="5">
        <f t="shared" si="213"/>
        <v>8.2482294552688809E-2</v>
      </c>
      <c r="S44" s="5">
        <f t="shared" si="214"/>
        <v>0</v>
      </c>
      <c r="T44" s="5">
        <f t="shared" si="215"/>
        <v>0.21323861010739878</v>
      </c>
      <c r="U44" s="5">
        <f t="shared" si="216"/>
        <v>0.30914738837447031</v>
      </c>
      <c r="V44" s="5">
        <f t="shared" si="217"/>
        <v>0.20685695128518794</v>
      </c>
      <c r="W44" s="5">
        <f t="shared" si="218"/>
        <v>6.0052906610724042E-3</v>
      </c>
      <c r="X44" s="5">
        <f t="shared" si="219"/>
        <v>2.742867173914236E-2</v>
      </c>
      <c r="Y44" s="5">
        <f t="shared" si="220"/>
        <v>1.0514246889464521E-2</v>
      </c>
      <c r="Z44" s="5">
        <f t="shared" si="221"/>
        <v>0</v>
      </c>
      <c r="AA44" s="5">
        <f t="shared" si="222"/>
        <v>3.6076236788735419E-3</v>
      </c>
      <c r="AB44" s="5">
        <f t="shared" si="223"/>
        <v>1.4885752184846957</v>
      </c>
      <c r="AC44" s="5">
        <f t="shared" si="224"/>
        <v>4.507561434306049E-2</v>
      </c>
      <c r="AD44" s="5">
        <f t="shared" si="225"/>
        <v>0.24744688365806644</v>
      </c>
      <c r="AE44" s="5">
        <f t="shared" si="226"/>
        <v>0</v>
      </c>
      <c r="AF44" s="5">
        <f t="shared" si="227"/>
        <v>0.21323861010739878</v>
      </c>
      <c r="AG44" s="5">
        <f t="shared" si="228"/>
        <v>0.30914738837447031</v>
      </c>
      <c r="AH44" s="5">
        <f t="shared" si="229"/>
        <v>0.20685695128518794</v>
      </c>
      <c r="AI44" s="5">
        <f t="shared" si="230"/>
        <v>6.0052906610724042E-3</v>
      </c>
      <c r="AJ44" s="5">
        <f t="shared" si="231"/>
        <v>2.742867173914236E-2</v>
      </c>
      <c r="AK44" s="5">
        <f t="shared" si="232"/>
        <v>1.0514246889464521E-2</v>
      </c>
      <c r="AL44" s="5">
        <f t="shared" si="233"/>
        <v>2.5542888755425595</v>
      </c>
      <c r="AM44" s="4">
        <f t="shared" si="234"/>
        <v>13.403820669216842</v>
      </c>
      <c r="AN44" s="4">
        <f t="shared" si="235"/>
        <v>0.40588170735785561</v>
      </c>
      <c r="AO44" s="4">
        <f t="shared" si="236"/>
        <v>2.2281263402232203</v>
      </c>
      <c r="AP44" s="4">
        <f t="shared" si="237"/>
        <v>0</v>
      </c>
      <c r="AQ44" s="4">
        <f t="shared" si="238"/>
        <v>1.9200992023380301</v>
      </c>
      <c r="AR44" s="4">
        <f t="shared" si="239"/>
        <v>2.7837062599673619</v>
      </c>
      <c r="AS44" s="4">
        <f t="shared" si="240"/>
        <v>1.8626357907731685</v>
      </c>
      <c r="AT44" s="4">
        <f t="shared" si="241"/>
        <v>5.4074418335054886E-2</v>
      </c>
      <c r="AU44" s="4">
        <f t="shared" si="242"/>
        <v>0.24698046334570234</v>
      </c>
      <c r="AV44" s="4">
        <f t="shared" si="243"/>
        <v>9.4675148442760648E-2</v>
      </c>
      <c r="AW44" s="4">
        <f t="shared" si="244"/>
        <v>22.999999999999996</v>
      </c>
      <c r="AX44" s="5">
        <f t="shared" si="245"/>
        <v>6.7019103346084208</v>
      </c>
      <c r="AY44" s="5">
        <f t="shared" si="246"/>
        <v>0.20294085367892781</v>
      </c>
      <c r="AZ44" s="5">
        <f t="shared" si="247"/>
        <v>1.4854175601488135</v>
      </c>
      <c r="BA44" s="5">
        <f t="shared" si="248"/>
        <v>0</v>
      </c>
      <c r="BB44" s="5">
        <f t="shared" si="249"/>
        <v>1.9200992023380301</v>
      </c>
      <c r="BC44" s="5">
        <f t="shared" si="250"/>
        <v>2.7837062599673619</v>
      </c>
      <c r="BD44" s="5">
        <f t="shared" si="251"/>
        <v>1.8626357907731685</v>
      </c>
      <c r="BE44" s="5">
        <f t="shared" si="252"/>
        <v>5.4074418335054886E-2</v>
      </c>
      <c r="BF44" s="5">
        <f t="shared" si="253"/>
        <v>0.49396092669140468</v>
      </c>
      <c r="BG44" s="5">
        <f t="shared" si="254"/>
        <v>0.1893502968855213</v>
      </c>
      <c r="BH44" s="5">
        <f t="shared" si="255"/>
        <v>0</v>
      </c>
      <c r="BI44" s="5">
        <f t="shared" si="256"/>
        <v>3.2484714398823264E-2</v>
      </c>
      <c r="BJ44" s="5">
        <f t="shared" si="257"/>
        <v>1.9675152856011768</v>
      </c>
      <c r="BK44" s="5">
        <f t="shared" si="258"/>
        <v>15.694095643426703</v>
      </c>
      <c r="BL44" s="11">
        <f t="shared" si="259"/>
        <v>1</v>
      </c>
      <c r="BM44" s="11">
        <f t="shared" si="260"/>
        <v>1</v>
      </c>
      <c r="BN44" s="11">
        <f t="shared" si="261"/>
        <v>0.99928155521069795</v>
      </c>
      <c r="BO44" s="11">
        <f t="shared" si="262"/>
        <v>1</v>
      </c>
      <c r="BP44" s="11">
        <f>1</f>
        <v>1</v>
      </c>
      <c r="BQ44" s="11">
        <f t="shared" si="263"/>
        <v>0.97711977617542456</v>
      </c>
      <c r="BR44" s="11">
        <f t="shared" si="264"/>
        <v>0.96744575062280658</v>
      </c>
      <c r="BS44" s="11">
        <f t="shared" si="265"/>
        <v>0.98112672467606299</v>
      </c>
      <c r="BT44" s="11">
        <f t="shared" si="266"/>
        <v>0.66188310571705133</v>
      </c>
      <c r="BU44" s="11">
        <f t="shared" si="267"/>
        <v>0.95825871299265153</v>
      </c>
      <c r="BV44" s="5">
        <f t="shared" si="268"/>
        <v>0.99928155521069795</v>
      </c>
      <c r="BW44" s="11">
        <f t="shared" si="269"/>
        <v>0.98112672467606299</v>
      </c>
      <c r="BX44" s="11">
        <f t="shared" si="270"/>
        <v>0.99020413994338052</v>
      </c>
      <c r="BY44" s="11">
        <f t="shared" si="271"/>
        <v>6.6362593588585845</v>
      </c>
      <c r="BZ44" s="11">
        <f t="shared" si="272"/>
        <v>0.20095287347651813</v>
      </c>
      <c r="CA44" s="11">
        <f t="shared" si="273"/>
        <v>1.4708666176039507</v>
      </c>
      <c r="CB44" s="11">
        <f t="shared" si="274"/>
        <v>0</v>
      </c>
      <c r="CC44" s="11">
        <f t="shared" si="275"/>
        <v>1.9012901792571</v>
      </c>
      <c r="CD44" s="11">
        <f t="shared" si="276"/>
        <v>2.756437463005986</v>
      </c>
      <c r="CE44" s="11">
        <f t="shared" si="277"/>
        <v>1.8443896712303038</v>
      </c>
      <c r="CF44" s="11">
        <f t="shared" si="278"/>
        <v>5.3544712900401588E-2</v>
      </c>
      <c r="CG44" s="11">
        <f t="shared" si="279"/>
        <v>0.48912215458009761</v>
      </c>
      <c r="CH44" s="11">
        <f t="shared" si="280"/>
        <v>0.18749544787555139</v>
      </c>
      <c r="CI44" s="11">
        <f t="shared" si="281"/>
        <v>15.540358478788493</v>
      </c>
      <c r="CJ44" s="11">
        <f t="shared" si="282"/>
        <v>0.45060956260449592</v>
      </c>
      <c r="CK44" s="11">
        <f t="shared" si="283"/>
        <v>1.4506806166526041</v>
      </c>
      <c r="CL44" s="13">
        <f t="shared" si="284"/>
        <v>1.9351205102541513E-2</v>
      </c>
      <c r="CN44" s="32">
        <f t="shared" si="285"/>
        <v>16129.999999999998</v>
      </c>
      <c r="CO44" s="12">
        <f t="shared" si="286"/>
        <v>0.65906483971464613</v>
      </c>
      <c r="CP44" s="12">
        <f t="shared" si="287"/>
        <v>0.34093516028535387</v>
      </c>
      <c r="CQ44" s="12">
        <f t="shared" si="288"/>
        <v>5.3562988231267816E-2</v>
      </c>
      <c r="CR44" s="12">
        <f t="shared" si="289"/>
        <v>0.18749544787555139</v>
      </c>
      <c r="CS44" s="14">
        <f t="shared" si="290"/>
        <v>0.45964152121150559</v>
      </c>
      <c r="CT44" s="14">
        <f t="shared" si="291"/>
        <v>0.35286303091294302</v>
      </c>
      <c r="CU44" s="14">
        <f t="shared" si="292"/>
        <v>6.8129561833577323E-2</v>
      </c>
      <c r="CV44" s="12">
        <f t="shared" si="293"/>
        <v>0.92219483561515192</v>
      </c>
      <c r="CW44" s="2" t="str">
        <f t="shared" si="84"/>
        <v>18aHP03.4</v>
      </c>
      <c r="CY44" s="5">
        <f t="shared" si="294"/>
        <v>13.148148629076609</v>
      </c>
      <c r="CZ44" s="5">
        <f t="shared" si="295"/>
        <v>6.6263956095869156</v>
      </c>
      <c r="DA44" s="5">
        <f t="shared" si="296"/>
        <v>0.20065418883322617</v>
      </c>
      <c r="DB44" s="5">
        <f t="shared" si="297"/>
        <v>1.4686804071586421</v>
      </c>
      <c r="DC44" s="5">
        <f t="shared" si="298"/>
        <v>0</v>
      </c>
      <c r="DD44" s="5">
        <f t="shared" si="299"/>
        <v>1.898464212306932</v>
      </c>
      <c r="DE44" s="5">
        <f t="shared" si="300"/>
        <v>2.7523404549555348</v>
      </c>
      <c r="DF44" s="5">
        <f t="shared" si="301"/>
        <v>1.84164827788015</v>
      </c>
      <c r="DG44" s="5">
        <f t="shared" si="302"/>
        <v>5.3465127158749098E-2</v>
      </c>
      <c r="DH44" s="5">
        <f t="shared" si="303"/>
        <v>0.48839515190658755</v>
      </c>
      <c r="DI44" s="5">
        <f t="shared" si="304"/>
        <v>0.187216765565621</v>
      </c>
      <c r="DJ44" s="5">
        <f t="shared" si="305"/>
        <v>0</v>
      </c>
      <c r="DK44" s="5">
        <f t="shared" si="306"/>
        <v>3.2118688273024228E-2</v>
      </c>
      <c r="DL44" s="5">
        <f t="shared" si="307"/>
        <v>1.945346028128343</v>
      </c>
      <c r="DM44" s="5">
        <f t="shared" si="308"/>
        <v>13</v>
      </c>
      <c r="DN44" s="5">
        <f t="shared" si="309"/>
        <v>15.010784419849777</v>
      </c>
      <c r="DO44" s="5">
        <f t="shared" si="310"/>
        <v>6.6970953820501524</v>
      </c>
      <c r="DP44" s="5">
        <f t="shared" si="311"/>
        <v>0.20279505188006566</v>
      </c>
      <c r="DQ44" s="5">
        <f t="shared" si="312"/>
        <v>1.4843503696427869</v>
      </c>
      <c r="DR44" s="5">
        <f t="shared" si="313"/>
        <v>0</v>
      </c>
      <c r="DS44" s="5">
        <f t="shared" si="314"/>
        <v>1.9187197170711674</v>
      </c>
      <c r="DT44" s="5">
        <f t="shared" si="315"/>
        <v>2.7817063207099411</v>
      </c>
      <c r="DU44" s="5">
        <f t="shared" si="316"/>
        <v>1.86129758979492</v>
      </c>
      <c r="DV44" s="5">
        <f t="shared" si="317"/>
        <v>5.4035568850967525E-2</v>
      </c>
      <c r="DW44" s="5">
        <f t="shared" si="318"/>
        <v>0.49360604303750444</v>
      </c>
      <c r="DX44" s="5">
        <f t="shared" si="319"/>
        <v>0.18921425915137111</v>
      </c>
      <c r="DY44" s="5">
        <f t="shared" si="320"/>
        <v>0</v>
      </c>
      <c r="DZ44" s="5">
        <f t="shared" si="321"/>
        <v>3.2461375925031462E-2</v>
      </c>
      <c r="EA44" s="5">
        <f t="shared" si="322"/>
        <v>1.9661017344963645</v>
      </c>
      <c r="EB44" s="5">
        <f t="shared" si="323"/>
        <v>15</v>
      </c>
      <c r="EC44" s="5">
        <f t="shared" si="324"/>
        <v>45.481688477231444</v>
      </c>
      <c r="ED44" s="1">
        <f t="shared" si="325"/>
        <v>6.6263956095869156</v>
      </c>
      <c r="EE44" s="5">
        <f t="shared" si="326"/>
        <v>0.20065418883322617</v>
      </c>
      <c r="EF44" s="5">
        <f t="shared" si="327"/>
        <v>1.4686804071586421</v>
      </c>
      <c r="EG44" s="5">
        <f t="shared" si="328"/>
        <v>0</v>
      </c>
      <c r="EH44" s="5">
        <f t="shared" si="329"/>
        <v>0.51831152276855619</v>
      </c>
      <c r="EI44" s="5">
        <f t="shared" si="330"/>
        <v>1.3801526895383758</v>
      </c>
      <c r="EJ44" s="5">
        <f t="shared" si="331"/>
        <v>2.7523404549555348</v>
      </c>
      <c r="EK44" s="5">
        <f t="shared" si="332"/>
        <v>1.84164827788015</v>
      </c>
      <c r="EL44" s="5">
        <f t="shared" si="333"/>
        <v>5.3465127158749098E-2</v>
      </c>
      <c r="EM44" s="5">
        <f t="shared" si="334"/>
        <v>0.48839515190658755</v>
      </c>
      <c r="EN44" s="5">
        <f t="shared" si="335"/>
        <v>0.187216765565621</v>
      </c>
      <c r="EO44" s="5">
        <f t="shared" si="336"/>
        <v>4.6483318169189038</v>
      </c>
      <c r="EP44" s="5">
        <f t="shared" si="337"/>
        <v>11.137391511865642</v>
      </c>
      <c r="EQ44" s="5">
        <f t="shared" si="338"/>
        <v>1.9667953962933014</v>
      </c>
      <c r="ER44" s="5">
        <f t="shared" si="339"/>
        <v>99.986818725077839</v>
      </c>
      <c r="ES44" s="5">
        <f t="shared" si="340"/>
        <v>6.6263956095869156</v>
      </c>
      <c r="ET44" s="5">
        <f t="shared" si="341"/>
        <v>1.3736043904130844</v>
      </c>
      <c r="EU44" s="5">
        <f t="shared" si="342"/>
        <v>0</v>
      </c>
      <c r="EV44" s="44">
        <f t="shared" si="343"/>
        <v>8</v>
      </c>
      <c r="EW44" s="5">
        <f t="shared" si="344"/>
        <v>9.5076016745557768E-2</v>
      </c>
      <c r="EX44" s="5">
        <f t="shared" si="345"/>
        <v>0.20065418883322617</v>
      </c>
      <c r="EY44" s="5">
        <f t="shared" si="346"/>
        <v>0</v>
      </c>
      <c r="EZ44" s="5">
        <f t="shared" si="347"/>
        <v>0.51831152276855619</v>
      </c>
      <c r="FA44" s="5">
        <f t="shared" si="348"/>
        <v>2.7523404549555348</v>
      </c>
      <c r="FB44" s="5">
        <f t="shared" si="349"/>
        <v>1.3801526895383758</v>
      </c>
      <c r="FC44" s="5">
        <f t="shared" si="350"/>
        <v>5.3465127158749098E-2</v>
      </c>
      <c r="FD44" s="44">
        <f t="shared" si="351"/>
        <v>5</v>
      </c>
      <c r="FE44" s="5">
        <f t="shared" si="352"/>
        <v>0</v>
      </c>
      <c r="FF44" s="5">
        <f t="shared" si="353"/>
        <v>1.84164827788015</v>
      </c>
      <c r="FG44" s="5">
        <f t="shared" si="354"/>
        <v>0.15835172211985005</v>
      </c>
      <c r="FH44" s="44">
        <f t="shared" si="355"/>
        <v>2</v>
      </c>
      <c r="FI44" s="5">
        <f t="shared" si="356"/>
        <v>0.33004342978673751</v>
      </c>
      <c r="FJ44" s="5">
        <f t="shared" si="357"/>
        <v>0.187216765565621</v>
      </c>
      <c r="FK44" s="44">
        <f t="shared" si="358"/>
        <v>0.51726019535235856</v>
      </c>
      <c r="FL44" s="1" t="str">
        <f t="shared" si="359"/>
        <v>Pass</v>
      </c>
      <c r="FM44" s="5">
        <f t="shared" si="360"/>
        <v>6.473567447494924E-2</v>
      </c>
      <c r="FN44" s="1" t="str">
        <f t="shared" si="361"/>
        <v>Mg-Hbl</v>
      </c>
      <c r="FO44" s="5">
        <f t="shared" si="362"/>
        <v>7.8186568319509258</v>
      </c>
      <c r="FP44" s="5">
        <f t="shared" si="363"/>
        <v>1.4686804071586421</v>
      </c>
      <c r="FQ44" s="5">
        <f t="shared" si="364"/>
        <v>2.8682709712308934</v>
      </c>
      <c r="FR44" s="5">
        <f t="shared" si="365"/>
        <v>-1.5522798008386887</v>
      </c>
      <c r="FS44" s="1" t="str">
        <f t="shared" si="366"/>
        <v>YES</v>
      </c>
      <c r="FT44" s="32">
        <f t="shared" si="367"/>
        <v>856.57513249825024</v>
      </c>
      <c r="FU44" s="32">
        <f t="shared" si="368"/>
        <v>158.75169973361798</v>
      </c>
      <c r="FV44" s="46">
        <f t="shared" si="369"/>
        <v>0.70543747670358847</v>
      </c>
      <c r="FW44" s="47">
        <f t="shared" si="370"/>
        <v>-11.991904939891823</v>
      </c>
      <c r="FX44" s="46">
        <f t="shared" si="371"/>
        <v>4.1848608386262374</v>
      </c>
      <c r="FY44" s="50">
        <f t="shared" si="189"/>
        <v>193.13803008229297</v>
      </c>
      <c r="FZ44" s="32">
        <f t="shared" si="190"/>
        <v>154.12381471269086</v>
      </c>
      <c r="GA44" s="32">
        <f t="shared" si="191"/>
        <v>177.41262814546502</v>
      </c>
      <c r="GB44" s="32">
        <f t="shared" si="192"/>
        <v>-169.70692585012455</v>
      </c>
      <c r="GC44" s="32">
        <f t="shared" si="193"/>
        <v>431.80565739076962</v>
      </c>
      <c r="GD44" s="32">
        <f t="shared" si="194"/>
        <v>-323.83074056281544</v>
      </c>
      <c r="GE44" s="4">
        <f t="shared" si="195"/>
        <v>-1.2357360547106351</v>
      </c>
      <c r="GF44" s="32">
        <f t="shared" si="196"/>
        <v>154.12381471269086</v>
      </c>
      <c r="GG44" s="1">
        <f t="shared" si="197"/>
        <v>104.37284207053064</v>
      </c>
      <c r="GH44" s="32">
        <f t="shared" si="198"/>
        <v>173.63092239749193</v>
      </c>
      <c r="GI44" s="32">
        <f t="shared" si="199"/>
        <v>833.89479622370231</v>
      </c>
      <c r="GJ44" s="46">
        <f t="shared" si="200"/>
        <v>1.6496343219541143</v>
      </c>
      <c r="GK44" s="46">
        <f t="shared" si="201"/>
        <v>77.218677541264782</v>
      </c>
      <c r="GL44" s="46">
        <f t="shared" si="202"/>
        <v>0.17840165134138755</v>
      </c>
      <c r="GM44" s="46">
        <f t="shared" si="203"/>
        <v>13.924715064162042</v>
      </c>
      <c r="GN44" s="46">
        <f t="shared" si="204"/>
        <v>0.94847962682571729</v>
      </c>
      <c r="GO44" s="46">
        <f t="shared" si="205"/>
        <v>-0.21099022547122653</v>
      </c>
      <c r="GP44" s="46">
        <f t="shared" si="206"/>
        <v>-0.51077286840719438</v>
      </c>
      <c r="GQ44" s="46">
        <f t="shared" si="207"/>
        <v>7.318710882649615</v>
      </c>
      <c r="GR44" s="46">
        <f t="shared" si="208"/>
        <v>5.6707880186844752</v>
      </c>
      <c r="GS44" s="46">
        <f t="shared" si="209"/>
        <v>104.53800969104961</v>
      </c>
      <c r="GU44" s="32">
        <f t="shared" si="372"/>
        <v>16129.999999999998</v>
      </c>
      <c r="GV44" s="32">
        <f t="shared" si="373"/>
        <v>158.75169973361798</v>
      </c>
      <c r="GW44" s="32">
        <f t="shared" si="374"/>
        <v>856.57513249825024</v>
      </c>
      <c r="GX44" s="32">
        <f t="shared" si="375"/>
        <v>173.63092239749193</v>
      </c>
      <c r="GY44" s="32">
        <f t="shared" si="376"/>
        <v>833.89479622370231</v>
      </c>
    </row>
    <row r="45" spans="1:207">
      <c r="A45" s="35">
        <v>16131</v>
      </c>
      <c r="B45" s="2" t="s">
        <v>187</v>
      </c>
      <c r="C45" s="36">
        <v>47.24</v>
      </c>
      <c r="D45" s="36">
        <v>1.3266</v>
      </c>
      <c r="E45" s="36">
        <v>6.99</v>
      </c>
      <c r="F45" s="36"/>
      <c r="G45" s="36">
        <v>14.64</v>
      </c>
      <c r="H45" s="36">
        <v>13.42</v>
      </c>
      <c r="I45" s="36">
        <v>11.55</v>
      </c>
      <c r="J45" s="36">
        <v>0.41980000000000001</v>
      </c>
      <c r="K45" s="36">
        <v>1.47</v>
      </c>
      <c r="L45" s="36">
        <v>0.77439999999999998</v>
      </c>
      <c r="M45" s="36"/>
      <c r="N45" s="36">
        <v>8.9300000000000004E-2</v>
      </c>
      <c r="O45" s="4">
        <f t="shared" si="210"/>
        <v>97.920099999999991</v>
      </c>
      <c r="P45" s="5">
        <f t="shared" si="211"/>
        <v>0.78622868203507412</v>
      </c>
      <c r="Q45" s="5">
        <f t="shared" si="212"/>
        <v>1.6610363885417791E-2</v>
      </c>
      <c r="R45" s="5">
        <f t="shared" si="213"/>
        <v>6.8555438635350158E-2</v>
      </c>
      <c r="S45" s="5">
        <f t="shared" si="214"/>
        <v>0</v>
      </c>
      <c r="T45" s="5">
        <f t="shared" si="215"/>
        <v>0.20377371096425054</v>
      </c>
      <c r="U45" s="5">
        <f t="shared" si="216"/>
        <v>0.33296612776768786</v>
      </c>
      <c r="V45" s="5">
        <f t="shared" si="217"/>
        <v>0.20596532649516561</v>
      </c>
      <c r="W45" s="5">
        <f t="shared" si="218"/>
        <v>5.9178897171788631E-3</v>
      </c>
      <c r="X45" s="5">
        <f t="shared" si="219"/>
        <v>2.3717733797964276E-2</v>
      </c>
      <c r="Y45" s="5">
        <f t="shared" si="220"/>
        <v>8.2211558877234702E-3</v>
      </c>
      <c r="Z45" s="5">
        <f t="shared" si="221"/>
        <v>0</v>
      </c>
      <c r="AA45" s="5">
        <f t="shared" si="222"/>
        <v>2.5188490580407134E-3</v>
      </c>
      <c r="AB45" s="5">
        <f t="shared" si="223"/>
        <v>1.5724573640701482</v>
      </c>
      <c r="AC45" s="5">
        <f t="shared" si="224"/>
        <v>3.3220727770835581E-2</v>
      </c>
      <c r="AD45" s="5">
        <f t="shared" si="225"/>
        <v>0.20566631590605047</v>
      </c>
      <c r="AE45" s="5">
        <f t="shared" si="226"/>
        <v>0</v>
      </c>
      <c r="AF45" s="5">
        <f t="shared" si="227"/>
        <v>0.20377371096425054</v>
      </c>
      <c r="AG45" s="5">
        <f t="shared" si="228"/>
        <v>0.33296612776768786</v>
      </c>
      <c r="AH45" s="5">
        <f t="shared" si="229"/>
        <v>0.20596532649516561</v>
      </c>
      <c r="AI45" s="5">
        <f t="shared" si="230"/>
        <v>5.9178897171788631E-3</v>
      </c>
      <c r="AJ45" s="5">
        <f t="shared" si="231"/>
        <v>2.3717733797964276E-2</v>
      </c>
      <c r="AK45" s="5">
        <f t="shared" si="232"/>
        <v>8.2211558877234702E-3</v>
      </c>
      <c r="AL45" s="5">
        <f t="shared" si="233"/>
        <v>2.5919063523770047</v>
      </c>
      <c r="AM45" s="4">
        <f t="shared" si="234"/>
        <v>13.953636612081123</v>
      </c>
      <c r="AN45" s="4">
        <f t="shared" si="235"/>
        <v>0.29479334314239136</v>
      </c>
      <c r="AO45" s="4">
        <f t="shared" si="236"/>
        <v>1.8250371050254339</v>
      </c>
      <c r="AP45" s="4">
        <f t="shared" si="237"/>
        <v>0</v>
      </c>
      <c r="AQ45" s="4">
        <f t="shared" si="238"/>
        <v>1.8082425500749908</v>
      </c>
      <c r="AR45" s="4">
        <f t="shared" si="239"/>
        <v>2.9546672979267026</v>
      </c>
      <c r="AS45" s="4">
        <f t="shared" si="240"/>
        <v>1.8276904584320264</v>
      </c>
      <c r="AT45" s="4">
        <f t="shared" si="241"/>
        <v>5.2514035999135442E-2</v>
      </c>
      <c r="AU45" s="4">
        <f t="shared" si="242"/>
        <v>0.21046589003993138</v>
      </c>
      <c r="AV45" s="4">
        <f t="shared" si="243"/>
        <v>7.2952707278266776E-2</v>
      </c>
      <c r="AW45" s="4">
        <f t="shared" si="244"/>
        <v>23</v>
      </c>
      <c r="AX45" s="5">
        <f t="shared" si="245"/>
        <v>6.9768183060405615</v>
      </c>
      <c r="AY45" s="5">
        <f t="shared" si="246"/>
        <v>0.14739667157119568</v>
      </c>
      <c r="AZ45" s="5">
        <f t="shared" si="247"/>
        <v>1.2166914033502894</v>
      </c>
      <c r="BA45" s="5">
        <f t="shared" si="248"/>
        <v>0</v>
      </c>
      <c r="BB45" s="5">
        <f t="shared" si="249"/>
        <v>1.8082425500749908</v>
      </c>
      <c r="BC45" s="5">
        <f t="shared" si="250"/>
        <v>2.9546672979267026</v>
      </c>
      <c r="BD45" s="5">
        <f t="shared" si="251"/>
        <v>1.8276904584320264</v>
      </c>
      <c r="BE45" s="5">
        <f t="shared" si="252"/>
        <v>5.2514035999135442E-2</v>
      </c>
      <c r="BF45" s="5">
        <f t="shared" si="253"/>
        <v>0.42093178007986276</v>
      </c>
      <c r="BG45" s="5">
        <f t="shared" si="254"/>
        <v>0.14590541455653355</v>
      </c>
      <c r="BH45" s="5">
        <f t="shared" si="255"/>
        <v>0</v>
      </c>
      <c r="BI45" s="5">
        <f t="shared" si="256"/>
        <v>2.2351705832969738E-2</v>
      </c>
      <c r="BJ45" s="5">
        <f t="shared" si="257"/>
        <v>1.9776482941670304</v>
      </c>
      <c r="BK45" s="5">
        <f t="shared" si="258"/>
        <v>15.550857918031298</v>
      </c>
      <c r="BL45" s="11">
        <f t="shared" si="259"/>
        <v>1</v>
      </c>
      <c r="BM45" s="11">
        <f t="shared" si="260"/>
        <v>1</v>
      </c>
      <c r="BN45" s="11">
        <f t="shared" si="261"/>
        <v>1</v>
      </c>
      <c r="BO45" s="11">
        <f t="shared" si="262"/>
        <v>1</v>
      </c>
      <c r="BP45" s="11">
        <f>1</f>
        <v>1</v>
      </c>
      <c r="BQ45" s="11">
        <f t="shared" si="263"/>
        <v>0.97638256177702909</v>
      </c>
      <c r="BR45" s="11">
        <f t="shared" si="264"/>
        <v>0.97371283660995245</v>
      </c>
      <c r="BS45" s="11">
        <f t="shared" si="265"/>
        <v>0.98051658328724722</v>
      </c>
      <c r="BT45" s="11">
        <f t="shared" si="266"/>
        <v>0.66248434922337529</v>
      </c>
      <c r="BU45" s="11">
        <f t="shared" si="267"/>
        <v>0.96069037934619583</v>
      </c>
      <c r="BV45" s="5">
        <f t="shared" si="268"/>
        <v>1</v>
      </c>
      <c r="BW45" s="11">
        <f t="shared" si="269"/>
        <v>0.98051658328724722</v>
      </c>
      <c r="BX45" s="11">
        <f t="shared" si="270"/>
        <v>0.99025829164362356</v>
      </c>
      <c r="BY45" s="11">
        <f t="shared" si="271"/>
        <v>6.9088521768476863</v>
      </c>
      <c r="BZ45" s="11">
        <f t="shared" si="272"/>
        <v>0.14596077618404849</v>
      </c>
      <c r="CA45" s="11">
        <f t="shared" si="273"/>
        <v>1.2048387505391405</v>
      </c>
      <c r="CB45" s="11">
        <f t="shared" si="274"/>
        <v>0</v>
      </c>
      <c r="CC45" s="11">
        <f t="shared" si="275"/>
        <v>1.7906271785145698</v>
      </c>
      <c r="CD45" s="11">
        <f t="shared" si="276"/>
        <v>2.925883790820178</v>
      </c>
      <c r="CE45" s="11">
        <f t="shared" si="277"/>
        <v>1.8098856310202496</v>
      </c>
      <c r="CF45" s="11">
        <f t="shared" si="278"/>
        <v>5.2002459575815611E-2</v>
      </c>
      <c r="CG45" s="11">
        <f t="shared" si="279"/>
        <v>0.41683118544039433</v>
      </c>
      <c r="CH45" s="11">
        <f t="shared" si="280"/>
        <v>0.14448404656030761</v>
      </c>
      <c r="CI45" s="11">
        <f t="shared" si="281"/>
        <v>15.399365995502389</v>
      </c>
      <c r="CJ45" s="11">
        <f t="shared" si="282"/>
        <v>0.44811858439331642</v>
      </c>
      <c r="CK45" s="11">
        <f t="shared" si="283"/>
        <v>1.3425085941212533</v>
      </c>
      <c r="CL45" s="13">
        <f t="shared" si="284"/>
        <v>2.8165132481438704E-2</v>
      </c>
      <c r="CN45" s="32">
        <f t="shared" si="285"/>
        <v>16131</v>
      </c>
      <c r="CO45" s="12">
        <f t="shared" si="286"/>
        <v>0.72721304421192157</v>
      </c>
      <c r="CP45" s="12">
        <f t="shared" si="287"/>
        <v>0.27278695578807843</v>
      </c>
      <c r="CQ45" s="12">
        <f t="shared" si="288"/>
        <v>5.6845463693413478E-2</v>
      </c>
      <c r="CR45" s="12">
        <f t="shared" si="289"/>
        <v>0.14448404656030761</v>
      </c>
      <c r="CS45" s="14">
        <f t="shared" si="290"/>
        <v>0.60063400449760973</v>
      </c>
      <c r="CT45" s="14">
        <f t="shared" si="291"/>
        <v>0.25488194894208238</v>
      </c>
      <c r="CU45" s="14">
        <f t="shared" si="292"/>
        <v>8.0974618249155861E-2</v>
      </c>
      <c r="CV45" s="12">
        <f t="shared" si="293"/>
        <v>0.90494281551012479</v>
      </c>
      <c r="CW45" s="2" t="str">
        <f t="shared" si="84"/>
        <v>18eHP02.1</v>
      </c>
      <c r="CY45" s="5">
        <f t="shared" si="294"/>
        <v>13.156330264962873</v>
      </c>
      <c r="CZ45" s="5">
        <f t="shared" si="295"/>
        <v>6.8939161720552358</v>
      </c>
      <c r="DA45" s="5">
        <f t="shared" si="296"/>
        <v>0.14564522871005559</v>
      </c>
      <c r="DB45" s="5">
        <f t="shared" si="297"/>
        <v>1.2022340519739452</v>
      </c>
      <c r="DC45" s="5">
        <f t="shared" si="298"/>
        <v>0</v>
      </c>
      <c r="DD45" s="5">
        <f t="shared" si="299"/>
        <v>1.7867560845274368</v>
      </c>
      <c r="DE45" s="5">
        <f t="shared" si="300"/>
        <v>2.9195584254478679</v>
      </c>
      <c r="DF45" s="5">
        <f t="shared" si="301"/>
        <v>1.8059729028612519</v>
      </c>
      <c r="DG45" s="5">
        <f t="shared" si="302"/>
        <v>5.189003728546087E-2</v>
      </c>
      <c r="DH45" s="5">
        <f t="shared" si="303"/>
        <v>0.41593005274511918</v>
      </c>
      <c r="DI45" s="5">
        <f t="shared" si="304"/>
        <v>0.14417169157620632</v>
      </c>
      <c r="DJ45" s="5">
        <f t="shared" si="305"/>
        <v>0</v>
      </c>
      <c r="DK45" s="5">
        <f t="shared" si="306"/>
        <v>2.2086111398589656E-2</v>
      </c>
      <c r="DL45" s="5">
        <f t="shared" si="307"/>
        <v>1.9541488626687304</v>
      </c>
      <c r="DM45" s="5">
        <f t="shared" si="308"/>
        <v>13.000000000000002</v>
      </c>
      <c r="DN45" s="5">
        <f t="shared" si="309"/>
        <v>14.984020723394901</v>
      </c>
      <c r="DO45" s="5">
        <f t="shared" si="310"/>
        <v>6.984258532638866</v>
      </c>
      <c r="DP45" s="5">
        <f t="shared" si="311"/>
        <v>0.14755385849913619</v>
      </c>
      <c r="DQ45" s="5">
        <f t="shared" si="312"/>
        <v>1.2179889087953284</v>
      </c>
      <c r="DR45" s="5">
        <f t="shared" si="313"/>
        <v>0</v>
      </c>
      <c r="DS45" s="5">
        <f t="shared" si="314"/>
        <v>1.8101708981739524</v>
      </c>
      <c r="DT45" s="5">
        <f t="shared" si="315"/>
        <v>2.9578182176231693</v>
      </c>
      <c r="DU45" s="5">
        <f t="shared" si="316"/>
        <v>1.8296395461917747</v>
      </c>
      <c r="DV45" s="5">
        <f t="shared" si="317"/>
        <v>5.2570038077774467E-2</v>
      </c>
      <c r="DW45" s="5">
        <f t="shared" si="318"/>
        <v>0.42138067063266821</v>
      </c>
      <c r="DX45" s="5">
        <f t="shared" si="319"/>
        <v>0.14606101117645418</v>
      </c>
      <c r="DY45" s="5">
        <f t="shared" si="320"/>
        <v>0</v>
      </c>
      <c r="DZ45" s="5">
        <f t="shared" si="321"/>
        <v>2.2375542164799096E-2</v>
      </c>
      <c r="EA45" s="5">
        <f t="shared" si="322"/>
        <v>1.9797573001343511</v>
      </c>
      <c r="EB45" s="5">
        <f t="shared" si="323"/>
        <v>15.000000000000002</v>
      </c>
      <c r="EC45" s="5">
        <f t="shared" si="324"/>
        <v>45.453404403548355</v>
      </c>
      <c r="ED45" s="1">
        <f t="shared" si="325"/>
        <v>6.8939161720552358</v>
      </c>
      <c r="EE45" s="5">
        <f t="shared" si="326"/>
        <v>0.14564522871005559</v>
      </c>
      <c r="EF45" s="5">
        <f t="shared" si="327"/>
        <v>1.2022340519739452</v>
      </c>
      <c r="EG45" s="5">
        <f t="shared" si="328"/>
        <v>0</v>
      </c>
      <c r="EH45" s="5">
        <f t="shared" si="329"/>
        <v>0.54659559645164535</v>
      </c>
      <c r="EI45" s="5">
        <f t="shared" si="330"/>
        <v>1.2401604880757915</v>
      </c>
      <c r="EJ45" s="5">
        <f t="shared" si="331"/>
        <v>2.9195584254478679</v>
      </c>
      <c r="EK45" s="5">
        <f t="shared" si="332"/>
        <v>1.8059729028612519</v>
      </c>
      <c r="EL45" s="5">
        <f t="shared" si="333"/>
        <v>5.189003728546087E-2</v>
      </c>
      <c r="EM45" s="5">
        <f t="shared" si="334"/>
        <v>0.41593005274511918</v>
      </c>
      <c r="EN45" s="5">
        <f t="shared" si="335"/>
        <v>0.14417169157620632</v>
      </c>
      <c r="EO45" s="5">
        <f t="shared" si="336"/>
        <v>4.9772773683015599</v>
      </c>
      <c r="EP45" s="5">
        <f t="shared" si="337"/>
        <v>10.161403508096347</v>
      </c>
      <c r="EQ45" s="5">
        <f t="shared" si="338"/>
        <v>2.0096223122277288</v>
      </c>
      <c r="ER45" s="5">
        <f t="shared" si="339"/>
        <v>100.42840318862562</v>
      </c>
      <c r="ES45" s="5">
        <f t="shared" si="340"/>
        <v>6.8939161720552358</v>
      </c>
      <c r="ET45" s="5">
        <f t="shared" si="341"/>
        <v>1.1060838279447642</v>
      </c>
      <c r="EU45" s="5">
        <f t="shared" si="342"/>
        <v>0</v>
      </c>
      <c r="EV45" s="44">
        <f t="shared" si="343"/>
        <v>8</v>
      </c>
      <c r="EW45" s="5">
        <f t="shared" si="344"/>
        <v>9.6150224029180942E-2</v>
      </c>
      <c r="EX45" s="5">
        <f t="shared" si="345"/>
        <v>0.14564522871005559</v>
      </c>
      <c r="EY45" s="5">
        <f t="shared" si="346"/>
        <v>0</v>
      </c>
      <c r="EZ45" s="5">
        <f t="shared" si="347"/>
        <v>0.54659559645164535</v>
      </c>
      <c r="FA45" s="5">
        <f t="shared" si="348"/>
        <v>2.9195584254478679</v>
      </c>
      <c r="FB45" s="5">
        <f t="shared" si="349"/>
        <v>1.2401604880757915</v>
      </c>
      <c r="FC45" s="5">
        <f t="shared" si="350"/>
        <v>5.189003728546087E-2</v>
      </c>
      <c r="FD45" s="44">
        <f t="shared" si="351"/>
        <v>5.0000000000000027</v>
      </c>
      <c r="FE45" s="5">
        <f t="shared" si="352"/>
        <v>0</v>
      </c>
      <c r="FF45" s="5">
        <f t="shared" si="353"/>
        <v>1.8059729028612519</v>
      </c>
      <c r="FG45" s="5">
        <f t="shared" si="354"/>
        <v>0.19402709713874811</v>
      </c>
      <c r="FH45" s="44">
        <f t="shared" si="355"/>
        <v>2</v>
      </c>
      <c r="FI45" s="5">
        <f t="shared" si="356"/>
        <v>0.22190295560637108</v>
      </c>
      <c r="FJ45" s="5">
        <f t="shared" si="357"/>
        <v>0.14417169157620632</v>
      </c>
      <c r="FK45" s="44">
        <f t="shared" si="358"/>
        <v>0.36607464718257743</v>
      </c>
      <c r="FL45" s="1" t="str">
        <f t="shared" si="359"/>
        <v>Pass</v>
      </c>
      <c r="FM45" s="5">
        <f t="shared" si="360"/>
        <v>7.9976294026368758E-2</v>
      </c>
      <c r="FN45" s="1" t="str">
        <f t="shared" si="361"/>
        <v>Mg-Hbl</v>
      </c>
      <c r="FO45" s="5">
        <f t="shared" si="362"/>
        <v>8.158768109181084</v>
      </c>
      <c r="FP45" s="5">
        <f t="shared" si="363"/>
        <v>1.2022340519739452</v>
      </c>
      <c r="FQ45" s="5">
        <f t="shared" si="364"/>
        <v>3.1496155623147608</v>
      </c>
      <c r="FR45" s="5">
        <f t="shared" si="365"/>
        <v>-1.5442312921849084</v>
      </c>
      <c r="FS45" s="1" t="str">
        <f t="shared" si="366"/>
        <v>YES</v>
      </c>
      <c r="FT45" s="32">
        <f t="shared" si="367"/>
        <v>805.05269544448515</v>
      </c>
      <c r="FU45" s="32">
        <f t="shared" si="368"/>
        <v>108.22273732194033</v>
      </c>
      <c r="FV45" s="46">
        <f t="shared" si="369"/>
        <v>1.1679679844454665</v>
      </c>
      <c r="FW45" s="47">
        <f t="shared" si="370"/>
        <v>-12.582208562178335</v>
      </c>
      <c r="FX45" s="46">
        <f t="shared" si="371"/>
        <v>4.2268338112557018</v>
      </c>
      <c r="FY45" s="50">
        <f t="shared" si="189"/>
        <v>117.21808031055753</v>
      </c>
      <c r="FZ45" s="32">
        <f t="shared" si="190"/>
        <v>112.86003089899447</v>
      </c>
      <c r="GA45" s="32">
        <f t="shared" si="191"/>
        <v>62.396680294499674</v>
      </c>
      <c r="GB45" s="32">
        <f t="shared" si="192"/>
        <v>-486.15318043649063</v>
      </c>
      <c r="GC45" s="32">
        <f t="shared" si="193"/>
        <v>337.42556545891841</v>
      </c>
      <c r="GD45" s="32">
        <f t="shared" si="194"/>
        <v>-599.01321133548504</v>
      </c>
      <c r="GE45" s="4">
        <f t="shared" si="195"/>
        <v>-1.8786136453091817</v>
      </c>
      <c r="GF45" s="32">
        <f t="shared" si="196"/>
        <v>112.86003089899447</v>
      </c>
      <c r="GG45" s="1">
        <f t="shared" si="197"/>
        <v>19.112241119098684</v>
      </c>
      <c r="GH45" s="32">
        <f t="shared" si="198"/>
        <v>112.86003089899447</v>
      </c>
      <c r="GI45" s="32">
        <f t="shared" si="199"/>
        <v>782.0113222176642</v>
      </c>
      <c r="GJ45" s="46">
        <f t="shared" si="200"/>
        <v>1.3371016334778725</v>
      </c>
      <c r="GK45" s="46">
        <f t="shared" si="201"/>
        <v>77.392656210386903</v>
      </c>
      <c r="GL45" s="46">
        <f t="shared" si="202"/>
        <v>0.1791807551616052</v>
      </c>
      <c r="GM45" s="46">
        <f t="shared" si="203"/>
        <v>13.402712253920877</v>
      </c>
      <c r="GN45" s="46">
        <f t="shared" si="204"/>
        <v>0.65045291675371208</v>
      </c>
      <c r="GO45" s="46">
        <f t="shared" si="205"/>
        <v>-0.57259389460816512</v>
      </c>
      <c r="GP45" s="46">
        <f t="shared" si="206"/>
        <v>0.38792021907038077</v>
      </c>
      <c r="GQ45" s="46">
        <f t="shared" si="207"/>
        <v>6.8301797248442293</v>
      </c>
      <c r="GR45" s="46">
        <f t="shared" si="208"/>
        <v>5.3811120262749128</v>
      </c>
      <c r="GS45" s="46">
        <f t="shared" si="209"/>
        <v>103.65162021180447</v>
      </c>
      <c r="GU45" s="32">
        <f t="shared" si="372"/>
        <v>16131</v>
      </c>
      <c r="GV45" s="32">
        <f t="shared" si="373"/>
        <v>108.22273732194033</v>
      </c>
      <c r="GW45" s="32">
        <f t="shared" si="374"/>
        <v>805.05269544448515</v>
      </c>
      <c r="GX45" s="32">
        <f t="shared" si="375"/>
        <v>112.86003089899447</v>
      </c>
      <c r="GY45" s="32">
        <f t="shared" si="376"/>
        <v>782.0113222176642</v>
      </c>
    </row>
    <row r="46" spans="1:207">
      <c r="A46" s="35">
        <v>16134</v>
      </c>
      <c r="B46" s="2" t="s">
        <v>188</v>
      </c>
      <c r="C46" s="36">
        <v>47.21</v>
      </c>
      <c r="D46" s="36">
        <v>1.3291999999999999</v>
      </c>
      <c r="E46" s="36">
        <v>7.12</v>
      </c>
      <c r="F46" s="36"/>
      <c r="G46" s="36">
        <v>14.33</v>
      </c>
      <c r="H46" s="36">
        <v>13.32</v>
      </c>
      <c r="I46" s="36">
        <v>11.41</v>
      </c>
      <c r="J46" s="36">
        <v>0.42559999999999998</v>
      </c>
      <c r="K46" s="36">
        <v>1.52</v>
      </c>
      <c r="L46" s="36">
        <v>0.80269999999999997</v>
      </c>
      <c r="M46" s="36"/>
      <c r="N46" s="36">
        <v>8.8700000000000001E-2</v>
      </c>
      <c r="O46" s="4">
        <f t="shared" si="210"/>
        <v>97.556200000000004</v>
      </c>
      <c r="P46" s="5">
        <f t="shared" si="211"/>
        <v>0.78572938354944644</v>
      </c>
      <c r="Q46" s="5">
        <f t="shared" si="212"/>
        <v>1.6642918495776666E-2</v>
      </c>
      <c r="R46" s="5">
        <f t="shared" si="213"/>
        <v>6.9830432486937488E-2</v>
      </c>
      <c r="S46" s="5">
        <f t="shared" si="214"/>
        <v>0</v>
      </c>
      <c r="T46" s="5">
        <f t="shared" si="215"/>
        <v>0.19945883047252119</v>
      </c>
      <c r="U46" s="5">
        <f t="shared" si="216"/>
        <v>0.3304850090808944</v>
      </c>
      <c r="V46" s="5">
        <f t="shared" si="217"/>
        <v>0.20346877708310299</v>
      </c>
      <c r="W46" s="5">
        <f t="shared" si="218"/>
        <v>5.9996518904986279E-3</v>
      </c>
      <c r="X46" s="5">
        <f t="shared" si="219"/>
        <v>2.4524459437350817E-2</v>
      </c>
      <c r="Y46" s="5">
        <f t="shared" si="220"/>
        <v>8.5215932735997289E-3</v>
      </c>
      <c r="Z46" s="5">
        <f t="shared" si="221"/>
        <v>0</v>
      </c>
      <c r="AA46" s="5">
        <f t="shared" si="222"/>
        <v>2.5019251002039336E-3</v>
      </c>
      <c r="AB46" s="5">
        <f t="shared" si="223"/>
        <v>1.5714587670988929</v>
      </c>
      <c r="AC46" s="5">
        <f t="shared" si="224"/>
        <v>3.3285836991553332E-2</v>
      </c>
      <c r="AD46" s="5">
        <f t="shared" si="225"/>
        <v>0.20949129746081246</v>
      </c>
      <c r="AE46" s="5">
        <f t="shared" si="226"/>
        <v>0</v>
      </c>
      <c r="AF46" s="5">
        <f t="shared" si="227"/>
        <v>0.19945883047252119</v>
      </c>
      <c r="AG46" s="5">
        <f t="shared" si="228"/>
        <v>0.3304850090808944</v>
      </c>
      <c r="AH46" s="5">
        <f t="shared" si="229"/>
        <v>0.20346877708310299</v>
      </c>
      <c r="AI46" s="5">
        <f t="shared" si="230"/>
        <v>5.9996518904986279E-3</v>
      </c>
      <c r="AJ46" s="5">
        <f t="shared" si="231"/>
        <v>2.4524459437350817E-2</v>
      </c>
      <c r="AK46" s="5">
        <f t="shared" si="232"/>
        <v>8.5215932735997289E-3</v>
      </c>
      <c r="AL46" s="5">
        <f t="shared" si="233"/>
        <v>2.5866942227892262</v>
      </c>
      <c r="AM46" s="4">
        <f t="shared" si="234"/>
        <v>13.972873687521144</v>
      </c>
      <c r="AN46" s="4">
        <f t="shared" si="235"/>
        <v>0.29596627388768421</v>
      </c>
      <c r="AO46" s="4">
        <f t="shared" si="236"/>
        <v>1.8627249402533266</v>
      </c>
      <c r="AP46" s="4">
        <f t="shared" si="237"/>
        <v>0</v>
      </c>
      <c r="AQ46" s="4">
        <f t="shared" si="238"/>
        <v>1.7735196763694936</v>
      </c>
      <c r="AR46" s="4">
        <f t="shared" si="239"/>
        <v>2.9385596263729479</v>
      </c>
      <c r="AS46" s="4">
        <f t="shared" si="240"/>
        <v>1.809174749640555</v>
      </c>
      <c r="AT46" s="4">
        <f t="shared" si="241"/>
        <v>5.3346851848871418E-2</v>
      </c>
      <c r="AU46" s="4">
        <f t="shared" si="242"/>
        <v>0.21806310235263968</v>
      </c>
      <c r="AV46" s="4">
        <f t="shared" si="243"/>
        <v>7.5771091753338765E-2</v>
      </c>
      <c r="AW46" s="4">
        <f t="shared" si="244"/>
        <v>23.000000000000004</v>
      </c>
      <c r="AX46" s="5">
        <f t="shared" si="245"/>
        <v>6.9864368437605719</v>
      </c>
      <c r="AY46" s="5">
        <f t="shared" si="246"/>
        <v>0.1479831369438421</v>
      </c>
      <c r="AZ46" s="5">
        <f t="shared" si="247"/>
        <v>1.2418166268355511</v>
      </c>
      <c r="BA46" s="5">
        <f t="shared" si="248"/>
        <v>0</v>
      </c>
      <c r="BB46" s="5">
        <f t="shared" si="249"/>
        <v>1.7735196763694936</v>
      </c>
      <c r="BC46" s="5">
        <f t="shared" si="250"/>
        <v>2.9385596263729479</v>
      </c>
      <c r="BD46" s="5">
        <f t="shared" si="251"/>
        <v>1.809174749640555</v>
      </c>
      <c r="BE46" s="5">
        <f t="shared" si="252"/>
        <v>5.3346851848871418E-2</v>
      </c>
      <c r="BF46" s="5">
        <f t="shared" si="253"/>
        <v>0.43612620470527935</v>
      </c>
      <c r="BG46" s="5">
        <f t="shared" si="254"/>
        <v>0.15154218350667753</v>
      </c>
      <c r="BH46" s="5">
        <f t="shared" si="255"/>
        <v>0</v>
      </c>
      <c r="BI46" s="5">
        <f t="shared" si="256"/>
        <v>2.2246261965452034E-2</v>
      </c>
      <c r="BJ46" s="5">
        <f t="shared" si="257"/>
        <v>1.977753738034548</v>
      </c>
      <c r="BK46" s="5">
        <f t="shared" si="258"/>
        <v>15.538505899983791</v>
      </c>
      <c r="BL46" s="11">
        <f t="shared" si="259"/>
        <v>1</v>
      </c>
      <c r="BM46" s="11">
        <f t="shared" si="260"/>
        <v>1</v>
      </c>
      <c r="BN46" s="11">
        <f t="shared" si="261"/>
        <v>1</v>
      </c>
      <c r="BO46" s="11">
        <f t="shared" si="262"/>
        <v>1</v>
      </c>
      <c r="BP46" s="11">
        <f>1</f>
        <v>1</v>
      </c>
      <c r="BQ46" s="11">
        <f t="shared" si="263"/>
        <v>0.9722597910465699</v>
      </c>
      <c r="BR46" s="11">
        <f t="shared" si="264"/>
        <v>0.97485119718175883</v>
      </c>
      <c r="BS46" s="11">
        <f t="shared" si="265"/>
        <v>0.98161094478640487</v>
      </c>
      <c r="BT46" s="11">
        <f t="shared" si="266"/>
        <v>0.66205390894978078</v>
      </c>
      <c r="BU46" s="11">
        <f t="shared" si="267"/>
        <v>0.96144522442675018</v>
      </c>
      <c r="BV46" s="5">
        <f t="shared" si="268"/>
        <v>1</v>
      </c>
      <c r="BW46" s="11">
        <f t="shared" si="269"/>
        <v>0.98161094478640487</v>
      </c>
      <c r="BX46" s="11">
        <f t="shared" si="270"/>
        <v>0.99080547239320249</v>
      </c>
      <c r="BY46" s="11">
        <f t="shared" si="271"/>
        <v>6.9221998573274677</v>
      </c>
      <c r="BZ46" s="11">
        <f t="shared" si="272"/>
        <v>0.14662250190587145</v>
      </c>
      <c r="CA46" s="11">
        <f t="shared" si="273"/>
        <v>1.2303987095775315</v>
      </c>
      <c r="CB46" s="11">
        <f t="shared" si="274"/>
        <v>0</v>
      </c>
      <c r="CC46" s="11">
        <f t="shared" si="275"/>
        <v>1.7572130007439157</v>
      </c>
      <c r="CD46" s="11">
        <f t="shared" si="276"/>
        <v>2.9115409587640411</v>
      </c>
      <c r="CE46" s="11">
        <f t="shared" si="277"/>
        <v>1.7925402424594639</v>
      </c>
      <c r="CF46" s="11">
        <f t="shared" si="278"/>
        <v>5.2856352746811233E-2</v>
      </c>
      <c r="CG46" s="11">
        <f t="shared" si="279"/>
        <v>0.43211623027606882</v>
      </c>
      <c r="CH46" s="11">
        <f t="shared" si="280"/>
        <v>0.150148824716831</v>
      </c>
      <c r="CI46" s="11">
        <f t="shared" si="281"/>
        <v>15.395636678518004</v>
      </c>
      <c r="CJ46" s="11">
        <f t="shared" si="282"/>
        <v>0.42294826991268542</v>
      </c>
      <c r="CK46" s="11">
        <f t="shared" si="283"/>
        <v>1.3342647308312303</v>
      </c>
      <c r="CL46" s="13">
        <f t="shared" si="284"/>
        <v>2.0831381065640642E-2</v>
      </c>
      <c r="CN46" s="32">
        <f t="shared" si="285"/>
        <v>16134</v>
      </c>
      <c r="CO46" s="12">
        <f t="shared" si="286"/>
        <v>0.73054996433186692</v>
      </c>
      <c r="CP46" s="12">
        <f t="shared" si="287"/>
        <v>0.26945003566813308</v>
      </c>
      <c r="CQ46" s="12">
        <f t="shared" si="288"/>
        <v>7.6299283452499367E-2</v>
      </c>
      <c r="CR46" s="12">
        <f t="shared" si="289"/>
        <v>0.150148824716831</v>
      </c>
      <c r="CS46" s="14">
        <f t="shared" si="290"/>
        <v>0.60436332148199567</v>
      </c>
      <c r="CT46" s="14">
        <f t="shared" si="291"/>
        <v>0.24548785380117355</v>
      </c>
      <c r="CU46" s="14">
        <f t="shared" si="292"/>
        <v>9.3314188237447748E-2</v>
      </c>
      <c r="CV46" s="12">
        <f t="shared" si="293"/>
        <v>0.89627012122973193</v>
      </c>
      <c r="CW46" s="2" t="str">
        <f t="shared" si="84"/>
        <v>18eHP02.4</v>
      </c>
      <c r="CY46" s="5">
        <f t="shared" si="294"/>
        <v>13.141662762131279</v>
      </c>
      <c r="CZ46" s="5">
        <f t="shared" si="295"/>
        <v>6.9111253737695133</v>
      </c>
      <c r="DA46" s="5">
        <f t="shared" si="296"/>
        <v>0.14638792785137289</v>
      </c>
      <c r="DB46" s="5">
        <f t="shared" si="297"/>
        <v>1.2284302558258646</v>
      </c>
      <c r="DC46" s="5">
        <f t="shared" si="298"/>
        <v>0</v>
      </c>
      <c r="DD46" s="5">
        <f t="shared" si="299"/>
        <v>1.754401722987472</v>
      </c>
      <c r="DE46" s="5">
        <f t="shared" si="300"/>
        <v>2.9068829290710658</v>
      </c>
      <c r="DF46" s="5">
        <f t="shared" si="301"/>
        <v>1.7896724464045617</v>
      </c>
      <c r="DG46" s="5">
        <f t="shared" si="302"/>
        <v>5.2771790494710355E-2</v>
      </c>
      <c r="DH46" s="5">
        <f t="shared" si="303"/>
        <v>0.43142490899295793</v>
      </c>
      <c r="DI46" s="5">
        <f t="shared" si="304"/>
        <v>0.14990860907370529</v>
      </c>
      <c r="DJ46" s="5">
        <f t="shared" si="305"/>
        <v>0</v>
      </c>
      <c r="DK46" s="5">
        <f t="shared" si="306"/>
        <v>2.2006454646228839E-2</v>
      </c>
      <c r="DL46" s="5">
        <f t="shared" si="307"/>
        <v>1.9564342092643545</v>
      </c>
      <c r="DM46" s="5">
        <f t="shared" si="308"/>
        <v>13</v>
      </c>
      <c r="DN46" s="5">
        <f t="shared" si="309"/>
        <v>14.950837511771834</v>
      </c>
      <c r="DO46" s="5">
        <f t="shared" si="310"/>
        <v>7.0094101801250241</v>
      </c>
      <c r="DP46" s="5">
        <f t="shared" si="311"/>
        <v>0.14846974642122024</v>
      </c>
      <c r="DQ46" s="5">
        <f t="shared" si="312"/>
        <v>1.2459000633152983</v>
      </c>
      <c r="DR46" s="5">
        <f t="shared" si="313"/>
        <v>0</v>
      </c>
      <c r="DS46" s="5">
        <f t="shared" si="314"/>
        <v>1.7793514995127313</v>
      </c>
      <c r="DT46" s="5">
        <f t="shared" si="315"/>
        <v>2.9482224230507645</v>
      </c>
      <c r="DU46" s="5">
        <f t="shared" si="316"/>
        <v>1.8151238165247259</v>
      </c>
      <c r="DV46" s="5">
        <f t="shared" si="317"/>
        <v>5.3522271050234875E-2</v>
      </c>
      <c r="DW46" s="5">
        <f t="shared" si="318"/>
        <v>0.43756030827224918</v>
      </c>
      <c r="DX46" s="5">
        <f t="shared" si="319"/>
        <v>0.15204049611336939</v>
      </c>
      <c r="DY46" s="5">
        <f t="shared" si="320"/>
        <v>0</v>
      </c>
      <c r="DZ46" s="5">
        <f t="shared" si="321"/>
        <v>2.231941382675319E-2</v>
      </c>
      <c r="EA46" s="5">
        <f t="shared" si="322"/>
        <v>1.9842571392512209</v>
      </c>
      <c r="EB46" s="5">
        <f t="shared" si="323"/>
        <v>14.999999999999998</v>
      </c>
      <c r="EC46" s="5">
        <f t="shared" si="324"/>
        <v>45.504135269943426</v>
      </c>
      <c r="ED46" s="1">
        <f t="shared" si="325"/>
        <v>6.9111253737695133</v>
      </c>
      <c r="EE46" s="5">
        <f t="shared" si="326"/>
        <v>0.14638792785137289</v>
      </c>
      <c r="EF46" s="5">
        <f t="shared" si="327"/>
        <v>1.2284302558258646</v>
      </c>
      <c r="EG46" s="5">
        <f t="shared" si="328"/>
        <v>0</v>
      </c>
      <c r="EH46" s="5">
        <f t="shared" si="329"/>
        <v>0.49586473005657439</v>
      </c>
      <c r="EI46" s="5">
        <f t="shared" si="330"/>
        <v>1.2585369929308976</v>
      </c>
      <c r="EJ46" s="5">
        <f t="shared" si="331"/>
        <v>2.9068829290710658</v>
      </c>
      <c r="EK46" s="5">
        <f t="shared" si="332"/>
        <v>1.7896724464045617</v>
      </c>
      <c r="EL46" s="5">
        <f t="shared" si="333"/>
        <v>5.2771790494710355E-2</v>
      </c>
      <c r="EM46" s="5">
        <f t="shared" si="334"/>
        <v>0.43142490899295793</v>
      </c>
      <c r="EN46" s="5">
        <f t="shared" si="335"/>
        <v>0.14990860907370529</v>
      </c>
      <c r="EO46" s="5">
        <f t="shared" si="336"/>
        <v>4.5012203304958893</v>
      </c>
      <c r="EP46" s="5">
        <f t="shared" si="337"/>
        <v>10.279763678064143</v>
      </c>
      <c r="EQ46" s="5">
        <f t="shared" si="338"/>
        <v>2.0101396469374531</v>
      </c>
      <c r="ER46" s="5">
        <f t="shared" si="339"/>
        <v>100.01732365549749</v>
      </c>
      <c r="ES46" s="5">
        <f t="shared" si="340"/>
        <v>6.9111253737695133</v>
      </c>
      <c r="ET46" s="5">
        <f t="shared" si="341"/>
        <v>1.0888746262304867</v>
      </c>
      <c r="EU46" s="5">
        <f t="shared" si="342"/>
        <v>0</v>
      </c>
      <c r="EV46" s="44">
        <f t="shared" si="343"/>
        <v>8</v>
      </c>
      <c r="EW46" s="5">
        <f t="shared" si="344"/>
        <v>0.13955562959537793</v>
      </c>
      <c r="EX46" s="5">
        <f t="shared" si="345"/>
        <v>0.14638792785137289</v>
      </c>
      <c r="EY46" s="5">
        <f t="shared" si="346"/>
        <v>0</v>
      </c>
      <c r="EZ46" s="5">
        <f t="shared" si="347"/>
        <v>0.49586473005657439</v>
      </c>
      <c r="FA46" s="5">
        <f t="shared" si="348"/>
        <v>2.9068829290710658</v>
      </c>
      <c r="FB46" s="5">
        <f t="shared" si="349"/>
        <v>1.2585369929308976</v>
      </c>
      <c r="FC46" s="5">
        <f t="shared" si="350"/>
        <v>5.2771790494710355E-2</v>
      </c>
      <c r="FD46" s="44">
        <f t="shared" si="351"/>
        <v>4.9999999999999991</v>
      </c>
      <c r="FE46" s="5">
        <f t="shared" si="352"/>
        <v>0</v>
      </c>
      <c r="FF46" s="5">
        <f t="shared" si="353"/>
        <v>1.7896724464045617</v>
      </c>
      <c r="FG46" s="5">
        <f t="shared" si="354"/>
        <v>0.21032755359543831</v>
      </c>
      <c r="FH46" s="44">
        <f t="shared" si="355"/>
        <v>2</v>
      </c>
      <c r="FI46" s="5">
        <f t="shared" si="356"/>
        <v>0.22109735539751962</v>
      </c>
      <c r="FJ46" s="5">
        <f t="shared" si="357"/>
        <v>0.14990860907370529</v>
      </c>
      <c r="FK46" s="44">
        <f t="shared" si="358"/>
        <v>0.37100596447122491</v>
      </c>
      <c r="FL46" s="1" t="str">
        <f t="shared" si="359"/>
        <v>Pass</v>
      </c>
      <c r="FM46" s="5">
        <f t="shared" si="360"/>
        <v>0.11360484564225887</v>
      </c>
      <c r="FN46" s="1" t="str">
        <f t="shared" si="361"/>
        <v>Mg-Hbl</v>
      </c>
      <c r="FO46" s="5">
        <f t="shared" si="362"/>
        <v>8.1593474502277701</v>
      </c>
      <c r="FP46" s="5">
        <f t="shared" si="363"/>
        <v>1.2284302558258646</v>
      </c>
      <c r="FQ46" s="5">
        <f t="shared" si="364"/>
        <v>3.1219244368640018</v>
      </c>
      <c r="FR46" s="5">
        <f t="shared" si="365"/>
        <v>-1.5252111510854858</v>
      </c>
      <c r="FS46" s="1" t="str">
        <f t="shared" si="366"/>
        <v>YES</v>
      </c>
      <c r="FT46" s="32">
        <f t="shared" si="367"/>
        <v>804.9649328073458</v>
      </c>
      <c r="FU46" s="32">
        <f t="shared" si="368"/>
        <v>112.37726261368233</v>
      </c>
      <c r="FV46" s="46">
        <f t="shared" si="369"/>
        <v>1.1224437742044184</v>
      </c>
      <c r="FW46" s="47">
        <f t="shared" si="370"/>
        <v>-12.627803650547614</v>
      </c>
      <c r="FX46" s="46">
        <f t="shared" si="371"/>
        <v>4.326023847089191</v>
      </c>
      <c r="FY46" s="50">
        <f t="shared" si="189"/>
        <v>129.99129781873503</v>
      </c>
      <c r="FZ46" s="32">
        <f t="shared" si="190"/>
        <v>118.21807111900176</v>
      </c>
      <c r="GA46" s="32">
        <f t="shared" si="191"/>
        <v>74.440998113330693</v>
      </c>
      <c r="GB46" s="32">
        <f t="shared" si="192"/>
        <v>-386.7262580181735</v>
      </c>
      <c r="GC46" s="32">
        <f t="shared" si="193"/>
        <v>381.64186310855251</v>
      </c>
      <c r="GD46" s="32">
        <f t="shared" si="194"/>
        <v>-504.94432913717526</v>
      </c>
      <c r="GE46" s="4">
        <f t="shared" si="195"/>
        <v>-1.9359031682315295</v>
      </c>
      <c r="GF46" s="32">
        <f t="shared" si="196"/>
        <v>118.21807111900176</v>
      </c>
      <c r="GG46" s="1">
        <f t="shared" si="197"/>
        <v>34.73456224510187</v>
      </c>
      <c r="GH46" s="32">
        <f t="shared" si="198"/>
        <v>118.21807111900176</v>
      </c>
      <c r="GI46" s="32">
        <f t="shared" si="199"/>
        <v>787.79278798401663</v>
      </c>
      <c r="GJ46" s="46">
        <f t="shared" si="200"/>
        <v>1.5574778622895895</v>
      </c>
      <c r="GK46" s="46">
        <f t="shared" si="201"/>
        <v>78.345918041413796</v>
      </c>
      <c r="GL46" s="46">
        <f t="shared" si="202"/>
        <v>0.1754411395675308</v>
      </c>
      <c r="GM46" s="46">
        <f t="shared" si="203"/>
        <v>13.010346570203945</v>
      </c>
      <c r="GN46" s="46">
        <f t="shared" si="204"/>
        <v>0.61740156251050138</v>
      </c>
      <c r="GO46" s="46">
        <f t="shared" si="205"/>
        <v>-0.6084241864425276</v>
      </c>
      <c r="GP46" s="46">
        <f t="shared" si="206"/>
        <v>0.17810778825684537</v>
      </c>
      <c r="GQ46" s="46">
        <f t="shared" si="207"/>
        <v>7.3724930412718264</v>
      </c>
      <c r="GR46" s="46">
        <f t="shared" si="208"/>
        <v>5.3218543141428816</v>
      </c>
      <c r="GS46" s="46">
        <f t="shared" si="209"/>
        <v>104.41313827092479</v>
      </c>
      <c r="GU46" s="32">
        <f t="shared" si="372"/>
        <v>16134</v>
      </c>
      <c r="GV46" s="32">
        <f t="shared" si="373"/>
        <v>112.37726261368233</v>
      </c>
      <c r="GW46" s="32">
        <f t="shared" si="374"/>
        <v>804.9649328073458</v>
      </c>
      <c r="GX46" s="32">
        <f t="shared" si="375"/>
        <v>118.21807111900176</v>
      </c>
      <c r="GY46" s="32">
        <f t="shared" si="376"/>
        <v>787.79278798401663</v>
      </c>
    </row>
    <row r="47" spans="1:207">
      <c r="A47" s="35">
        <v>16136</v>
      </c>
      <c r="B47" s="2" t="s">
        <v>189</v>
      </c>
      <c r="C47" s="36">
        <v>44.45</v>
      </c>
      <c r="D47" s="36">
        <v>1.7</v>
      </c>
      <c r="E47" s="36">
        <v>8.7100000000000009</v>
      </c>
      <c r="F47" s="36"/>
      <c r="G47" s="36">
        <v>16.059999999999999</v>
      </c>
      <c r="H47" s="36">
        <v>11.95</v>
      </c>
      <c r="I47" s="36">
        <v>11.57</v>
      </c>
      <c r="J47" s="36">
        <v>0.4249</v>
      </c>
      <c r="K47" s="36">
        <v>1.74</v>
      </c>
      <c r="L47" s="36">
        <v>1.0279</v>
      </c>
      <c r="M47" s="36"/>
      <c r="N47" s="36">
        <v>0.12790000000000001</v>
      </c>
      <c r="O47" s="4">
        <f t="shared" si="210"/>
        <v>97.760699999999986</v>
      </c>
      <c r="P47" s="5">
        <f t="shared" si="211"/>
        <v>0.73979392287169865</v>
      </c>
      <c r="Q47" s="5">
        <f t="shared" si="212"/>
        <v>2.1285706773111895E-2</v>
      </c>
      <c r="R47" s="5">
        <f t="shared" si="213"/>
        <v>8.5424588056351919E-2</v>
      </c>
      <c r="S47" s="5">
        <f t="shared" si="214"/>
        <v>0</v>
      </c>
      <c r="T47" s="5">
        <f t="shared" si="215"/>
        <v>0.22353864741023657</v>
      </c>
      <c r="U47" s="5">
        <f t="shared" si="216"/>
        <v>0.29649368307182339</v>
      </c>
      <c r="V47" s="5">
        <f t="shared" si="217"/>
        <v>0.20632197641117456</v>
      </c>
      <c r="W47" s="5">
        <f t="shared" si="218"/>
        <v>5.9897840419945178E-3</v>
      </c>
      <c r="X47" s="5">
        <f t="shared" si="219"/>
        <v>2.8074052250651592E-2</v>
      </c>
      <c r="Y47" s="5">
        <f t="shared" si="220"/>
        <v>1.0912352966155676E-2</v>
      </c>
      <c r="Z47" s="5">
        <f t="shared" si="221"/>
        <v>0</v>
      </c>
      <c r="AA47" s="5">
        <f t="shared" si="222"/>
        <v>3.6076236788735419E-3</v>
      </c>
      <c r="AB47" s="5">
        <f t="shared" si="223"/>
        <v>1.4795878457433973</v>
      </c>
      <c r="AC47" s="5">
        <f t="shared" si="224"/>
        <v>4.2571413546223791E-2</v>
      </c>
      <c r="AD47" s="5">
        <f t="shared" si="225"/>
        <v>0.25627376416905578</v>
      </c>
      <c r="AE47" s="5">
        <f t="shared" si="226"/>
        <v>0</v>
      </c>
      <c r="AF47" s="5">
        <f t="shared" si="227"/>
        <v>0.22353864741023657</v>
      </c>
      <c r="AG47" s="5">
        <f t="shared" si="228"/>
        <v>0.29649368307182339</v>
      </c>
      <c r="AH47" s="5">
        <f t="shared" si="229"/>
        <v>0.20632197641117456</v>
      </c>
      <c r="AI47" s="5">
        <f t="shared" si="230"/>
        <v>5.9897840419945178E-3</v>
      </c>
      <c r="AJ47" s="5">
        <f t="shared" si="231"/>
        <v>2.8074052250651592E-2</v>
      </c>
      <c r="AK47" s="5">
        <f t="shared" si="232"/>
        <v>1.0912352966155676E-2</v>
      </c>
      <c r="AL47" s="5">
        <f t="shared" si="233"/>
        <v>2.5497635196107131</v>
      </c>
      <c r="AM47" s="4">
        <f t="shared" si="234"/>
        <v>13.346539861584407</v>
      </c>
      <c r="AN47" s="4">
        <f t="shared" si="235"/>
        <v>0.38401306789134643</v>
      </c>
      <c r="AO47" s="4">
        <f t="shared" si="236"/>
        <v>2.3117032346545607</v>
      </c>
      <c r="AP47" s="4">
        <f t="shared" si="237"/>
        <v>0</v>
      </c>
      <c r="AQ47" s="4">
        <f t="shared" si="238"/>
        <v>2.0164179347975009</v>
      </c>
      <c r="AR47" s="4">
        <f t="shared" si="239"/>
        <v>2.6745047759147043</v>
      </c>
      <c r="AS47" s="4">
        <f t="shared" si="240"/>
        <v>1.8611159117146372</v>
      </c>
      <c r="AT47" s="4">
        <f t="shared" si="241"/>
        <v>5.4030513773648814E-2</v>
      </c>
      <c r="AU47" s="4">
        <f t="shared" si="242"/>
        <v>0.25324042672928737</v>
      </c>
      <c r="AV47" s="4">
        <f t="shared" si="243"/>
        <v>9.8434272939907669E-2</v>
      </c>
      <c r="AW47" s="4">
        <f t="shared" si="244"/>
        <v>23.000000000000007</v>
      </c>
      <c r="AX47" s="5">
        <f t="shared" si="245"/>
        <v>6.6732699307922037</v>
      </c>
      <c r="AY47" s="5">
        <f t="shared" si="246"/>
        <v>0.19200653394567321</v>
      </c>
      <c r="AZ47" s="5">
        <f t="shared" si="247"/>
        <v>1.5411354897697072</v>
      </c>
      <c r="BA47" s="5">
        <f t="shared" si="248"/>
        <v>0</v>
      </c>
      <c r="BB47" s="5">
        <f t="shared" si="249"/>
        <v>2.0164179347975009</v>
      </c>
      <c r="BC47" s="5">
        <f t="shared" si="250"/>
        <v>2.6745047759147043</v>
      </c>
      <c r="BD47" s="5">
        <f t="shared" si="251"/>
        <v>1.8611159117146372</v>
      </c>
      <c r="BE47" s="5">
        <f t="shared" si="252"/>
        <v>5.4030513773648814E-2</v>
      </c>
      <c r="BF47" s="5">
        <f t="shared" si="253"/>
        <v>0.50648085345857474</v>
      </c>
      <c r="BG47" s="5">
        <f t="shared" si="254"/>
        <v>0.19686854587981534</v>
      </c>
      <c r="BH47" s="5">
        <f t="shared" si="255"/>
        <v>0</v>
      </c>
      <c r="BI47" s="5">
        <f t="shared" si="256"/>
        <v>3.2542368723966909E-2</v>
      </c>
      <c r="BJ47" s="5">
        <f t="shared" si="257"/>
        <v>1.967457631276033</v>
      </c>
      <c r="BK47" s="5">
        <f t="shared" si="258"/>
        <v>15.715830490046464</v>
      </c>
      <c r="BL47" s="11">
        <f t="shared" si="259"/>
        <v>1</v>
      </c>
      <c r="BM47" s="11">
        <f t="shared" si="260"/>
        <v>1</v>
      </c>
      <c r="BN47" s="11">
        <f t="shared" si="261"/>
        <v>0.99916861905552701</v>
      </c>
      <c r="BO47" s="11">
        <f t="shared" si="262"/>
        <v>1</v>
      </c>
      <c r="BP47" s="11">
        <f>1</f>
        <v>1</v>
      </c>
      <c r="BQ47" s="11">
        <f t="shared" si="263"/>
        <v>0.97389885091071593</v>
      </c>
      <c r="BR47" s="11">
        <f t="shared" si="264"/>
        <v>0.966559493732007</v>
      </c>
      <c r="BS47" s="11">
        <f t="shared" si="265"/>
        <v>0.98088676152077803</v>
      </c>
      <c r="BT47" s="11">
        <f t="shared" si="266"/>
        <v>0.66168671497950882</v>
      </c>
      <c r="BU47" s="11">
        <f t="shared" si="267"/>
        <v>0.95616482750440213</v>
      </c>
      <c r="BV47" s="5">
        <f t="shared" si="268"/>
        <v>0.99916861905552701</v>
      </c>
      <c r="BW47" s="11">
        <f t="shared" si="269"/>
        <v>0.98088676152077803</v>
      </c>
      <c r="BX47" s="11">
        <f t="shared" si="270"/>
        <v>0.99002769028815252</v>
      </c>
      <c r="BY47" s="11">
        <f t="shared" si="271"/>
        <v>6.6067220162515845</v>
      </c>
      <c r="BZ47" s="11">
        <f t="shared" si="272"/>
        <v>0.19009178532246859</v>
      </c>
      <c r="CA47" s="11">
        <f t="shared" si="273"/>
        <v>1.5257668093578038</v>
      </c>
      <c r="CB47" s="11">
        <f t="shared" si="274"/>
        <v>0</v>
      </c>
      <c r="CC47" s="11">
        <f t="shared" si="275"/>
        <v>1.9963095906431763</v>
      </c>
      <c r="CD47" s="11">
        <f t="shared" si="276"/>
        <v>2.6478337859634675</v>
      </c>
      <c r="CE47" s="11">
        <f t="shared" si="277"/>
        <v>1.8425562874333714</v>
      </c>
      <c r="CF47" s="11">
        <f t="shared" si="278"/>
        <v>5.349170475640775E-2</v>
      </c>
      <c r="CG47" s="11">
        <f t="shared" si="279"/>
        <v>0.50143006952476499</v>
      </c>
      <c r="CH47" s="11">
        <f t="shared" si="280"/>
        <v>0.19490531176778075</v>
      </c>
      <c r="CI47" s="11">
        <f t="shared" si="281"/>
        <v>15.559107361020825</v>
      </c>
      <c r="CJ47" s="11">
        <f t="shared" si="282"/>
        <v>0.45872624674498419</v>
      </c>
      <c r="CK47" s="11">
        <f t="shared" si="283"/>
        <v>1.5375833438981921</v>
      </c>
      <c r="CL47" s="13">
        <f t="shared" si="284"/>
        <v>2.0215692294906162E-2</v>
      </c>
      <c r="CN47" s="32">
        <f t="shared" si="285"/>
        <v>16136</v>
      </c>
      <c r="CO47" s="12">
        <f t="shared" si="286"/>
        <v>0.65168050406289613</v>
      </c>
      <c r="CP47" s="12">
        <f t="shared" si="287"/>
        <v>0.34831949593710387</v>
      </c>
      <c r="CQ47" s="12">
        <f t="shared" si="288"/>
        <v>6.6244412804694619E-2</v>
      </c>
      <c r="CR47" s="12">
        <f t="shared" si="289"/>
        <v>0.19490531176778075</v>
      </c>
      <c r="CS47" s="14">
        <f t="shared" si="290"/>
        <v>0.44089263897917669</v>
      </c>
      <c r="CT47" s="14">
        <f t="shared" si="291"/>
        <v>0.36420204925304267</v>
      </c>
      <c r="CU47" s="14">
        <f t="shared" si="292"/>
        <v>6.8614010135861214E-2</v>
      </c>
      <c r="CV47" s="12">
        <f t="shared" si="293"/>
        <v>0.9212781437166857</v>
      </c>
      <c r="CW47" s="2" t="str">
        <f t="shared" si="84"/>
        <v>18eHP02.6</v>
      </c>
      <c r="CY47" s="5">
        <f t="shared" si="294"/>
        <v>13.151365178993437</v>
      </c>
      <c r="CZ47" s="5">
        <f t="shared" si="295"/>
        <v>6.5964641631933159</v>
      </c>
      <c r="DA47" s="5">
        <f t="shared" si="296"/>
        <v>0.18979664143770617</v>
      </c>
      <c r="DB47" s="5">
        <f t="shared" si="297"/>
        <v>1.5233978445832792</v>
      </c>
      <c r="DC47" s="5">
        <f t="shared" si="298"/>
        <v>0</v>
      </c>
      <c r="DD47" s="5">
        <f t="shared" si="299"/>
        <v>1.9932100428811759</v>
      </c>
      <c r="DE47" s="5">
        <f t="shared" si="300"/>
        <v>2.6437226564453313</v>
      </c>
      <c r="DF47" s="5">
        <f t="shared" si="301"/>
        <v>1.8396954630182396</v>
      </c>
      <c r="DG47" s="5">
        <f t="shared" si="302"/>
        <v>5.3408651459193511E-2</v>
      </c>
      <c r="DH47" s="5">
        <f t="shared" si="303"/>
        <v>0.50065152973460425</v>
      </c>
      <c r="DI47" s="5">
        <f t="shared" si="304"/>
        <v>0.1946026942150107</v>
      </c>
      <c r="DJ47" s="5">
        <f t="shared" si="305"/>
        <v>0</v>
      </c>
      <c r="DK47" s="5">
        <f t="shared" si="306"/>
        <v>3.2167823465757396E-2</v>
      </c>
      <c r="DL47" s="5">
        <f t="shared" si="307"/>
        <v>1.9448132462660432</v>
      </c>
      <c r="DM47" s="5">
        <f t="shared" si="308"/>
        <v>13</v>
      </c>
      <c r="DN47" s="5">
        <f t="shared" si="309"/>
        <v>15.012481090708075</v>
      </c>
      <c r="DO47" s="5">
        <f t="shared" si="310"/>
        <v>6.6677219013344189</v>
      </c>
      <c r="DP47" s="5">
        <f t="shared" si="311"/>
        <v>0.1918469033721365</v>
      </c>
      <c r="DQ47" s="5">
        <f t="shared" si="312"/>
        <v>1.5398542190906617</v>
      </c>
      <c r="DR47" s="5">
        <f t="shared" si="313"/>
        <v>0</v>
      </c>
      <c r="DS47" s="5">
        <f t="shared" si="314"/>
        <v>2.0147415233504167</v>
      </c>
      <c r="DT47" s="5">
        <f t="shared" si="315"/>
        <v>2.6722812436081069</v>
      </c>
      <c r="DU47" s="5">
        <f t="shared" si="316"/>
        <v>1.8595686154101823</v>
      </c>
      <c r="DV47" s="5">
        <f t="shared" si="317"/>
        <v>5.3985593834077326E-2</v>
      </c>
      <c r="DW47" s="5">
        <f t="shared" si="318"/>
        <v>0.50605977492826892</v>
      </c>
      <c r="DX47" s="5">
        <f t="shared" si="319"/>
        <v>0.19670487312220475</v>
      </c>
      <c r="DY47" s="5">
        <f t="shared" si="320"/>
        <v>0</v>
      </c>
      <c r="DZ47" s="5">
        <f t="shared" si="321"/>
        <v>3.2515313618721793E-2</v>
      </c>
      <c r="EA47" s="5">
        <f t="shared" si="322"/>
        <v>1.9658219244923323</v>
      </c>
      <c r="EB47" s="5">
        <f t="shared" si="323"/>
        <v>15</v>
      </c>
      <c r="EC47" s="5">
        <f t="shared" si="324"/>
        <v>45.47056460383142</v>
      </c>
      <c r="ED47" s="1">
        <f t="shared" si="325"/>
        <v>6.5964641631933159</v>
      </c>
      <c r="EE47" s="5">
        <f t="shared" si="326"/>
        <v>0.18979664143770617</v>
      </c>
      <c r="EF47" s="5">
        <f t="shared" si="327"/>
        <v>1.5233978445832792</v>
      </c>
      <c r="EG47" s="5">
        <f t="shared" si="328"/>
        <v>0</v>
      </c>
      <c r="EH47" s="5">
        <f t="shared" si="329"/>
        <v>0.52943539616858004</v>
      </c>
      <c r="EI47" s="5">
        <f t="shared" si="330"/>
        <v>1.4637746467125958</v>
      </c>
      <c r="EJ47" s="5">
        <f t="shared" si="331"/>
        <v>2.6437226564453313</v>
      </c>
      <c r="EK47" s="5">
        <f t="shared" si="332"/>
        <v>1.8396954630182396</v>
      </c>
      <c r="EL47" s="5">
        <f t="shared" si="333"/>
        <v>5.3408651459193511E-2</v>
      </c>
      <c r="EM47" s="5">
        <f t="shared" si="334"/>
        <v>0.50065152973460425</v>
      </c>
      <c r="EN47" s="5">
        <f t="shared" si="335"/>
        <v>0.1946026942150107</v>
      </c>
      <c r="EO47" s="5">
        <f t="shared" si="336"/>
        <v>4.7408406205055593</v>
      </c>
      <c r="EP47" s="5">
        <f t="shared" si="337"/>
        <v>11.794151303905364</v>
      </c>
      <c r="EQ47" s="5">
        <f t="shared" si="338"/>
        <v>1.9630314718763375</v>
      </c>
      <c r="ER47" s="5">
        <f t="shared" si="339"/>
        <v>100.19872339628728</v>
      </c>
      <c r="ES47" s="5">
        <f t="shared" si="340"/>
        <v>6.5964641631933159</v>
      </c>
      <c r="ET47" s="5">
        <f t="shared" si="341"/>
        <v>1.4035358368066841</v>
      </c>
      <c r="EU47" s="5">
        <f t="shared" si="342"/>
        <v>0</v>
      </c>
      <c r="EV47" s="44">
        <f t="shared" si="343"/>
        <v>8</v>
      </c>
      <c r="EW47" s="5">
        <f t="shared" si="344"/>
        <v>0.11986200777659506</v>
      </c>
      <c r="EX47" s="5">
        <f t="shared" si="345"/>
        <v>0.18979664143770617</v>
      </c>
      <c r="EY47" s="5">
        <f t="shared" si="346"/>
        <v>0</v>
      </c>
      <c r="EZ47" s="5">
        <f t="shared" si="347"/>
        <v>0.52943539616858004</v>
      </c>
      <c r="FA47" s="5">
        <f t="shared" si="348"/>
        <v>2.6437226564453313</v>
      </c>
      <c r="FB47" s="5">
        <f t="shared" si="349"/>
        <v>1.4637746467125958</v>
      </c>
      <c r="FC47" s="5">
        <f t="shared" si="350"/>
        <v>5.3408651459193511E-2</v>
      </c>
      <c r="FD47" s="44">
        <f t="shared" si="351"/>
        <v>5.0000000000000018</v>
      </c>
      <c r="FE47" s="5">
        <f t="shared" si="352"/>
        <v>0</v>
      </c>
      <c r="FF47" s="5">
        <f t="shared" si="353"/>
        <v>1.8396954630182396</v>
      </c>
      <c r="FG47" s="5">
        <f t="shared" si="354"/>
        <v>0.16030453698176039</v>
      </c>
      <c r="FH47" s="44">
        <f t="shared" si="355"/>
        <v>2</v>
      </c>
      <c r="FI47" s="5">
        <f t="shared" si="356"/>
        <v>0.34034699275284386</v>
      </c>
      <c r="FJ47" s="5">
        <f t="shared" si="357"/>
        <v>0.1946026942150107</v>
      </c>
      <c r="FK47" s="44">
        <f t="shared" si="358"/>
        <v>0.5349496869678545</v>
      </c>
      <c r="FL47" s="1" t="str">
        <f t="shared" si="359"/>
        <v>Pass</v>
      </c>
      <c r="FM47" s="5">
        <f t="shared" si="360"/>
        <v>7.8680699334573986E-2</v>
      </c>
      <c r="FN47" s="1" t="str">
        <f t="shared" si="361"/>
        <v>Mg-Hbl</v>
      </c>
      <c r="FO47" s="5">
        <f t="shared" si="362"/>
        <v>7.7994917706946749</v>
      </c>
      <c r="FP47" s="5">
        <f t="shared" si="363"/>
        <v>1.5233978445832792</v>
      </c>
      <c r="FQ47" s="5">
        <f t="shared" si="364"/>
        <v>2.7840204890047802</v>
      </c>
      <c r="FR47" s="5">
        <f t="shared" si="365"/>
        <v>-1.5069251124978187</v>
      </c>
      <c r="FS47" s="1" t="str">
        <f t="shared" si="366"/>
        <v>YES</v>
      </c>
      <c r="FT47" s="32">
        <f t="shared" si="367"/>
        <v>859.47839013277576</v>
      </c>
      <c r="FU47" s="32">
        <f t="shared" si="368"/>
        <v>171.74743898838918</v>
      </c>
      <c r="FV47" s="46">
        <f t="shared" si="369"/>
        <v>0.5669296839238589</v>
      </c>
      <c r="FW47" s="47">
        <f t="shared" si="370"/>
        <v>-12.069847382783905</v>
      </c>
      <c r="FX47" s="46">
        <f t="shared" si="371"/>
        <v>4.4213855383238752</v>
      </c>
      <c r="FY47" s="50">
        <f t="shared" si="189"/>
        <v>209.82243117472106</v>
      </c>
      <c r="FZ47" s="32">
        <f t="shared" si="190"/>
        <v>160.49214535498729</v>
      </c>
      <c r="GA47" s="32">
        <f t="shared" si="191"/>
        <v>189.61619922915514</v>
      </c>
      <c r="GB47" s="32">
        <f t="shared" si="192"/>
        <v>-108.26969389697427</v>
      </c>
      <c r="GC47" s="32">
        <f t="shared" si="193"/>
        <v>467.16234474189997</v>
      </c>
      <c r="GD47" s="32">
        <f t="shared" si="194"/>
        <v>-268.76183925196153</v>
      </c>
      <c r="GE47" s="4">
        <f t="shared" si="195"/>
        <v>-1.2264652169285446</v>
      </c>
      <c r="GF47" s="32">
        <f t="shared" si="196"/>
        <v>160.49214535498729</v>
      </c>
      <c r="GG47" s="1">
        <f t="shared" si="197"/>
        <v>123.14361509408435</v>
      </c>
      <c r="GH47" s="32">
        <f t="shared" si="198"/>
        <v>185.15728826485417</v>
      </c>
      <c r="GI47" s="32">
        <f t="shared" si="199"/>
        <v>831.75104610349013</v>
      </c>
      <c r="GJ47" s="46">
        <f t="shared" si="200"/>
        <v>1.6306921614743186</v>
      </c>
      <c r="GK47" s="46">
        <f t="shared" si="201"/>
        <v>77.484112279325799</v>
      </c>
      <c r="GL47" s="46">
        <f t="shared" si="202"/>
        <v>0.16150765276378853</v>
      </c>
      <c r="GM47" s="46">
        <f t="shared" si="203"/>
        <v>14.067422489770619</v>
      </c>
      <c r="GN47" s="46">
        <f t="shared" si="204"/>
        <v>0.92531132750879985</v>
      </c>
      <c r="GO47" s="46">
        <f t="shared" si="205"/>
        <v>-0.33402138422889482</v>
      </c>
      <c r="GP47" s="46">
        <f t="shared" si="206"/>
        <v>-0.74120172091489067</v>
      </c>
      <c r="GQ47" s="46">
        <f t="shared" si="207"/>
        <v>7.6993703310591322</v>
      </c>
      <c r="GR47" s="46">
        <f t="shared" si="208"/>
        <v>6.0380425467400958</v>
      </c>
      <c r="GS47" s="46">
        <f t="shared" si="209"/>
        <v>105.30054352202446</v>
      </c>
      <c r="GU47" s="32">
        <f t="shared" si="372"/>
        <v>16136</v>
      </c>
      <c r="GV47" s="32">
        <f t="shared" si="373"/>
        <v>171.74743898838918</v>
      </c>
      <c r="GW47" s="32">
        <f t="shared" si="374"/>
        <v>859.47839013277576</v>
      </c>
      <c r="GX47" s="32">
        <f t="shared" si="375"/>
        <v>185.15728826485417</v>
      </c>
      <c r="GY47" s="32">
        <f t="shared" si="376"/>
        <v>831.75104610349013</v>
      </c>
    </row>
    <row r="48" spans="1:207">
      <c r="A48" s="35">
        <v>16138.000000000002</v>
      </c>
      <c r="B48" s="2" t="s">
        <v>190</v>
      </c>
      <c r="C48" s="36">
        <v>48.42</v>
      </c>
      <c r="D48" s="36">
        <v>0.89339999999999997</v>
      </c>
      <c r="E48" s="36">
        <v>6.07</v>
      </c>
      <c r="F48" s="36"/>
      <c r="G48" s="36">
        <v>14.49</v>
      </c>
      <c r="H48" s="36">
        <v>13.75</v>
      </c>
      <c r="I48" s="36">
        <v>11.74</v>
      </c>
      <c r="J48" s="36">
        <v>0.41959999999999997</v>
      </c>
      <c r="K48" s="36">
        <v>1.2708999999999999</v>
      </c>
      <c r="L48" s="36">
        <v>0.61529999999999996</v>
      </c>
      <c r="M48" s="36"/>
      <c r="N48" s="36">
        <v>5.6099999999999997E-2</v>
      </c>
      <c r="O48" s="4">
        <f t="shared" si="210"/>
        <v>97.725300000000004</v>
      </c>
      <c r="P48" s="5">
        <f t="shared" si="211"/>
        <v>0.80586775580309666</v>
      </c>
      <c r="Q48" s="5">
        <f t="shared" si="212"/>
        <v>1.118626495946951E-2</v>
      </c>
      <c r="R48" s="5">
        <f t="shared" si="213"/>
        <v>5.9532405224116659E-2</v>
      </c>
      <c r="S48" s="5">
        <f t="shared" si="214"/>
        <v>0</v>
      </c>
      <c r="T48" s="5">
        <f t="shared" si="215"/>
        <v>0.20168586556502666</v>
      </c>
      <c r="U48" s="5">
        <f t="shared" si="216"/>
        <v>0.34115381943410644</v>
      </c>
      <c r="V48" s="5">
        <f t="shared" si="217"/>
        <v>0.20935350069725056</v>
      </c>
      <c r="W48" s="5">
        <f t="shared" si="218"/>
        <v>5.9150703318919737E-3</v>
      </c>
      <c r="X48" s="5">
        <f t="shared" si="219"/>
        <v>2.0505352301927071E-2</v>
      </c>
      <c r="Y48" s="5">
        <f t="shared" si="220"/>
        <v>6.5321245063484643E-3</v>
      </c>
      <c r="Z48" s="5">
        <f t="shared" si="221"/>
        <v>0</v>
      </c>
      <c r="AA48" s="5">
        <f t="shared" si="222"/>
        <v>1.5823900577389028E-3</v>
      </c>
      <c r="AB48" s="5">
        <f t="shared" si="223"/>
        <v>1.6117355116061933</v>
      </c>
      <c r="AC48" s="5">
        <f t="shared" si="224"/>
        <v>2.2372529918939021E-2</v>
      </c>
      <c r="AD48" s="5">
        <f t="shared" si="225"/>
        <v>0.17859721567234998</v>
      </c>
      <c r="AE48" s="5">
        <f t="shared" si="226"/>
        <v>0</v>
      </c>
      <c r="AF48" s="5">
        <f t="shared" si="227"/>
        <v>0.20168586556502666</v>
      </c>
      <c r="AG48" s="5">
        <f t="shared" si="228"/>
        <v>0.34115381943410644</v>
      </c>
      <c r="AH48" s="5">
        <f t="shared" si="229"/>
        <v>0.20935350069725056</v>
      </c>
      <c r="AI48" s="5">
        <f t="shared" si="230"/>
        <v>5.9150703318919737E-3</v>
      </c>
      <c r="AJ48" s="5">
        <f t="shared" si="231"/>
        <v>2.0505352301927071E-2</v>
      </c>
      <c r="AK48" s="5">
        <f t="shared" si="232"/>
        <v>6.5321245063484643E-3</v>
      </c>
      <c r="AL48" s="5">
        <f t="shared" si="233"/>
        <v>2.5978509900340332</v>
      </c>
      <c r="AM48" s="4">
        <f t="shared" si="234"/>
        <v>14.269454602727931</v>
      </c>
      <c r="AN48" s="4">
        <f t="shared" si="235"/>
        <v>0.19807455859077441</v>
      </c>
      <c r="AO48" s="4">
        <f t="shared" si="236"/>
        <v>1.5812053794548995</v>
      </c>
      <c r="AP48" s="4">
        <f t="shared" si="237"/>
        <v>0</v>
      </c>
      <c r="AQ48" s="4">
        <f t="shared" si="238"/>
        <v>1.7856200859060212</v>
      </c>
      <c r="AR48" s="4">
        <f t="shared" si="239"/>
        <v>3.0203956566737706</v>
      </c>
      <c r="AS48" s="4">
        <f t="shared" si="240"/>
        <v>1.8535052759025574</v>
      </c>
      <c r="AT48" s="4">
        <f t="shared" si="241"/>
        <v>5.2368907283528644E-2</v>
      </c>
      <c r="AU48" s="4">
        <f t="shared" si="242"/>
        <v>0.18154355455858695</v>
      </c>
      <c r="AV48" s="4">
        <f t="shared" si="243"/>
        <v>5.7831978901933277E-2</v>
      </c>
      <c r="AW48" s="4">
        <f t="shared" si="244"/>
        <v>23.000000000000004</v>
      </c>
      <c r="AX48" s="5">
        <f t="shared" si="245"/>
        <v>7.1347273013639656</v>
      </c>
      <c r="AY48" s="5">
        <f t="shared" si="246"/>
        <v>9.9037279295387207E-2</v>
      </c>
      <c r="AZ48" s="5">
        <f t="shared" si="247"/>
        <v>1.0541369196365997</v>
      </c>
      <c r="BA48" s="5">
        <f t="shared" si="248"/>
        <v>0</v>
      </c>
      <c r="BB48" s="5">
        <f t="shared" si="249"/>
        <v>1.7856200859060212</v>
      </c>
      <c r="BC48" s="5">
        <f t="shared" si="250"/>
        <v>3.0203956566737706</v>
      </c>
      <c r="BD48" s="5">
        <f t="shared" si="251"/>
        <v>1.8535052759025574</v>
      </c>
      <c r="BE48" s="5">
        <f t="shared" si="252"/>
        <v>5.2368907283528644E-2</v>
      </c>
      <c r="BF48" s="5">
        <f t="shared" si="253"/>
        <v>0.3630871091171739</v>
      </c>
      <c r="BG48" s="5">
        <f t="shared" si="254"/>
        <v>0.11566395780386655</v>
      </c>
      <c r="BH48" s="5">
        <f t="shared" si="255"/>
        <v>0</v>
      </c>
      <c r="BI48" s="5">
        <f t="shared" si="256"/>
        <v>1.4009645459887586E-2</v>
      </c>
      <c r="BJ48" s="5">
        <f t="shared" si="257"/>
        <v>1.9859903545401125</v>
      </c>
      <c r="BK48" s="5">
        <f t="shared" si="258"/>
        <v>15.47854249298287</v>
      </c>
      <c r="BL48" s="11">
        <f t="shared" si="259"/>
        <v>1</v>
      </c>
      <c r="BM48" s="11">
        <f t="shared" si="260"/>
        <v>1</v>
      </c>
      <c r="BN48" s="11">
        <f t="shared" si="261"/>
        <v>1</v>
      </c>
      <c r="BO48" s="11">
        <f t="shared" si="262"/>
        <v>1</v>
      </c>
      <c r="BP48" s="11">
        <f>1</f>
        <v>1</v>
      </c>
      <c r="BQ48" s="11">
        <f t="shared" si="263"/>
        <v>0.97693645713208699</v>
      </c>
      <c r="BR48" s="11">
        <f t="shared" si="264"/>
        <v>0.97637952195299471</v>
      </c>
      <c r="BS48" s="11">
        <f t="shared" si="265"/>
        <v>0.98126572422461023</v>
      </c>
      <c r="BT48" s="11">
        <f t="shared" si="266"/>
        <v>0.66313117665459487</v>
      </c>
      <c r="BU48" s="11">
        <f t="shared" si="267"/>
        <v>0.96118217204552125</v>
      </c>
      <c r="BV48" s="5">
        <f t="shared" si="268"/>
        <v>1</v>
      </c>
      <c r="BW48" s="11">
        <f t="shared" si="269"/>
        <v>0.98126572422461023</v>
      </c>
      <c r="BX48" s="11">
        <f t="shared" si="270"/>
        <v>0.99063286211230506</v>
      </c>
      <c r="BY48" s="11">
        <f t="shared" si="271"/>
        <v>7.0678953269409881</v>
      </c>
      <c r="BZ48" s="11">
        <f t="shared" si="272"/>
        <v>9.8109583444205159E-2</v>
      </c>
      <c r="CA48" s="11">
        <f t="shared" si="273"/>
        <v>1.0442626737578538</v>
      </c>
      <c r="CB48" s="11">
        <f t="shared" si="274"/>
        <v>0</v>
      </c>
      <c r="CC48" s="11">
        <f t="shared" si="275"/>
        <v>1.7688939363463019</v>
      </c>
      <c r="CD48" s="11">
        <f t="shared" si="276"/>
        <v>2.9921031940823126</v>
      </c>
      <c r="CE48" s="11">
        <f t="shared" si="277"/>
        <v>1.836143236407608</v>
      </c>
      <c r="CF48" s="11">
        <f t="shared" si="278"/>
        <v>5.1878360507975917E-2</v>
      </c>
      <c r="CG48" s="11">
        <f t="shared" si="279"/>
        <v>0.35968602210082878</v>
      </c>
      <c r="CH48" s="11">
        <f t="shared" si="280"/>
        <v>0.11458051756248121</v>
      </c>
      <c r="CI48" s="11">
        <f t="shared" si="281"/>
        <v>15.333552851150554</v>
      </c>
      <c r="CJ48" s="11">
        <f t="shared" si="282"/>
        <v>0.43088834283396737</v>
      </c>
      <c r="CK48" s="11">
        <f t="shared" si="283"/>
        <v>1.3380055935123345</v>
      </c>
      <c r="CL48" s="13">
        <f t="shared" si="284"/>
        <v>2.3143075079637754E-2</v>
      </c>
      <c r="CN48" s="32">
        <f t="shared" si="285"/>
        <v>16138.000000000002</v>
      </c>
      <c r="CO48" s="12">
        <f t="shared" si="286"/>
        <v>0.76697383173524702</v>
      </c>
      <c r="CP48" s="12">
        <f t="shared" si="287"/>
        <v>0.23302616826475298</v>
      </c>
      <c r="CQ48" s="12">
        <f t="shared" si="288"/>
        <v>5.6079000349420483E-2</v>
      </c>
      <c r="CR48" s="12">
        <f t="shared" si="289"/>
        <v>0.11458051756248121</v>
      </c>
      <c r="CS48" s="14">
        <f t="shared" si="290"/>
        <v>0.66644714884944423</v>
      </c>
      <c r="CT48" s="14">
        <f t="shared" si="291"/>
        <v>0.21897233358807444</v>
      </c>
      <c r="CU48" s="14">
        <f t="shared" si="292"/>
        <v>7.0356844256377116E-2</v>
      </c>
      <c r="CV48" s="12">
        <f t="shared" si="293"/>
        <v>0.91807161820380401</v>
      </c>
      <c r="CW48" s="2" t="str">
        <f t="shared" si="84"/>
        <v>18eHP03.1</v>
      </c>
      <c r="CY48" s="5">
        <f t="shared" si="294"/>
        <v>13.146286150159272</v>
      </c>
      <c r="CZ48" s="5">
        <f t="shared" si="295"/>
        <v>7.0553351614522581</v>
      </c>
      <c r="DA48" s="5">
        <f t="shared" si="296"/>
        <v>9.7935235558860495E-2</v>
      </c>
      <c r="DB48" s="5">
        <f t="shared" si="297"/>
        <v>1.0424069428239071</v>
      </c>
      <c r="DC48" s="5">
        <f t="shared" si="298"/>
        <v>0</v>
      </c>
      <c r="DD48" s="5">
        <f t="shared" si="299"/>
        <v>1.7657504828081838</v>
      </c>
      <c r="DE48" s="5">
        <f t="shared" si="300"/>
        <v>2.986786008479156</v>
      </c>
      <c r="DF48" s="5">
        <f t="shared" si="301"/>
        <v>1.8328802759584935</v>
      </c>
      <c r="DG48" s="5">
        <f t="shared" si="302"/>
        <v>5.1786168877635777E-2</v>
      </c>
      <c r="DH48" s="5">
        <f t="shared" si="303"/>
        <v>0.35904683380606889</v>
      </c>
      <c r="DI48" s="5">
        <f t="shared" si="304"/>
        <v>0.11437689962591055</v>
      </c>
      <c r="DJ48" s="5">
        <f t="shared" si="305"/>
        <v>0</v>
      </c>
      <c r="DK48" s="5">
        <f t="shared" si="306"/>
        <v>1.3853752223119842E-2</v>
      </c>
      <c r="DL48" s="5">
        <f t="shared" si="307"/>
        <v>1.9638911183071024</v>
      </c>
      <c r="DM48" s="5">
        <f t="shared" si="308"/>
        <v>13</v>
      </c>
      <c r="DN48" s="5">
        <f t="shared" si="309"/>
        <v>14.999791426061829</v>
      </c>
      <c r="DO48" s="5">
        <f t="shared" si="310"/>
        <v>7.1348265106215312</v>
      </c>
      <c r="DP48" s="5">
        <f t="shared" si="311"/>
        <v>9.903865642089392E-2</v>
      </c>
      <c r="DQ48" s="5">
        <f t="shared" si="312"/>
        <v>1.0541515775396635</v>
      </c>
      <c r="DR48" s="5">
        <f t="shared" si="313"/>
        <v>0</v>
      </c>
      <c r="DS48" s="5">
        <f t="shared" si="314"/>
        <v>1.7856449151721632</v>
      </c>
      <c r="DT48" s="5">
        <f t="shared" si="315"/>
        <v>3.0204376556455599</v>
      </c>
      <c r="DU48" s="5">
        <f t="shared" si="316"/>
        <v>1.8535310491205865</v>
      </c>
      <c r="DV48" s="5">
        <f t="shared" si="317"/>
        <v>5.2369635479602814E-2</v>
      </c>
      <c r="DW48" s="5">
        <f t="shared" si="318"/>
        <v>0.36309215788792654</v>
      </c>
      <c r="DX48" s="5">
        <f t="shared" si="319"/>
        <v>0.11566556612537572</v>
      </c>
      <c r="DY48" s="5">
        <f t="shared" si="320"/>
        <v>0</v>
      </c>
      <c r="DZ48" s="5">
        <f t="shared" si="321"/>
        <v>1.4009840265724743E-2</v>
      </c>
      <c r="EA48" s="5">
        <f t="shared" si="322"/>
        <v>1.9860179699793976</v>
      </c>
      <c r="EB48" s="5">
        <f t="shared" si="323"/>
        <v>15.000000000000002</v>
      </c>
      <c r="EC48" s="5">
        <f t="shared" si="324"/>
        <v>45.488132022195117</v>
      </c>
      <c r="ED48" s="1">
        <f t="shared" si="325"/>
        <v>7.0553351614522581</v>
      </c>
      <c r="EE48" s="5">
        <f t="shared" si="326"/>
        <v>9.7935235558860495E-2</v>
      </c>
      <c r="EF48" s="5">
        <f t="shared" si="327"/>
        <v>1.0424069428239071</v>
      </c>
      <c r="EG48" s="5">
        <f t="shared" si="328"/>
        <v>0</v>
      </c>
      <c r="EH48" s="5">
        <f t="shared" si="329"/>
        <v>0.51186797780488291</v>
      </c>
      <c r="EI48" s="5">
        <f t="shared" si="330"/>
        <v>1.2538825050033009</v>
      </c>
      <c r="EJ48" s="5">
        <f t="shared" si="331"/>
        <v>2.986786008479156</v>
      </c>
      <c r="EK48" s="5">
        <f t="shared" si="332"/>
        <v>1.8328802759584935</v>
      </c>
      <c r="EL48" s="5">
        <f t="shared" si="333"/>
        <v>5.1786168877635777E-2</v>
      </c>
      <c r="EM48" s="5">
        <f t="shared" si="334"/>
        <v>0.35904683380606889</v>
      </c>
      <c r="EN48" s="5">
        <f t="shared" si="335"/>
        <v>0.11437689962591055</v>
      </c>
      <c r="EO48" s="5">
        <f t="shared" si="336"/>
        <v>4.6681727667385946</v>
      </c>
      <c r="EP48" s="5">
        <f t="shared" si="337"/>
        <v>10.289538456533743</v>
      </c>
      <c r="EQ48" s="5">
        <f t="shared" si="338"/>
        <v>2.020601147803204</v>
      </c>
      <c r="ER48" s="5">
        <f t="shared" si="339"/>
        <v>100.21361237107556</v>
      </c>
      <c r="ES48" s="5">
        <f t="shared" si="340"/>
        <v>7.0553351614522581</v>
      </c>
      <c r="ET48" s="5">
        <f t="shared" si="341"/>
        <v>0.94466483854774186</v>
      </c>
      <c r="EU48" s="5">
        <f t="shared" si="342"/>
        <v>0</v>
      </c>
      <c r="EV48" s="44">
        <f t="shared" si="343"/>
        <v>8</v>
      </c>
      <c r="EW48" s="5">
        <f t="shared" si="344"/>
        <v>9.7742104276165254E-2</v>
      </c>
      <c r="EX48" s="5">
        <f t="shared" si="345"/>
        <v>9.7935235558860495E-2</v>
      </c>
      <c r="EY48" s="5">
        <f t="shared" si="346"/>
        <v>0</v>
      </c>
      <c r="EZ48" s="5">
        <f t="shared" si="347"/>
        <v>0.51186797780488291</v>
      </c>
      <c r="FA48" s="5">
        <f t="shared" si="348"/>
        <v>2.986786008479156</v>
      </c>
      <c r="FB48" s="5">
        <f t="shared" si="349"/>
        <v>1.2538825050033009</v>
      </c>
      <c r="FC48" s="5">
        <f t="shared" si="350"/>
        <v>5.1786168877635777E-2</v>
      </c>
      <c r="FD48" s="44">
        <f t="shared" si="351"/>
        <v>5.0000000000000018</v>
      </c>
      <c r="FE48" s="5">
        <f t="shared" si="352"/>
        <v>0</v>
      </c>
      <c r="FF48" s="5">
        <f t="shared" si="353"/>
        <v>1.8328802759584935</v>
      </c>
      <c r="FG48" s="5">
        <f t="shared" si="354"/>
        <v>0.16711972404150655</v>
      </c>
      <c r="FH48" s="44">
        <f t="shared" si="355"/>
        <v>2</v>
      </c>
      <c r="FI48" s="5">
        <f t="shared" si="356"/>
        <v>0.19192710976456234</v>
      </c>
      <c r="FJ48" s="5">
        <f t="shared" si="357"/>
        <v>0.11437689962591055</v>
      </c>
      <c r="FK48" s="44">
        <f t="shared" si="358"/>
        <v>0.30630400939047286</v>
      </c>
      <c r="FL48" s="1" t="str">
        <f t="shared" si="359"/>
        <v>Pass</v>
      </c>
      <c r="FM48" s="5">
        <f t="shared" si="360"/>
        <v>9.3765784033804866E-2</v>
      </c>
      <c r="FN48" s="1" t="str">
        <f t="shared" si="361"/>
        <v>Mg-Hbl</v>
      </c>
      <c r="FO48" s="5">
        <f t="shared" si="362"/>
        <v>8.350689802028878</v>
      </c>
      <c r="FP48" s="5">
        <f t="shared" si="363"/>
        <v>1.0424069428239071</v>
      </c>
      <c r="FQ48" s="5">
        <f t="shared" si="364"/>
        <v>3.2910286506318873</v>
      </c>
      <c r="FR48" s="5">
        <f t="shared" si="365"/>
        <v>-1.5082973924788283</v>
      </c>
      <c r="FS48" s="1" t="str">
        <f t="shared" si="366"/>
        <v>YES</v>
      </c>
      <c r="FT48" s="32">
        <f t="shared" si="367"/>
        <v>775.97905396005149</v>
      </c>
      <c r="FU48" s="32">
        <f t="shared" si="368"/>
        <v>86.001101386008472</v>
      </c>
      <c r="FV48" s="46">
        <f t="shared" si="369"/>
        <v>1.400451101638823</v>
      </c>
      <c r="FW48" s="47">
        <f t="shared" si="370"/>
        <v>-12.987238336206161</v>
      </c>
      <c r="FX48" s="46">
        <f t="shared" si="371"/>
        <v>4.4142290982229095</v>
      </c>
      <c r="FY48" s="50">
        <f t="shared" si="189"/>
        <v>77.237403821384547</v>
      </c>
      <c r="FZ48" s="32">
        <f t="shared" si="190"/>
        <v>89.742722736493846</v>
      </c>
      <c r="GA48" s="32">
        <f t="shared" si="191"/>
        <v>-18.22333436803795</v>
      </c>
      <c r="GB48" s="32">
        <f t="shared" si="192"/>
        <v>-761.04051580858481</v>
      </c>
      <c r="GC48" s="32">
        <f t="shared" si="193"/>
        <v>287.32015362267686</v>
      </c>
      <c r="GD48" s="32">
        <f t="shared" si="194"/>
        <v>-850.78323854507869</v>
      </c>
      <c r="GE48" s="4">
        <f t="shared" si="195"/>
        <v>-2.7199613064043353</v>
      </c>
      <c r="GF48" s="32">
        <f t="shared" si="196"/>
        <v>89.742722736493846</v>
      </c>
      <c r="GG48" s="1">
        <f t="shared" si="197"/>
        <v>30.251702321300471</v>
      </c>
      <c r="GH48" s="32">
        <f t="shared" si="198"/>
        <v>89.742722736493846</v>
      </c>
      <c r="GI48" s="32">
        <f t="shared" si="199"/>
        <v>738.00623688703899</v>
      </c>
      <c r="GJ48" s="46">
        <f t="shared" si="200"/>
        <v>1.042188149609302</v>
      </c>
      <c r="GK48" s="46">
        <f t="shared" si="201"/>
        <v>71.926913548348665</v>
      </c>
      <c r="GL48" s="46">
        <f t="shared" si="202"/>
        <v>0.14900540683296942</v>
      </c>
      <c r="GM48" s="46">
        <f t="shared" si="203"/>
        <v>33.779489896143403</v>
      </c>
      <c r="GN48" s="46">
        <f t="shared" si="204"/>
        <v>0.51548757291953162</v>
      </c>
      <c r="GO48" s="46">
        <f t="shared" si="205"/>
        <v>-0.7878406860429682</v>
      </c>
      <c r="GP48" s="46">
        <f t="shared" si="206"/>
        <v>0.77046698518020307</v>
      </c>
      <c r="GQ48" s="46">
        <f t="shared" si="207"/>
        <v>6.0342760007373668</v>
      </c>
      <c r="GR48" s="46">
        <f t="shared" si="208"/>
        <v>5.8112188200334804</v>
      </c>
      <c r="GS48" s="46">
        <f t="shared" si="209"/>
        <v>118.19901754415264</v>
      </c>
      <c r="GU48" s="32">
        <f t="shared" si="372"/>
        <v>16138.000000000002</v>
      </c>
      <c r="GV48" s="32">
        <f t="shared" si="373"/>
        <v>86.001101386008472</v>
      </c>
      <c r="GW48" s="32">
        <f t="shared" si="374"/>
        <v>775.97905396005149</v>
      </c>
      <c r="GX48" s="32">
        <f t="shared" si="375"/>
        <v>89.742722736493846</v>
      </c>
      <c r="GY48" s="32">
        <f t="shared" si="376"/>
        <v>738.00623688703899</v>
      </c>
    </row>
    <row r="49" spans="1:207">
      <c r="A49" s="35">
        <v>16140</v>
      </c>
      <c r="B49" s="2" t="s">
        <v>191</v>
      </c>
      <c r="C49" s="36">
        <v>47.64</v>
      </c>
      <c r="D49" s="36">
        <v>0.94599999999999995</v>
      </c>
      <c r="E49" s="36">
        <v>6.58</v>
      </c>
      <c r="F49" s="36"/>
      <c r="G49" s="36">
        <v>14.9</v>
      </c>
      <c r="H49" s="36">
        <v>13.42</v>
      </c>
      <c r="I49" s="36">
        <v>11.74</v>
      </c>
      <c r="J49" s="36">
        <v>0.3921</v>
      </c>
      <c r="K49" s="36">
        <v>1.39</v>
      </c>
      <c r="L49" s="36">
        <v>0.66239999999999999</v>
      </c>
      <c r="M49" s="36"/>
      <c r="N49" s="36">
        <v>5.57E-2</v>
      </c>
      <c r="O49" s="4">
        <f t="shared" si="210"/>
        <v>97.726200000000006</v>
      </c>
      <c r="P49" s="5">
        <f t="shared" si="211"/>
        <v>0.7928859951767766</v>
      </c>
      <c r="Q49" s="5">
        <f t="shared" si="212"/>
        <v>1.184486976903756E-2</v>
      </c>
      <c r="R49" s="5">
        <f t="shared" si="213"/>
        <v>6.4534304180343921E-2</v>
      </c>
      <c r="S49" s="5">
        <f t="shared" si="214"/>
        <v>0</v>
      </c>
      <c r="T49" s="5">
        <f t="shared" si="215"/>
        <v>0.20739264298957194</v>
      </c>
      <c r="U49" s="5">
        <f t="shared" si="216"/>
        <v>0.33296612776768786</v>
      </c>
      <c r="V49" s="5">
        <f t="shared" si="217"/>
        <v>0.20935350069725056</v>
      </c>
      <c r="W49" s="5">
        <f t="shared" si="218"/>
        <v>5.5274048549448116E-3</v>
      </c>
      <c r="X49" s="5">
        <f t="shared" si="219"/>
        <v>2.2426972774945809E-2</v>
      </c>
      <c r="Y49" s="5">
        <f t="shared" si="220"/>
        <v>7.0321457386725555E-3</v>
      </c>
      <c r="Z49" s="5">
        <f t="shared" si="221"/>
        <v>0</v>
      </c>
      <c r="AA49" s="5">
        <f t="shared" si="222"/>
        <v>1.5711074191810497E-3</v>
      </c>
      <c r="AB49" s="5">
        <f t="shared" si="223"/>
        <v>1.5857719903535532</v>
      </c>
      <c r="AC49" s="5">
        <f t="shared" si="224"/>
        <v>2.3689739538075121E-2</v>
      </c>
      <c r="AD49" s="5">
        <f t="shared" si="225"/>
        <v>0.19360291254103176</v>
      </c>
      <c r="AE49" s="5">
        <f t="shared" si="226"/>
        <v>0</v>
      </c>
      <c r="AF49" s="5">
        <f t="shared" si="227"/>
        <v>0.20739264298957194</v>
      </c>
      <c r="AG49" s="5">
        <f t="shared" si="228"/>
        <v>0.33296612776768786</v>
      </c>
      <c r="AH49" s="5">
        <f t="shared" si="229"/>
        <v>0.20935350069725056</v>
      </c>
      <c r="AI49" s="5">
        <f t="shared" si="230"/>
        <v>5.5274048549448116E-3</v>
      </c>
      <c r="AJ49" s="5">
        <f t="shared" si="231"/>
        <v>2.2426972774945809E-2</v>
      </c>
      <c r="AK49" s="5">
        <f t="shared" si="232"/>
        <v>7.0321457386725555E-3</v>
      </c>
      <c r="AL49" s="5">
        <f t="shared" si="233"/>
        <v>2.5877634372557332</v>
      </c>
      <c r="AM49" s="4">
        <f t="shared" si="234"/>
        <v>14.094316061907996</v>
      </c>
      <c r="AN49" s="4">
        <f t="shared" si="235"/>
        <v>0.2105540257395182</v>
      </c>
      <c r="AO49" s="4">
        <f t="shared" si="236"/>
        <v>1.7207395870643798</v>
      </c>
      <c r="AP49" s="4">
        <f t="shared" si="237"/>
        <v>0</v>
      </c>
      <c r="AQ49" s="4">
        <f t="shared" si="238"/>
        <v>1.843302490516161</v>
      </c>
      <c r="AR49" s="4">
        <f t="shared" si="239"/>
        <v>2.9593976127810961</v>
      </c>
      <c r="AS49" s="4">
        <f t="shared" si="240"/>
        <v>1.8607305624284975</v>
      </c>
      <c r="AT49" s="4">
        <f t="shared" si="241"/>
        <v>4.9127485856492972E-2</v>
      </c>
      <c r="AU49" s="4">
        <f t="shared" si="242"/>
        <v>0.19933057496583606</v>
      </c>
      <c r="AV49" s="4">
        <f t="shared" si="243"/>
        <v>6.2501598740026199E-2</v>
      </c>
      <c r="AW49" s="4">
        <f t="shared" si="244"/>
        <v>23.000000000000004</v>
      </c>
      <c r="AX49" s="5">
        <f t="shared" si="245"/>
        <v>7.0471580309539981</v>
      </c>
      <c r="AY49" s="5">
        <f t="shared" si="246"/>
        <v>0.1052770128697591</v>
      </c>
      <c r="AZ49" s="5">
        <f t="shared" si="247"/>
        <v>1.1471597247095866</v>
      </c>
      <c r="BA49" s="5">
        <f t="shared" si="248"/>
        <v>0</v>
      </c>
      <c r="BB49" s="5">
        <f t="shared" si="249"/>
        <v>1.843302490516161</v>
      </c>
      <c r="BC49" s="5">
        <f t="shared" si="250"/>
        <v>2.9593976127810961</v>
      </c>
      <c r="BD49" s="5">
        <f t="shared" si="251"/>
        <v>1.8607305624284975</v>
      </c>
      <c r="BE49" s="5">
        <f t="shared" si="252"/>
        <v>4.9127485856492972E-2</v>
      </c>
      <c r="BF49" s="5">
        <f t="shared" si="253"/>
        <v>0.39866114993167212</v>
      </c>
      <c r="BG49" s="5">
        <f t="shared" si="254"/>
        <v>0.1250031974800524</v>
      </c>
      <c r="BH49" s="5">
        <f t="shared" si="255"/>
        <v>0</v>
      </c>
      <c r="BI49" s="5">
        <f t="shared" si="256"/>
        <v>1.3963977588107907E-2</v>
      </c>
      <c r="BJ49" s="5">
        <f t="shared" si="257"/>
        <v>1.986036022411892</v>
      </c>
      <c r="BK49" s="5">
        <f t="shared" si="258"/>
        <v>15.535817267527316</v>
      </c>
      <c r="BL49" s="11">
        <f t="shared" si="259"/>
        <v>1</v>
      </c>
      <c r="BM49" s="11">
        <f t="shared" si="260"/>
        <v>1</v>
      </c>
      <c r="BN49" s="11">
        <f t="shared" si="261"/>
        <v>0.99919046120964394</v>
      </c>
      <c r="BO49" s="11">
        <f t="shared" si="262"/>
        <v>1</v>
      </c>
      <c r="BP49" s="11">
        <f>1</f>
        <v>1</v>
      </c>
      <c r="BQ49" s="11">
        <f t="shared" si="263"/>
        <v>0.97628628014464292</v>
      </c>
      <c r="BR49" s="11">
        <f t="shared" si="264"/>
        <v>0.97334248092411102</v>
      </c>
      <c r="BS49" s="11">
        <f t="shared" si="265"/>
        <v>0.98088249690041052</v>
      </c>
      <c r="BT49" s="11">
        <f t="shared" si="266"/>
        <v>0.66298837318141512</v>
      </c>
      <c r="BU49" s="11">
        <f t="shared" si="267"/>
        <v>0.95992820672790957</v>
      </c>
      <c r="BV49" s="5">
        <f t="shared" si="268"/>
        <v>0.99919046120964394</v>
      </c>
      <c r="BW49" s="11">
        <f t="shared" si="269"/>
        <v>0.98088249690041052</v>
      </c>
      <c r="BX49" s="11">
        <f t="shared" si="270"/>
        <v>0.99003647905502723</v>
      </c>
      <c r="BY49" s="11">
        <f t="shared" si="271"/>
        <v>6.9769435243100553</v>
      </c>
      <c r="BZ49" s="11">
        <f t="shared" si="272"/>
        <v>0.10422808314700709</v>
      </c>
      <c r="CA49" s="11">
        <f t="shared" si="273"/>
        <v>1.1357299747652134</v>
      </c>
      <c r="CB49" s="11">
        <f t="shared" si="274"/>
        <v>0</v>
      </c>
      <c r="CC49" s="11">
        <f t="shared" si="275"/>
        <v>1.8249367075439829</v>
      </c>
      <c r="CD49" s="11">
        <f t="shared" si="276"/>
        <v>2.9299115926816492</v>
      </c>
      <c r="CE49" s="11">
        <f t="shared" si="277"/>
        <v>1.8421911344967903</v>
      </c>
      <c r="CF49" s="11">
        <f t="shared" si="278"/>
        <v>4.8638003122187953E-2</v>
      </c>
      <c r="CG49" s="11">
        <f t="shared" si="279"/>
        <v>0.39468908121438095</v>
      </c>
      <c r="CH49" s="11">
        <f t="shared" si="280"/>
        <v>0.12375772550377133</v>
      </c>
      <c r="CI49" s="11">
        <f t="shared" si="281"/>
        <v>15.381025826785038</v>
      </c>
      <c r="CJ49" s="11">
        <f t="shared" si="282"/>
        <v>0.45832196346874743</v>
      </c>
      <c r="CK49" s="11">
        <f t="shared" si="283"/>
        <v>1.3666147440752354</v>
      </c>
      <c r="CL49" s="13">
        <f t="shared" si="284"/>
        <v>2.0387885570096742E-2</v>
      </c>
      <c r="CN49" s="32">
        <f t="shared" si="285"/>
        <v>16140</v>
      </c>
      <c r="CO49" s="12">
        <f t="shared" si="286"/>
        <v>0.74423588107751382</v>
      </c>
      <c r="CP49" s="12">
        <f t="shared" si="287"/>
        <v>0.25576411892248618</v>
      </c>
      <c r="CQ49" s="12">
        <f t="shared" si="288"/>
        <v>5.6336749537634567E-2</v>
      </c>
      <c r="CR49" s="12">
        <f t="shared" si="289"/>
        <v>0.12375772550377133</v>
      </c>
      <c r="CS49" s="14">
        <f t="shared" si="290"/>
        <v>0.61897417321496073</v>
      </c>
      <c r="CT49" s="14">
        <f t="shared" si="291"/>
        <v>0.25726810128126809</v>
      </c>
      <c r="CU49" s="14">
        <f t="shared" si="292"/>
        <v>6.8710489966556487E-2</v>
      </c>
      <c r="CV49" s="12">
        <f t="shared" si="293"/>
        <v>0.92109556724839514</v>
      </c>
      <c r="CW49" s="2" t="str">
        <f t="shared" si="84"/>
        <v>18eHP03.3</v>
      </c>
      <c r="CY49" s="5">
        <f t="shared" si="294"/>
        <v>13.151422357687094</v>
      </c>
      <c r="CZ49" s="5">
        <f t="shared" si="295"/>
        <v>6.9660187248760606</v>
      </c>
      <c r="DA49" s="5">
        <f t="shared" si="296"/>
        <v>0.10406487831385872</v>
      </c>
      <c r="DB49" s="5">
        <f t="shared" si="297"/>
        <v>1.1339515997300347</v>
      </c>
      <c r="DC49" s="5">
        <f t="shared" si="298"/>
        <v>0</v>
      </c>
      <c r="DD49" s="5">
        <f t="shared" si="299"/>
        <v>1.8220791428467507</v>
      </c>
      <c r="DE49" s="5">
        <f t="shared" si="300"/>
        <v>2.9253238105965784</v>
      </c>
      <c r="DF49" s="5">
        <f t="shared" si="301"/>
        <v>1.8393065520727911</v>
      </c>
      <c r="DG49" s="5">
        <f t="shared" si="302"/>
        <v>4.8561843636715785E-2</v>
      </c>
      <c r="DH49" s="5">
        <f t="shared" si="303"/>
        <v>0.39407106000838582</v>
      </c>
      <c r="DI49" s="5">
        <f t="shared" si="304"/>
        <v>0.12356394031333298</v>
      </c>
      <c r="DJ49" s="5">
        <f t="shared" si="305"/>
        <v>0</v>
      </c>
      <c r="DK49" s="5">
        <f t="shared" si="306"/>
        <v>1.3803199662224847E-2</v>
      </c>
      <c r="DL49" s="5">
        <f t="shared" si="307"/>
        <v>1.9631692747106952</v>
      </c>
      <c r="DM49" s="5">
        <f t="shared" si="308"/>
        <v>12.999999999999998</v>
      </c>
      <c r="DN49" s="5">
        <f t="shared" si="309"/>
        <v>15.012152920115591</v>
      </c>
      <c r="DO49" s="5">
        <f t="shared" si="310"/>
        <v>7.0414530831661715</v>
      </c>
      <c r="DP49" s="5">
        <f t="shared" si="311"/>
        <v>0.10519178704410821</v>
      </c>
      <c r="DQ49" s="5">
        <f t="shared" si="312"/>
        <v>1.1462310544137</v>
      </c>
      <c r="DR49" s="5">
        <f t="shared" si="313"/>
        <v>0</v>
      </c>
      <c r="DS49" s="5">
        <f t="shared" si="314"/>
        <v>1.841810265647728</v>
      </c>
      <c r="DT49" s="5">
        <f t="shared" si="315"/>
        <v>2.9570018656174626</v>
      </c>
      <c r="DU49" s="5">
        <f t="shared" si="316"/>
        <v>1.8592242288598106</v>
      </c>
      <c r="DV49" s="5">
        <f t="shared" si="317"/>
        <v>4.9087715251019473E-2</v>
      </c>
      <c r="DW49" s="5">
        <f t="shared" si="318"/>
        <v>0.39833841826659444</v>
      </c>
      <c r="DX49" s="5">
        <f t="shared" si="319"/>
        <v>0.12490200254277375</v>
      </c>
      <c r="DY49" s="5">
        <f t="shared" si="320"/>
        <v>0</v>
      </c>
      <c r="DZ49" s="5">
        <f t="shared" si="321"/>
        <v>1.395267320658267E-2</v>
      </c>
      <c r="EA49" s="5">
        <f t="shared" si="322"/>
        <v>1.984428249212705</v>
      </c>
      <c r="EB49" s="5">
        <f t="shared" si="323"/>
        <v>15</v>
      </c>
      <c r="EC49" s="5">
        <f t="shared" si="324"/>
        <v>45.47036691057717</v>
      </c>
      <c r="ED49" s="1">
        <f t="shared" si="325"/>
        <v>6.9660187248760606</v>
      </c>
      <c r="EE49" s="5">
        <f t="shared" si="326"/>
        <v>0.10406487831385872</v>
      </c>
      <c r="EF49" s="5">
        <f t="shared" si="327"/>
        <v>1.1339515997300347</v>
      </c>
      <c r="EG49" s="5">
        <f t="shared" si="328"/>
        <v>0</v>
      </c>
      <c r="EH49" s="5">
        <f t="shared" si="329"/>
        <v>0.52963308942283049</v>
      </c>
      <c r="EI49" s="5">
        <f t="shared" si="330"/>
        <v>1.2924460534239202</v>
      </c>
      <c r="EJ49" s="5">
        <f t="shared" si="331"/>
        <v>2.9253238105965784</v>
      </c>
      <c r="EK49" s="5">
        <f t="shared" si="332"/>
        <v>1.8393065520727911</v>
      </c>
      <c r="EL49" s="5">
        <f t="shared" si="333"/>
        <v>4.8561843636715785E-2</v>
      </c>
      <c r="EM49" s="5">
        <f t="shared" si="334"/>
        <v>0.39407106000838582</v>
      </c>
      <c r="EN49" s="5">
        <f t="shared" si="335"/>
        <v>0.12356394031333298</v>
      </c>
      <c r="EO49" s="5">
        <f t="shared" si="336"/>
        <v>4.8133123986793844</v>
      </c>
      <c r="EP49" s="5">
        <f t="shared" si="337"/>
        <v>10.568940581762694</v>
      </c>
      <c r="EQ49" s="5">
        <f t="shared" si="338"/>
        <v>2.0111439551458954</v>
      </c>
      <c r="ER49" s="5">
        <f t="shared" si="339"/>
        <v>100.21959693558797</v>
      </c>
      <c r="ES49" s="5">
        <f t="shared" si="340"/>
        <v>6.9660187248760606</v>
      </c>
      <c r="ET49" s="5">
        <f t="shared" si="341"/>
        <v>1.0339812751239394</v>
      </c>
      <c r="EU49" s="5">
        <f t="shared" si="342"/>
        <v>0</v>
      </c>
      <c r="EV49" s="44">
        <f t="shared" si="343"/>
        <v>8</v>
      </c>
      <c r="EW49" s="5">
        <f t="shared" si="344"/>
        <v>9.9970324606095229E-2</v>
      </c>
      <c r="EX49" s="5">
        <f t="shared" si="345"/>
        <v>0.10406487831385872</v>
      </c>
      <c r="EY49" s="5">
        <f t="shared" si="346"/>
        <v>0</v>
      </c>
      <c r="EZ49" s="5">
        <f t="shared" si="347"/>
        <v>0.52963308942283049</v>
      </c>
      <c r="FA49" s="5">
        <f t="shared" si="348"/>
        <v>2.9253238105965784</v>
      </c>
      <c r="FB49" s="5">
        <f t="shared" si="349"/>
        <v>1.2924460534239202</v>
      </c>
      <c r="FC49" s="5">
        <f t="shared" si="350"/>
        <v>4.8561843636715785E-2</v>
      </c>
      <c r="FD49" s="44">
        <f t="shared" si="351"/>
        <v>4.9999999999999982</v>
      </c>
      <c r="FE49" s="5">
        <f t="shared" si="352"/>
        <v>0</v>
      </c>
      <c r="FF49" s="5">
        <f t="shared" si="353"/>
        <v>1.8393065520727911</v>
      </c>
      <c r="FG49" s="5">
        <f t="shared" si="354"/>
        <v>0.16069344792720885</v>
      </c>
      <c r="FH49" s="44">
        <f t="shared" si="355"/>
        <v>2</v>
      </c>
      <c r="FI49" s="5">
        <f t="shared" si="356"/>
        <v>0.23337761208117697</v>
      </c>
      <c r="FJ49" s="5">
        <f t="shared" si="357"/>
        <v>0.12356394031333298</v>
      </c>
      <c r="FK49" s="44">
        <f t="shared" si="358"/>
        <v>0.35694155239450998</v>
      </c>
      <c r="FL49" s="1" t="str">
        <f t="shared" si="359"/>
        <v>Pass</v>
      </c>
      <c r="FM49" s="5">
        <f t="shared" si="360"/>
        <v>8.8161015540606541E-2</v>
      </c>
      <c r="FN49" s="1" t="str">
        <f t="shared" si="361"/>
        <v>Mg-Hbl</v>
      </c>
      <c r="FO49" s="5">
        <f t="shared" si="362"/>
        <v>8.2456664977114258</v>
      </c>
      <c r="FP49" s="5">
        <f t="shared" si="363"/>
        <v>1.1339515997300347</v>
      </c>
      <c r="FQ49" s="5">
        <f t="shared" si="364"/>
        <v>3.2112121036213837</v>
      </c>
      <c r="FR49" s="5">
        <f t="shared" si="365"/>
        <v>-1.4979600769943413</v>
      </c>
      <c r="FS49" s="1" t="str">
        <f t="shared" si="366"/>
        <v>YES</v>
      </c>
      <c r="FT49" s="32">
        <f t="shared" si="367"/>
        <v>791.88871926118918</v>
      </c>
      <c r="FU49" s="32">
        <f t="shared" si="368"/>
        <v>98.10136880328821</v>
      </c>
      <c r="FV49" s="46">
        <f t="shared" si="369"/>
        <v>1.2692326983535542</v>
      </c>
      <c r="FW49" s="47">
        <f t="shared" si="370"/>
        <v>-12.765263846854793</v>
      </c>
      <c r="FX49" s="46">
        <f t="shared" si="371"/>
        <v>4.4681381984745094</v>
      </c>
      <c r="FY49" s="50">
        <f t="shared" si="189"/>
        <v>91.209162579436338</v>
      </c>
      <c r="FZ49" s="32">
        <f t="shared" si="190"/>
        <v>98.267206409683567</v>
      </c>
      <c r="GA49" s="32">
        <f t="shared" si="191"/>
        <v>11.280917477320823</v>
      </c>
      <c r="GB49" s="32">
        <f t="shared" si="192"/>
        <v>-634.34101153056531</v>
      </c>
      <c r="GC49" s="32">
        <f t="shared" si="193"/>
        <v>319.54422121438211</v>
      </c>
      <c r="GD49" s="32">
        <f t="shared" si="194"/>
        <v>-732.60821794024889</v>
      </c>
      <c r="GE49" s="4">
        <f t="shared" si="195"/>
        <v>-2.5034223775060216</v>
      </c>
      <c r="GF49" s="32">
        <f t="shared" si="196"/>
        <v>98.267206409683567</v>
      </c>
      <c r="GG49" s="1">
        <f t="shared" si="197"/>
        <v>12.515863326381236</v>
      </c>
      <c r="GH49" s="32">
        <f t="shared" si="198"/>
        <v>98.267206409683567</v>
      </c>
      <c r="GI49" s="32">
        <f t="shared" si="199"/>
        <v>749.38428929674683</v>
      </c>
      <c r="GJ49" s="46">
        <f t="shared" si="200"/>
        <v>1.1498156205508105</v>
      </c>
      <c r="GK49" s="46">
        <f t="shared" si="201"/>
        <v>75.159122287602031</v>
      </c>
      <c r="GL49" s="46">
        <f t="shared" si="202"/>
        <v>0.1537876003312075</v>
      </c>
      <c r="GM49" s="46">
        <f t="shared" si="203"/>
        <v>18.318517638601826</v>
      </c>
      <c r="GN49" s="46">
        <f t="shared" si="204"/>
        <v>0.57412737931005098</v>
      </c>
      <c r="GO49" s="46">
        <f t="shared" si="205"/>
        <v>-0.77191400488713768</v>
      </c>
      <c r="GP49" s="46">
        <f t="shared" si="206"/>
        <v>0.64779694405142862</v>
      </c>
      <c r="GQ49" s="46">
        <f t="shared" si="207"/>
        <v>6.1136442733406948</v>
      </c>
      <c r="GR49" s="46">
        <f t="shared" si="208"/>
        <v>5.9553686907815893</v>
      </c>
      <c r="GS49" s="46">
        <f t="shared" si="209"/>
        <v>106.1504508091317</v>
      </c>
      <c r="GU49" s="32">
        <f t="shared" si="372"/>
        <v>16140</v>
      </c>
      <c r="GV49" s="32">
        <f t="shared" si="373"/>
        <v>98.10136880328821</v>
      </c>
      <c r="GW49" s="32">
        <f t="shared" si="374"/>
        <v>791.88871926118918</v>
      </c>
      <c r="GX49" s="32">
        <f t="shared" si="375"/>
        <v>98.267206409683567</v>
      </c>
      <c r="GY49" s="32">
        <f t="shared" si="376"/>
        <v>749.38428929674683</v>
      </c>
    </row>
    <row r="50" spans="1:207">
      <c r="A50" s="35">
        <v>16142</v>
      </c>
      <c r="B50" s="2" t="s">
        <v>192</v>
      </c>
      <c r="C50" s="36">
        <v>47.62</v>
      </c>
      <c r="D50" s="36">
        <v>1.0921000000000001</v>
      </c>
      <c r="E50" s="36">
        <v>6.9</v>
      </c>
      <c r="F50" s="36"/>
      <c r="G50" s="36">
        <v>14.77</v>
      </c>
      <c r="H50" s="36">
        <v>13.53</v>
      </c>
      <c r="I50" s="36">
        <v>11.57</v>
      </c>
      <c r="J50" s="36">
        <v>0.4385</v>
      </c>
      <c r="K50" s="36">
        <v>1.51</v>
      </c>
      <c r="L50" s="36">
        <v>0.80010000000000003</v>
      </c>
      <c r="M50" s="36"/>
      <c r="N50" s="36">
        <v>8.5300000000000001E-2</v>
      </c>
      <c r="O50" s="4">
        <f t="shared" si="210"/>
        <v>98.316000000000017</v>
      </c>
      <c r="P50" s="5">
        <f t="shared" si="211"/>
        <v>0.79255312951969148</v>
      </c>
      <c r="Q50" s="5">
        <f t="shared" si="212"/>
        <v>1.3674188451126766E-2</v>
      </c>
      <c r="R50" s="5">
        <f t="shared" si="213"/>
        <v>6.7672750584251221E-2</v>
      </c>
      <c r="S50" s="5">
        <f t="shared" si="214"/>
        <v>0</v>
      </c>
      <c r="T50" s="5">
        <f t="shared" si="215"/>
        <v>0.20558317697691122</v>
      </c>
      <c r="U50" s="5">
        <f t="shared" si="216"/>
        <v>0.33569535832316072</v>
      </c>
      <c r="V50" s="5">
        <f t="shared" si="217"/>
        <v>0.20632197641117456</v>
      </c>
      <c r="W50" s="5">
        <f t="shared" si="218"/>
        <v>6.1815022415029333E-3</v>
      </c>
      <c r="X50" s="5">
        <f t="shared" si="219"/>
        <v>2.4363114309473508E-2</v>
      </c>
      <c r="Y50" s="5">
        <f t="shared" si="220"/>
        <v>8.4939912522824755E-3</v>
      </c>
      <c r="Z50" s="5">
        <f t="shared" si="221"/>
        <v>0</v>
      </c>
      <c r="AA50" s="5">
        <f t="shared" si="222"/>
        <v>2.4060226724621821E-3</v>
      </c>
      <c r="AB50" s="5">
        <f t="shared" si="223"/>
        <v>1.585106259039383</v>
      </c>
      <c r="AC50" s="5">
        <f t="shared" si="224"/>
        <v>2.7348376902253533E-2</v>
      </c>
      <c r="AD50" s="5">
        <f t="shared" si="225"/>
        <v>0.20301825175275368</v>
      </c>
      <c r="AE50" s="5">
        <f t="shared" si="226"/>
        <v>0</v>
      </c>
      <c r="AF50" s="5">
        <f t="shared" si="227"/>
        <v>0.20558317697691122</v>
      </c>
      <c r="AG50" s="5">
        <f t="shared" si="228"/>
        <v>0.33569535832316072</v>
      </c>
      <c r="AH50" s="5">
        <f t="shared" si="229"/>
        <v>0.20632197641117456</v>
      </c>
      <c r="AI50" s="5">
        <f t="shared" si="230"/>
        <v>6.1815022415029333E-3</v>
      </c>
      <c r="AJ50" s="5">
        <f t="shared" si="231"/>
        <v>2.4363114309473508E-2</v>
      </c>
      <c r="AK50" s="5">
        <f t="shared" si="232"/>
        <v>8.4939912522824755E-3</v>
      </c>
      <c r="AL50" s="5">
        <f t="shared" si="233"/>
        <v>2.6021120072088957</v>
      </c>
      <c r="AM50" s="4">
        <f t="shared" si="234"/>
        <v>14.010712781349936</v>
      </c>
      <c r="AN50" s="4">
        <f t="shared" si="235"/>
        <v>0.24173158842094938</v>
      </c>
      <c r="AO50" s="4">
        <f t="shared" si="236"/>
        <v>1.7944730193693299</v>
      </c>
      <c r="AP50" s="4">
        <f t="shared" si="237"/>
        <v>0</v>
      </c>
      <c r="AQ50" s="4">
        <f t="shared" si="238"/>
        <v>1.8171443263661804</v>
      </c>
      <c r="AR50" s="4">
        <f t="shared" si="239"/>
        <v>2.9672024955276499</v>
      </c>
      <c r="AS50" s="4">
        <f t="shared" si="240"/>
        <v>1.8236745552498643</v>
      </c>
      <c r="AT50" s="4">
        <f t="shared" si="241"/>
        <v>5.4638136698453729E-2</v>
      </c>
      <c r="AU50" s="4">
        <f t="shared" si="242"/>
        <v>0.21534493041248476</v>
      </c>
      <c r="AV50" s="4">
        <f t="shared" si="243"/>
        <v>7.5078166605152374E-2</v>
      </c>
      <c r="AW50" s="4">
        <f t="shared" si="244"/>
        <v>23.000000000000004</v>
      </c>
      <c r="AX50" s="5">
        <f t="shared" si="245"/>
        <v>7.0053563906749678</v>
      </c>
      <c r="AY50" s="5">
        <f t="shared" si="246"/>
        <v>0.12086579421047469</v>
      </c>
      <c r="AZ50" s="5">
        <f t="shared" si="247"/>
        <v>1.1963153462462199</v>
      </c>
      <c r="BA50" s="5">
        <f t="shared" si="248"/>
        <v>0</v>
      </c>
      <c r="BB50" s="5">
        <f t="shared" si="249"/>
        <v>1.8171443263661804</v>
      </c>
      <c r="BC50" s="5">
        <f t="shared" si="250"/>
        <v>2.9672024955276499</v>
      </c>
      <c r="BD50" s="5">
        <f t="shared" si="251"/>
        <v>1.8236745552498643</v>
      </c>
      <c r="BE50" s="5">
        <f t="shared" si="252"/>
        <v>5.4638136698453729E-2</v>
      </c>
      <c r="BF50" s="5">
        <f t="shared" si="253"/>
        <v>0.43068986082496952</v>
      </c>
      <c r="BG50" s="5">
        <f t="shared" si="254"/>
        <v>0.15015633321030475</v>
      </c>
      <c r="BH50" s="5">
        <f t="shared" si="255"/>
        <v>0</v>
      </c>
      <c r="BI50" s="5">
        <f t="shared" si="256"/>
        <v>2.1266771496891851E-2</v>
      </c>
      <c r="BJ50" s="5">
        <f t="shared" si="257"/>
        <v>1.9787332285031081</v>
      </c>
      <c r="BK50" s="5">
        <f t="shared" si="258"/>
        <v>15.566043239009085</v>
      </c>
      <c r="BL50" s="11">
        <f t="shared" si="259"/>
        <v>1</v>
      </c>
      <c r="BM50" s="11">
        <f t="shared" si="260"/>
        <v>1</v>
      </c>
      <c r="BN50" s="11">
        <f t="shared" si="261"/>
        <v>1</v>
      </c>
      <c r="BO50" s="11">
        <f t="shared" si="262"/>
        <v>1</v>
      </c>
      <c r="BP50" s="11">
        <f>1</f>
        <v>1</v>
      </c>
      <c r="BQ50" s="11">
        <f t="shared" si="263"/>
        <v>0.97541089873015407</v>
      </c>
      <c r="BR50" s="11">
        <f t="shared" si="264"/>
        <v>0.97302218754327119</v>
      </c>
      <c r="BS50" s="11">
        <f t="shared" si="265"/>
        <v>0.98012976918679939</v>
      </c>
      <c r="BT50" s="11">
        <f t="shared" si="266"/>
        <v>0.66270836444944758</v>
      </c>
      <c r="BU50" s="11">
        <f t="shared" si="267"/>
        <v>0.96049686247030042</v>
      </c>
      <c r="BV50" s="5">
        <f t="shared" si="268"/>
        <v>1</v>
      </c>
      <c r="BW50" s="11">
        <f t="shared" si="269"/>
        <v>0.98012976918679939</v>
      </c>
      <c r="BX50" s="11">
        <f t="shared" si="270"/>
        <v>0.9900648845933997</v>
      </c>
      <c r="BY50" s="11">
        <f t="shared" si="271"/>
        <v>6.9357573664692467</v>
      </c>
      <c r="BZ50" s="11">
        <f t="shared" si="272"/>
        <v>0.11966497859628322</v>
      </c>
      <c r="CA50" s="11">
        <f t="shared" si="273"/>
        <v>1.1844298152185768</v>
      </c>
      <c r="CB50" s="11">
        <f t="shared" si="274"/>
        <v>0</v>
      </c>
      <c r="CC50" s="11">
        <f t="shared" si="275"/>
        <v>1.7990907877732834</v>
      </c>
      <c r="CD50" s="11">
        <f t="shared" si="276"/>
        <v>2.9377229962998301</v>
      </c>
      <c r="CE50" s="11">
        <f t="shared" si="277"/>
        <v>1.8055561380793765</v>
      </c>
      <c r="CF50" s="11">
        <f t="shared" si="278"/>
        <v>5.4095300504752988E-2</v>
      </c>
      <c r="CG50" s="11">
        <f t="shared" si="279"/>
        <v>0.42641090735322085</v>
      </c>
      <c r="CH50" s="11">
        <f t="shared" si="280"/>
        <v>0.14866451271082845</v>
      </c>
      <c r="CI50" s="11">
        <f t="shared" si="281"/>
        <v>15.4113928030054</v>
      </c>
      <c r="CJ50" s="11">
        <f t="shared" si="282"/>
        <v>0.45701530870361395</v>
      </c>
      <c r="CK50" s="11">
        <f t="shared" si="283"/>
        <v>1.3420754790696694</v>
      </c>
      <c r="CL50" s="13">
        <f t="shared" si="284"/>
        <v>3.0761244861974291E-2</v>
      </c>
      <c r="CN50" s="32">
        <f t="shared" si="285"/>
        <v>16142</v>
      </c>
      <c r="CO50" s="12">
        <f t="shared" si="286"/>
        <v>0.73393934161731167</v>
      </c>
      <c r="CP50" s="12">
        <f t="shared" si="287"/>
        <v>0.26606065838268833</v>
      </c>
      <c r="CQ50" s="12">
        <f t="shared" si="288"/>
        <v>6.0093590843911748E-2</v>
      </c>
      <c r="CR50" s="12">
        <f t="shared" si="289"/>
        <v>0.14866451271082845</v>
      </c>
      <c r="CS50" s="14">
        <f t="shared" si="290"/>
        <v>0.58860719699459985</v>
      </c>
      <c r="CT50" s="14">
        <f t="shared" si="291"/>
        <v>0.26272829029457156</v>
      </c>
      <c r="CU50" s="14">
        <f t="shared" si="292"/>
        <v>8.1841308529324586E-2</v>
      </c>
      <c r="CV50" s="12">
        <f t="shared" si="293"/>
        <v>0.90277806903968827</v>
      </c>
      <c r="CW50" s="2" t="str">
        <f t="shared" si="84"/>
        <v>18eHP03.5</v>
      </c>
      <c r="CY50" s="5">
        <f t="shared" si="294"/>
        <v>13.161522489723946</v>
      </c>
      <c r="CZ50" s="5">
        <f t="shared" si="295"/>
        <v>6.9193843759244835</v>
      </c>
      <c r="DA50" s="5">
        <f t="shared" si="296"/>
        <v>0.11938248982691416</v>
      </c>
      <c r="DB50" s="5">
        <f t="shared" si="297"/>
        <v>1.181633774766057</v>
      </c>
      <c r="DC50" s="5">
        <f t="shared" si="298"/>
        <v>0</v>
      </c>
      <c r="DD50" s="5">
        <f t="shared" si="299"/>
        <v>1.7948437394841101</v>
      </c>
      <c r="DE50" s="5">
        <f t="shared" si="300"/>
        <v>2.9307880203051271</v>
      </c>
      <c r="DF50" s="5">
        <f t="shared" si="301"/>
        <v>1.8012938272725234</v>
      </c>
      <c r="DG50" s="5">
        <f t="shared" si="302"/>
        <v>5.3967599693308457E-2</v>
      </c>
      <c r="DH50" s="5">
        <f t="shared" si="303"/>
        <v>0.4254042946092354</v>
      </c>
      <c r="DI50" s="5">
        <f t="shared" si="304"/>
        <v>0.14831356579438584</v>
      </c>
      <c r="DJ50" s="5">
        <f t="shared" si="305"/>
        <v>0</v>
      </c>
      <c r="DK50" s="5">
        <f t="shared" si="306"/>
        <v>2.1005778752074506E-2</v>
      </c>
      <c r="DL50" s="5">
        <f t="shared" si="307"/>
        <v>1.9544495699965134</v>
      </c>
      <c r="DM50" s="5">
        <f t="shared" si="308"/>
        <v>13</v>
      </c>
      <c r="DN50" s="5">
        <f t="shared" si="309"/>
        <v>14.985197044973811</v>
      </c>
      <c r="DO50" s="5">
        <f t="shared" si="310"/>
        <v>7.0122765516366403</v>
      </c>
      <c r="DP50" s="5">
        <f t="shared" si="311"/>
        <v>0.12098519009899938</v>
      </c>
      <c r="DQ50" s="5">
        <f t="shared" si="312"/>
        <v>1.1974971126397131</v>
      </c>
      <c r="DR50" s="5">
        <f t="shared" si="313"/>
        <v>0</v>
      </c>
      <c r="DS50" s="5">
        <f t="shared" si="314"/>
        <v>1.8189393715470055</v>
      </c>
      <c r="DT50" s="5">
        <f t="shared" si="315"/>
        <v>2.9701336124801374</v>
      </c>
      <c r="DU50" s="5">
        <f t="shared" si="316"/>
        <v>1.8254760512423926</v>
      </c>
      <c r="DV50" s="5">
        <f t="shared" si="317"/>
        <v>5.4692110355112004E-2</v>
      </c>
      <c r="DW50" s="5">
        <f t="shared" si="318"/>
        <v>0.43111531286413146</v>
      </c>
      <c r="DX50" s="5">
        <f t="shared" si="319"/>
        <v>0.15030466342182874</v>
      </c>
      <c r="DY50" s="5">
        <f t="shared" si="320"/>
        <v>0</v>
      </c>
      <c r="DZ50" s="5">
        <f t="shared" si="321"/>
        <v>2.1287779633193026E-2</v>
      </c>
      <c r="EA50" s="5">
        <f t="shared" si="322"/>
        <v>1.9806878974275437</v>
      </c>
      <c r="EB50" s="5">
        <f t="shared" si="323"/>
        <v>15.000000000000004</v>
      </c>
      <c r="EC50" s="5">
        <f t="shared" si="324"/>
        <v>45.435473021217526</v>
      </c>
      <c r="ED50" s="1">
        <f t="shared" si="325"/>
        <v>6.9193843759244835</v>
      </c>
      <c r="EE50" s="5">
        <f t="shared" si="326"/>
        <v>0.11938248982691416</v>
      </c>
      <c r="EF50" s="5">
        <f t="shared" si="327"/>
        <v>1.181633774766057</v>
      </c>
      <c r="EG50" s="5">
        <f t="shared" si="328"/>
        <v>0</v>
      </c>
      <c r="EH50" s="5">
        <f t="shared" si="329"/>
        <v>0.56452697878247449</v>
      </c>
      <c r="EI50" s="5">
        <f t="shared" si="330"/>
        <v>1.2303167607016356</v>
      </c>
      <c r="EJ50" s="5">
        <f t="shared" si="331"/>
        <v>2.9307880203051271</v>
      </c>
      <c r="EK50" s="5">
        <f t="shared" si="332"/>
        <v>1.8012938272725234</v>
      </c>
      <c r="EL50" s="5">
        <f t="shared" si="333"/>
        <v>5.3967599693308457E-2</v>
      </c>
      <c r="EM50" s="5">
        <f t="shared" si="334"/>
        <v>0.4254042946092354</v>
      </c>
      <c r="EN50" s="5">
        <f t="shared" si="335"/>
        <v>0.14831356579438584</v>
      </c>
      <c r="EO50" s="5">
        <f t="shared" si="336"/>
        <v>5.1628375517547251</v>
      </c>
      <c r="EP50" s="5">
        <f t="shared" si="337"/>
        <v>10.124434877426294</v>
      </c>
      <c r="EQ50" s="5">
        <f t="shared" si="338"/>
        <v>2.0184835733963333</v>
      </c>
      <c r="ER50" s="5">
        <f t="shared" si="339"/>
        <v>100.85175600257737</v>
      </c>
      <c r="ES50" s="5">
        <f t="shared" si="340"/>
        <v>6.9193843759244835</v>
      </c>
      <c r="ET50" s="5">
        <f t="shared" si="341"/>
        <v>1.0806156240755165</v>
      </c>
      <c r="EU50" s="5">
        <f t="shared" si="342"/>
        <v>0</v>
      </c>
      <c r="EV50" s="44">
        <f t="shared" si="343"/>
        <v>8</v>
      </c>
      <c r="EW50" s="5">
        <f t="shared" si="344"/>
        <v>0.10101815069054054</v>
      </c>
      <c r="EX50" s="5">
        <f t="shared" si="345"/>
        <v>0.11938248982691416</v>
      </c>
      <c r="EY50" s="5">
        <f t="shared" si="346"/>
        <v>0</v>
      </c>
      <c r="EZ50" s="5">
        <f t="shared" si="347"/>
        <v>0.56452697878247449</v>
      </c>
      <c r="FA50" s="5">
        <f t="shared" si="348"/>
        <v>2.9307880203051271</v>
      </c>
      <c r="FB50" s="5">
        <f t="shared" si="349"/>
        <v>1.2303167607016356</v>
      </c>
      <c r="FC50" s="5">
        <f t="shared" si="350"/>
        <v>5.3967599693308457E-2</v>
      </c>
      <c r="FD50" s="44">
        <f t="shared" si="351"/>
        <v>5</v>
      </c>
      <c r="FE50" s="5">
        <f t="shared" si="352"/>
        <v>0</v>
      </c>
      <c r="FF50" s="5">
        <f t="shared" si="353"/>
        <v>1.8012938272725234</v>
      </c>
      <c r="FG50" s="5">
        <f t="shared" si="354"/>
        <v>0.19870617272747659</v>
      </c>
      <c r="FH50" s="44">
        <f t="shared" si="355"/>
        <v>2</v>
      </c>
      <c r="FI50" s="5">
        <f t="shared" si="356"/>
        <v>0.22669812188175881</v>
      </c>
      <c r="FJ50" s="5">
        <f t="shared" si="357"/>
        <v>0.14831356579438584</v>
      </c>
      <c r="FK50" s="44">
        <f t="shared" si="358"/>
        <v>0.37501168767614468</v>
      </c>
      <c r="FL50" s="1" t="str">
        <f t="shared" si="359"/>
        <v>Pass</v>
      </c>
      <c r="FM50" s="5">
        <f t="shared" si="360"/>
        <v>8.5490236355625818E-2</v>
      </c>
      <c r="FN50" s="1" t="str">
        <f t="shared" si="361"/>
        <v>Mg-Hbl</v>
      </c>
      <c r="FO50" s="5">
        <f t="shared" si="362"/>
        <v>8.1925943418374025</v>
      </c>
      <c r="FP50" s="5">
        <f t="shared" si="363"/>
        <v>1.181633774766057</v>
      </c>
      <c r="FQ50" s="5">
        <f t="shared" si="364"/>
        <v>3.1955216620026481</v>
      </c>
      <c r="FR50" s="5">
        <f t="shared" si="365"/>
        <v>-1.5624166048211952</v>
      </c>
      <c r="FS50" s="1" t="str">
        <f t="shared" si="366"/>
        <v>YES</v>
      </c>
      <c r="FT50" s="32">
        <f t="shared" si="367"/>
        <v>799.92846093807748</v>
      </c>
      <c r="FU50" s="32">
        <f t="shared" si="368"/>
        <v>105.06385280916949</v>
      </c>
      <c r="FV50" s="46">
        <f t="shared" si="369"/>
        <v>1.2434376123323529</v>
      </c>
      <c r="FW50" s="47">
        <f t="shared" si="370"/>
        <v>-12.616240731985652</v>
      </c>
      <c r="FX50" s="46">
        <f t="shared" si="371"/>
        <v>4.1319974058574669</v>
      </c>
      <c r="FY50" s="50">
        <f t="shared" si="189"/>
        <v>124.25078009647609</v>
      </c>
      <c r="FZ50" s="32">
        <f t="shared" si="190"/>
        <v>109.59696102015239</v>
      </c>
      <c r="GA50" s="32">
        <f t="shared" si="191"/>
        <v>55.891256684971466</v>
      </c>
      <c r="GB50" s="32">
        <f t="shared" si="192"/>
        <v>-431.89404457023159</v>
      </c>
      <c r="GC50" s="32">
        <f t="shared" si="193"/>
        <v>363.12502776358696</v>
      </c>
      <c r="GD50" s="32">
        <f t="shared" si="194"/>
        <v>-541.49100559038402</v>
      </c>
      <c r="GE50" s="4">
        <f t="shared" si="195"/>
        <v>-1.9225170858616254</v>
      </c>
      <c r="GF50" s="32">
        <f t="shared" si="196"/>
        <v>109.59696102015239</v>
      </c>
      <c r="GG50" s="1">
        <f t="shared" si="197"/>
        <v>30.517173351485255</v>
      </c>
      <c r="GH50" s="32">
        <f t="shared" si="198"/>
        <v>109.59696102015239</v>
      </c>
      <c r="GI50" s="32">
        <f t="shared" si="199"/>
        <v>779.42664312333045</v>
      </c>
      <c r="GJ50" s="46">
        <f t="shared" si="200"/>
        <v>1.7239970618816556</v>
      </c>
      <c r="GK50" s="46">
        <f t="shared" si="201"/>
        <v>77.996168749900932</v>
      </c>
      <c r="GL50" s="46">
        <f t="shared" si="202"/>
        <v>0.16436651804199612</v>
      </c>
      <c r="GM50" s="46">
        <f t="shared" si="203"/>
        <v>13.728655583296975</v>
      </c>
      <c r="GN50" s="46">
        <f t="shared" si="204"/>
        <v>0.55208118825057206</v>
      </c>
      <c r="GO50" s="46">
        <f t="shared" si="205"/>
        <v>-0.8060249390684735</v>
      </c>
      <c r="GP50" s="46">
        <f t="shared" si="206"/>
        <v>3.7723094405532009E-2</v>
      </c>
      <c r="GQ50" s="46">
        <f t="shared" si="207"/>
        <v>7.6825666246921624</v>
      </c>
      <c r="GR50" s="46">
        <f t="shared" si="208"/>
        <v>5.4390813523612715</v>
      </c>
      <c r="GS50" s="46">
        <f t="shared" si="209"/>
        <v>104.79461817188096</v>
      </c>
      <c r="GU50" s="32">
        <f t="shared" si="372"/>
        <v>16142</v>
      </c>
      <c r="GV50" s="32">
        <f t="shared" si="373"/>
        <v>105.06385280916949</v>
      </c>
      <c r="GW50" s="32">
        <f t="shared" si="374"/>
        <v>799.92846093807748</v>
      </c>
      <c r="GX50" s="32">
        <f t="shared" si="375"/>
        <v>109.59696102015239</v>
      </c>
      <c r="GY50" s="32">
        <f t="shared" si="376"/>
        <v>779.42664312333045</v>
      </c>
    </row>
    <row r="51" spans="1:207">
      <c r="A51" s="35">
        <v>16143.999999999998</v>
      </c>
      <c r="B51" s="2" t="s">
        <v>193</v>
      </c>
      <c r="C51" s="36">
        <v>47.51</v>
      </c>
      <c r="D51" s="36">
        <v>1.0279</v>
      </c>
      <c r="E51" s="36">
        <v>6.54</v>
      </c>
      <c r="F51" s="36"/>
      <c r="G51" s="36">
        <v>14.64</v>
      </c>
      <c r="H51" s="36">
        <v>13.56</v>
      </c>
      <c r="I51" s="36">
        <v>11.91</v>
      </c>
      <c r="J51" s="36">
        <v>0.38650000000000001</v>
      </c>
      <c r="K51" s="36">
        <v>1.39</v>
      </c>
      <c r="L51" s="36">
        <v>0.72419999999999995</v>
      </c>
      <c r="M51" s="36"/>
      <c r="N51" s="36">
        <v>9.0700000000000003E-2</v>
      </c>
      <c r="O51" s="4">
        <f t="shared" si="210"/>
        <v>97.779299999999992</v>
      </c>
      <c r="P51" s="5">
        <f t="shared" si="211"/>
        <v>0.7907223684057233</v>
      </c>
      <c r="Q51" s="5">
        <f t="shared" si="212"/>
        <v>1.2870339995342189E-2</v>
      </c>
      <c r="R51" s="5">
        <f t="shared" si="213"/>
        <v>6.41419983798555E-2</v>
      </c>
      <c r="S51" s="5">
        <f t="shared" si="214"/>
        <v>0</v>
      </c>
      <c r="T51" s="5">
        <f t="shared" si="215"/>
        <v>0.20377371096425054</v>
      </c>
      <c r="U51" s="5">
        <f t="shared" si="216"/>
        <v>0.33643969392919881</v>
      </c>
      <c r="V51" s="5">
        <f t="shared" si="217"/>
        <v>0.21238502498332659</v>
      </c>
      <c r="W51" s="5">
        <f t="shared" si="218"/>
        <v>5.4484620669119355E-3</v>
      </c>
      <c r="X51" s="5">
        <f t="shared" si="219"/>
        <v>2.2426972774945809E-2</v>
      </c>
      <c r="Y51" s="5">
        <f t="shared" si="220"/>
        <v>7.6882245530595777E-3</v>
      </c>
      <c r="Z51" s="5">
        <f t="shared" si="221"/>
        <v>0</v>
      </c>
      <c r="AA51" s="5">
        <f t="shared" si="222"/>
        <v>2.5583382929931994E-3</v>
      </c>
      <c r="AB51" s="5">
        <f t="shared" si="223"/>
        <v>1.5814447368114466</v>
      </c>
      <c r="AC51" s="5">
        <f t="shared" si="224"/>
        <v>2.5740679990684377E-2</v>
      </c>
      <c r="AD51" s="5">
        <f t="shared" si="225"/>
        <v>0.19242599513956649</v>
      </c>
      <c r="AE51" s="5">
        <f t="shared" si="226"/>
        <v>0</v>
      </c>
      <c r="AF51" s="5">
        <f t="shared" si="227"/>
        <v>0.20377371096425054</v>
      </c>
      <c r="AG51" s="5">
        <f t="shared" si="228"/>
        <v>0.33643969392919881</v>
      </c>
      <c r="AH51" s="5">
        <f t="shared" si="229"/>
        <v>0.21238502498332659</v>
      </c>
      <c r="AI51" s="5">
        <f t="shared" si="230"/>
        <v>5.4484620669119355E-3</v>
      </c>
      <c r="AJ51" s="5">
        <f t="shared" si="231"/>
        <v>2.2426972774945809E-2</v>
      </c>
      <c r="AK51" s="5">
        <f t="shared" si="232"/>
        <v>7.6882245530595777E-3</v>
      </c>
      <c r="AL51" s="5">
        <f t="shared" si="233"/>
        <v>2.5877735012133907</v>
      </c>
      <c r="AM51" s="4">
        <f t="shared" si="234"/>
        <v>14.055800837904901</v>
      </c>
      <c r="AN51" s="4">
        <f t="shared" si="235"/>
        <v>0.22878186190102762</v>
      </c>
      <c r="AO51" s="4">
        <f t="shared" si="236"/>
        <v>1.7102725126966485</v>
      </c>
      <c r="AP51" s="4">
        <f t="shared" si="237"/>
        <v>0</v>
      </c>
      <c r="AQ51" s="4">
        <f t="shared" si="238"/>
        <v>1.8111304370263293</v>
      </c>
      <c r="AR51" s="4">
        <f t="shared" si="239"/>
        <v>2.9902589839270015</v>
      </c>
      <c r="AS51" s="4">
        <f t="shared" si="240"/>
        <v>1.8876673605035501</v>
      </c>
      <c r="AT51" s="4">
        <f t="shared" si="241"/>
        <v>4.8425655290238991E-2</v>
      </c>
      <c r="AU51" s="4">
        <f t="shared" si="242"/>
        <v>0.19932979976102569</v>
      </c>
      <c r="AV51" s="4">
        <f t="shared" si="243"/>
        <v>6.8332550989279484E-2</v>
      </c>
      <c r="AW51" s="4">
        <f t="shared" si="244"/>
        <v>23</v>
      </c>
      <c r="AX51" s="5">
        <f t="shared" si="245"/>
        <v>7.0279004189524503</v>
      </c>
      <c r="AY51" s="5">
        <f t="shared" si="246"/>
        <v>0.11439093095051381</v>
      </c>
      <c r="AZ51" s="5">
        <f t="shared" si="247"/>
        <v>1.1401816751310989</v>
      </c>
      <c r="BA51" s="5">
        <f t="shared" si="248"/>
        <v>0</v>
      </c>
      <c r="BB51" s="5">
        <f t="shared" si="249"/>
        <v>1.8111304370263293</v>
      </c>
      <c r="BC51" s="5">
        <f t="shared" si="250"/>
        <v>2.9902589839270015</v>
      </c>
      <c r="BD51" s="5">
        <f t="shared" si="251"/>
        <v>1.8876673605035501</v>
      </c>
      <c r="BE51" s="5">
        <f t="shared" si="252"/>
        <v>4.8425655290238991E-2</v>
      </c>
      <c r="BF51" s="5">
        <f t="shared" si="253"/>
        <v>0.39865959952205138</v>
      </c>
      <c r="BG51" s="5">
        <f t="shared" si="254"/>
        <v>0.13666510197855897</v>
      </c>
      <c r="BH51" s="5">
        <f t="shared" si="255"/>
        <v>0</v>
      </c>
      <c r="BI51" s="5">
        <f t="shared" si="256"/>
        <v>2.2738381358048936E-2</v>
      </c>
      <c r="BJ51" s="5">
        <f t="shared" si="257"/>
        <v>1.9772616186419512</v>
      </c>
      <c r="BK51" s="5">
        <f t="shared" si="258"/>
        <v>15.555280163281797</v>
      </c>
      <c r="BL51" s="11">
        <f t="shared" si="259"/>
        <v>1</v>
      </c>
      <c r="BM51" s="11">
        <f t="shared" si="260"/>
        <v>1</v>
      </c>
      <c r="BN51" s="11">
        <f t="shared" si="261"/>
        <v>0.99867140339850125</v>
      </c>
      <c r="BO51" s="11">
        <f t="shared" si="262"/>
        <v>1</v>
      </c>
      <c r="BP51" s="11">
        <f>1</f>
        <v>1</v>
      </c>
      <c r="BQ51" s="11">
        <f t="shared" si="263"/>
        <v>0.97942208560742816</v>
      </c>
      <c r="BR51" s="11">
        <f t="shared" si="264"/>
        <v>0.97285002189633407</v>
      </c>
      <c r="BS51" s="11">
        <f t="shared" si="265"/>
        <v>0.98231168098916177</v>
      </c>
      <c r="BT51" s="11">
        <f t="shared" si="266"/>
        <v>0.66319749255708149</v>
      </c>
      <c r="BU51" s="11">
        <f t="shared" si="267"/>
        <v>0.96062759919507978</v>
      </c>
      <c r="BV51" s="5">
        <f t="shared" si="268"/>
        <v>0.99867140339850125</v>
      </c>
      <c r="BW51" s="11">
        <f t="shared" si="269"/>
        <v>0.98231168098916177</v>
      </c>
      <c r="BX51" s="11">
        <f t="shared" si="270"/>
        <v>0.99049154219383151</v>
      </c>
      <c r="BY51" s="11">
        <f t="shared" si="271"/>
        <v>6.9610759243528868</v>
      </c>
      <c r="BZ51" s="11">
        <f t="shared" si="272"/>
        <v>0.11330324961016251</v>
      </c>
      <c r="CA51" s="11">
        <f t="shared" si="273"/>
        <v>1.1293403057817484</v>
      </c>
      <c r="CB51" s="11">
        <f t="shared" si="274"/>
        <v>0</v>
      </c>
      <c r="CC51" s="11">
        <f t="shared" si="275"/>
        <v>1.793909379684397</v>
      </c>
      <c r="CD51" s="11">
        <f t="shared" si="276"/>
        <v>2.9618262325488152</v>
      </c>
      <c r="CE51" s="11">
        <f t="shared" si="277"/>
        <v>1.8697185550541207</v>
      </c>
      <c r="CF51" s="11">
        <f t="shared" si="278"/>
        <v>4.796520199017569E-2</v>
      </c>
      <c r="CG51" s="11">
        <f t="shared" si="279"/>
        <v>0.3948689615409719</v>
      </c>
      <c r="CH51" s="11">
        <f t="shared" si="280"/>
        <v>0.13536562762282012</v>
      </c>
      <c r="CI51" s="11">
        <f t="shared" si="281"/>
        <v>15.407373438186102</v>
      </c>
      <c r="CJ51" s="11">
        <f t="shared" si="282"/>
        <v>0.43738905908375059</v>
      </c>
      <c r="CK51" s="11">
        <f t="shared" si="283"/>
        <v>1.3565203206006464</v>
      </c>
      <c r="CL51" s="13">
        <f t="shared" si="284"/>
        <v>7.4202939681846658E-3</v>
      </c>
      <c r="CN51" s="32">
        <f t="shared" si="285"/>
        <v>16143.999999999998</v>
      </c>
      <c r="CO51" s="12">
        <f t="shared" si="286"/>
        <v>0.7402689810882217</v>
      </c>
      <c r="CP51" s="12">
        <f t="shared" si="287"/>
        <v>0.2597310189117783</v>
      </c>
      <c r="CQ51" s="12">
        <f t="shared" si="288"/>
        <v>4.5208115067318033E-2</v>
      </c>
      <c r="CR51" s="12">
        <f t="shared" si="289"/>
        <v>0.13536562762282012</v>
      </c>
      <c r="CS51" s="14">
        <f t="shared" si="290"/>
        <v>0.59262656181390261</v>
      </c>
      <c r="CT51" s="14">
        <f t="shared" si="291"/>
        <v>0.27200781056327727</v>
      </c>
      <c r="CU51" s="14">
        <f t="shared" si="292"/>
        <v>6.1430575488847339E-2</v>
      </c>
      <c r="CV51" s="12">
        <f t="shared" si="293"/>
        <v>0.93485927752706033</v>
      </c>
      <c r="CW51" s="2" t="str">
        <f t="shared" si="84"/>
        <v>18eHP03.7</v>
      </c>
      <c r="CY51" s="5">
        <f t="shared" si="294"/>
        <v>13.132288101277634</v>
      </c>
      <c r="CZ51" s="5">
        <f t="shared" si="295"/>
        <v>6.9571048656397672</v>
      </c>
      <c r="DA51" s="5">
        <f t="shared" si="296"/>
        <v>0.11323861393293695</v>
      </c>
      <c r="DB51" s="5">
        <f t="shared" si="297"/>
        <v>1.128696055279371</v>
      </c>
      <c r="DC51" s="5">
        <f t="shared" si="298"/>
        <v>0</v>
      </c>
      <c r="DD51" s="5">
        <f t="shared" si="299"/>
        <v>1.7928860149703558</v>
      </c>
      <c r="DE51" s="5">
        <f t="shared" si="300"/>
        <v>2.9601366107151614</v>
      </c>
      <c r="DF51" s="5">
        <f t="shared" si="301"/>
        <v>1.8686519437658924</v>
      </c>
      <c r="DG51" s="5">
        <f t="shared" si="302"/>
        <v>4.7937839462405631E-2</v>
      </c>
      <c r="DH51" s="5">
        <f t="shared" si="303"/>
        <v>0.3946437021346233</v>
      </c>
      <c r="DI51" s="5">
        <f t="shared" si="304"/>
        <v>0.13528840610406784</v>
      </c>
      <c r="DJ51" s="5">
        <f t="shared" si="305"/>
        <v>0</v>
      </c>
      <c r="DK51" s="5">
        <f t="shared" si="306"/>
        <v>2.2509326278478271E-2</v>
      </c>
      <c r="DL51" s="5">
        <f t="shared" si="307"/>
        <v>1.9573436741647934</v>
      </c>
      <c r="DM51" s="5">
        <f t="shared" si="308"/>
        <v>12.999999999999996</v>
      </c>
      <c r="DN51" s="5">
        <f t="shared" si="309"/>
        <v>15.019955461781185</v>
      </c>
      <c r="DO51" s="5">
        <f t="shared" si="310"/>
        <v>7.0185631743401578</v>
      </c>
      <c r="DP51" s="5">
        <f t="shared" si="311"/>
        <v>0.11423895154841068</v>
      </c>
      <c r="DQ51" s="5">
        <f t="shared" si="312"/>
        <v>1.1386668336324286</v>
      </c>
      <c r="DR51" s="5">
        <f t="shared" si="313"/>
        <v>0</v>
      </c>
      <c r="DS51" s="5">
        <f t="shared" si="314"/>
        <v>1.8087241752828251</v>
      </c>
      <c r="DT51" s="5">
        <f t="shared" si="315"/>
        <v>2.986286136003355</v>
      </c>
      <c r="DU51" s="5">
        <f t="shared" si="316"/>
        <v>1.885159412063625</v>
      </c>
      <c r="DV51" s="5">
        <f t="shared" si="317"/>
        <v>4.8361317129195031E-2</v>
      </c>
      <c r="DW51" s="5">
        <f t="shared" si="318"/>
        <v>0.39812994173297156</v>
      </c>
      <c r="DX51" s="5">
        <f t="shared" si="319"/>
        <v>0.1364835291885268</v>
      </c>
      <c r="DY51" s="5">
        <f t="shared" si="320"/>
        <v>0</v>
      </c>
      <c r="DZ51" s="5">
        <f t="shared" si="321"/>
        <v>2.2708171221853049E-2</v>
      </c>
      <c r="EA51" s="5">
        <f t="shared" si="322"/>
        <v>1.9746346355751496</v>
      </c>
      <c r="EB51" s="5">
        <f t="shared" si="323"/>
        <v>15</v>
      </c>
      <c r="EC51" s="5">
        <f t="shared" si="324"/>
        <v>45.536619010195253</v>
      </c>
      <c r="ED51" s="1">
        <f t="shared" si="325"/>
        <v>6.9571048656397672</v>
      </c>
      <c r="EE51" s="5">
        <f t="shared" si="326"/>
        <v>0.11323861393293695</v>
      </c>
      <c r="EF51" s="5">
        <f t="shared" si="327"/>
        <v>1.128696055279371</v>
      </c>
      <c r="EG51" s="5">
        <f t="shared" si="328"/>
        <v>0</v>
      </c>
      <c r="EH51" s="5">
        <f t="shared" si="329"/>
        <v>0.4633809898047474</v>
      </c>
      <c r="EI51" s="5">
        <f t="shared" si="330"/>
        <v>1.3295050251656084</v>
      </c>
      <c r="EJ51" s="5">
        <f t="shared" si="331"/>
        <v>2.9601366107151614</v>
      </c>
      <c r="EK51" s="5">
        <f t="shared" si="332"/>
        <v>1.8686519437658924</v>
      </c>
      <c r="EL51" s="5">
        <f t="shared" si="333"/>
        <v>4.7937839462405631E-2</v>
      </c>
      <c r="EM51" s="5">
        <f t="shared" si="334"/>
        <v>0.3946437021346233</v>
      </c>
      <c r="EN51" s="5">
        <f t="shared" si="335"/>
        <v>0.13528840610406784</v>
      </c>
      <c r="EO51" s="5">
        <f t="shared" si="336"/>
        <v>4.2051018365879784</v>
      </c>
      <c r="EP51" s="5">
        <f t="shared" si="337"/>
        <v>10.856213616427997</v>
      </c>
      <c r="EQ51" s="5">
        <f t="shared" si="338"/>
        <v>2.0012262761550228</v>
      </c>
      <c r="ER51" s="5">
        <f t="shared" si="339"/>
        <v>100.20184172917099</v>
      </c>
      <c r="ES51" s="5">
        <f t="shared" si="340"/>
        <v>6.9571048656397672</v>
      </c>
      <c r="ET51" s="5">
        <f t="shared" si="341"/>
        <v>1.0428951343602328</v>
      </c>
      <c r="EU51" s="5">
        <f t="shared" si="342"/>
        <v>0</v>
      </c>
      <c r="EV51" s="44">
        <f t="shared" si="343"/>
        <v>8</v>
      </c>
      <c r="EW51" s="5">
        <f t="shared" si="344"/>
        <v>8.5800920919138157E-2</v>
      </c>
      <c r="EX51" s="5">
        <f t="shared" si="345"/>
        <v>0.11323861393293695</v>
      </c>
      <c r="EY51" s="5">
        <f t="shared" si="346"/>
        <v>0</v>
      </c>
      <c r="EZ51" s="5">
        <f t="shared" si="347"/>
        <v>0.4633809898047474</v>
      </c>
      <c r="FA51" s="5">
        <f t="shared" si="348"/>
        <v>2.9601366107151614</v>
      </c>
      <c r="FB51" s="5">
        <f t="shared" si="349"/>
        <v>1.3295050251656084</v>
      </c>
      <c r="FC51" s="5">
        <f t="shared" si="350"/>
        <v>4.7937839462405631E-2</v>
      </c>
      <c r="FD51" s="44">
        <f t="shared" si="351"/>
        <v>4.9999999999999973</v>
      </c>
      <c r="FE51" s="5">
        <f t="shared" si="352"/>
        <v>0</v>
      </c>
      <c r="FF51" s="5">
        <f t="shared" si="353"/>
        <v>1.8686519437658924</v>
      </c>
      <c r="FG51" s="5">
        <f t="shared" si="354"/>
        <v>0.13134805623410761</v>
      </c>
      <c r="FH51" s="44">
        <f t="shared" si="355"/>
        <v>2</v>
      </c>
      <c r="FI51" s="5">
        <f t="shared" si="356"/>
        <v>0.26329564590051568</v>
      </c>
      <c r="FJ51" s="5">
        <f t="shared" si="357"/>
        <v>0.13528840610406784</v>
      </c>
      <c r="FK51" s="44">
        <f t="shared" si="358"/>
        <v>0.39858405200458352</v>
      </c>
      <c r="FL51" s="1" t="str">
        <f t="shared" si="359"/>
        <v>Pass</v>
      </c>
      <c r="FM51" s="5">
        <f t="shared" si="360"/>
        <v>7.6017737917849826E-2</v>
      </c>
      <c r="FN51" s="1" t="str">
        <f t="shared" si="361"/>
        <v>Mg-Hbl</v>
      </c>
      <c r="FO51" s="5">
        <f t="shared" si="362"/>
        <v>8.2077384086103606</v>
      </c>
      <c r="FP51" s="5">
        <f t="shared" si="363"/>
        <v>1.128696055279371</v>
      </c>
      <c r="FQ51" s="5">
        <f t="shared" si="364"/>
        <v>3.2081688188337196</v>
      </c>
      <c r="FR51" s="5">
        <f t="shared" si="365"/>
        <v>-1.553131613185438</v>
      </c>
      <c r="FS51" s="1" t="str">
        <f t="shared" si="366"/>
        <v>YES</v>
      </c>
      <c r="FT51" s="32">
        <f t="shared" si="367"/>
        <v>797.63433169484233</v>
      </c>
      <c r="FU51" s="32">
        <f t="shared" si="368"/>
        <v>97.36276487021658</v>
      </c>
      <c r="FV51" s="46">
        <f t="shared" si="369"/>
        <v>1.2642295381626347</v>
      </c>
      <c r="FW51" s="47">
        <f t="shared" si="370"/>
        <v>-12.647517165160112</v>
      </c>
      <c r="FX51" s="46">
        <f t="shared" si="371"/>
        <v>4.1804186372379402</v>
      </c>
      <c r="FY51" s="50">
        <f t="shared" si="189"/>
        <v>89.484045089155629</v>
      </c>
      <c r="FZ51" s="32">
        <f t="shared" si="190"/>
        <v>96.864497133664514</v>
      </c>
      <c r="GA51" s="32">
        <f t="shared" si="191"/>
        <v>11.727494435625403</v>
      </c>
      <c r="GB51" s="32">
        <f t="shared" si="192"/>
        <v>-636.01471867758301</v>
      </c>
      <c r="GC51" s="32">
        <f t="shared" si="193"/>
        <v>323.36549088258027</v>
      </c>
      <c r="GD51" s="32">
        <f t="shared" si="194"/>
        <v>-732.87921581124749</v>
      </c>
      <c r="GE51" s="4">
        <f t="shared" si="195"/>
        <v>-2.6136664425529887</v>
      </c>
      <c r="GF51" s="32">
        <f t="shared" si="196"/>
        <v>96.864497133664514</v>
      </c>
      <c r="GG51" s="1">
        <f t="shared" si="197"/>
        <v>14.47651824902384</v>
      </c>
      <c r="GH51" s="32">
        <f t="shared" si="198"/>
        <v>96.864497133664514</v>
      </c>
      <c r="GI51" s="32">
        <f t="shared" si="199"/>
        <v>750.09068950606036</v>
      </c>
      <c r="GJ51" s="46">
        <f t="shared" si="200"/>
        <v>1.3367875775522031</v>
      </c>
      <c r="GK51" s="46">
        <f t="shared" si="201"/>
        <v>74.428328663871028</v>
      </c>
      <c r="GL51" s="46">
        <f t="shared" si="202"/>
        <v>0.16125149164341546</v>
      </c>
      <c r="GM51" s="46">
        <f t="shared" si="203"/>
        <v>19.742667800087993</v>
      </c>
      <c r="GN51" s="46">
        <f t="shared" si="204"/>
        <v>0.56726464711841218</v>
      </c>
      <c r="GO51" s="46">
        <f t="shared" si="205"/>
        <v>-0.73422111205418117</v>
      </c>
      <c r="GP51" s="46">
        <f t="shared" si="206"/>
        <v>0.622017531683138</v>
      </c>
      <c r="GQ51" s="46">
        <f t="shared" si="207"/>
        <v>6.5265616702519331</v>
      </c>
      <c r="GR51" s="46">
        <f t="shared" si="208"/>
        <v>5.8970189491193681</v>
      </c>
      <c r="GS51" s="46">
        <f t="shared" si="209"/>
        <v>107.21088964172111</v>
      </c>
      <c r="GU51" s="32">
        <f t="shared" si="372"/>
        <v>16143.999999999998</v>
      </c>
      <c r="GV51" s="32">
        <f t="shared" si="373"/>
        <v>97.36276487021658</v>
      </c>
      <c r="GW51" s="32">
        <f t="shared" si="374"/>
        <v>797.63433169484233</v>
      </c>
      <c r="GX51" s="32">
        <f t="shared" si="375"/>
        <v>96.864497133664514</v>
      </c>
      <c r="GY51" s="32">
        <f t="shared" si="376"/>
        <v>750.09068950606036</v>
      </c>
    </row>
    <row r="52" spans="1:207">
      <c r="A52" s="35">
        <v>16146</v>
      </c>
      <c r="B52" s="2" t="s">
        <v>194</v>
      </c>
      <c r="C52" s="36">
        <v>47.5</v>
      </c>
      <c r="D52" s="36">
        <v>1.0618000000000001</v>
      </c>
      <c r="E52" s="36">
        <v>6.97</v>
      </c>
      <c r="F52" s="36"/>
      <c r="G52" s="36">
        <v>15.22</v>
      </c>
      <c r="H52" s="36">
        <v>13.48</v>
      </c>
      <c r="I52" s="36">
        <v>11.58</v>
      </c>
      <c r="J52" s="36">
        <v>0.43430000000000002</v>
      </c>
      <c r="K52" s="36">
        <v>1.49</v>
      </c>
      <c r="L52" s="36">
        <v>0.74660000000000004</v>
      </c>
      <c r="M52" s="36"/>
      <c r="N52" s="36">
        <v>9.3799999999999994E-2</v>
      </c>
      <c r="O52" s="4">
        <f t="shared" si="210"/>
        <v>98.576499999999996</v>
      </c>
      <c r="P52" s="5">
        <f t="shared" si="211"/>
        <v>0.79055593557718074</v>
      </c>
      <c r="Q52" s="5">
        <f t="shared" si="212"/>
        <v>1.3294802030406009E-2</v>
      </c>
      <c r="R52" s="5">
        <f t="shared" si="213"/>
        <v>6.835928573510594E-2</v>
      </c>
      <c r="S52" s="5">
        <f t="shared" si="214"/>
        <v>0</v>
      </c>
      <c r="T52" s="5">
        <f t="shared" si="215"/>
        <v>0.21184671317458287</v>
      </c>
      <c r="U52" s="5">
        <f t="shared" si="216"/>
        <v>0.33445479897976399</v>
      </c>
      <c r="V52" s="5">
        <f t="shared" si="217"/>
        <v>0.20650030136917902</v>
      </c>
      <c r="W52" s="5">
        <f t="shared" si="218"/>
        <v>6.1222951504782755E-3</v>
      </c>
      <c r="X52" s="5">
        <f t="shared" si="219"/>
        <v>2.4040424053718892E-2</v>
      </c>
      <c r="Y52" s="5">
        <f t="shared" si="220"/>
        <v>7.9260265828697621E-3</v>
      </c>
      <c r="Z52" s="5">
        <f t="shared" si="221"/>
        <v>0</v>
      </c>
      <c r="AA52" s="5">
        <f t="shared" si="222"/>
        <v>2.645778741816561E-3</v>
      </c>
      <c r="AB52" s="5">
        <f t="shared" si="223"/>
        <v>1.5811118711543615</v>
      </c>
      <c r="AC52" s="5">
        <f t="shared" si="224"/>
        <v>2.6589604060812018E-2</v>
      </c>
      <c r="AD52" s="5">
        <f t="shared" si="225"/>
        <v>0.20507785720531782</v>
      </c>
      <c r="AE52" s="5">
        <f t="shared" si="226"/>
        <v>0</v>
      </c>
      <c r="AF52" s="5">
        <f t="shared" si="227"/>
        <v>0.21184671317458287</v>
      </c>
      <c r="AG52" s="5">
        <f t="shared" si="228"/>
        <v>0.33445479897976399</v>
      </c>
      <c r="AH52" s="5">
        <f t="shared" si="229"/>
        <v>0.20650030136917902</v>
      </c>
      <c r="AI52" s="5">
        <f t="shared" si="230"/>
        <v>6.1222951504782755E-3</v>
      </c>
      <c r="AJ52" s="5">
        <f t="shared" si="231"/>
        <v>2.4040424053718892E-2</v>
      </c>
      <c r="AK52" s="5">
        <f t="shared" si="232"/>
        <v>7.9260265828697621E-3</v>
      </c>
      <c r="AL52" s="5">
        <f t="shared" si="233"/>
        <v>2.6036698917310841</v>
      </c>
      <c r="AM52" s="4">
        <f t="shared" si="234"/>
        <v>13.967044421430932</v>
      </c>
      <c r="AN52" s="4">
        <f t="shared" si="235"/>
        <v>0.23488418994316981</v>
      </c>
      <c r="AO52" s="4">
        <f t="shared" si="236"/>
        <v>1.8115932172132194</v>
      </c>
      <c r="AP52" s="4">
        <f t="shared" si="237"/>
        <v>0</v>
      </c>
      <c r="AQ52" s="4">
        <f t="shared" si="238"/>
        <v>1.8713871595203944</v>
      </c>
      <c r="AR52" s="4">
        <f t="shared" si="239"/>
        <v>2.9544683836322041</v>
      </c>
      <c r="AS52" s="4">
        <f t="shared" si="240"/>
        <v>1.8241586410684902</v>
      </c>
      <c r="AT52" s="4">
        <f t="shared" si="241"/>
        <v>5.4082427618110648E-2</v>
      </c>
      <c r="AU52" s="4">
        <f t="shared" si="242"/>
        <v>0.21236553642670572</v>
      </c>
      <c r="AV52" s="4">
        <f t="shared" si="243"/>
        <v>7.0016023146774922E-2</v>
      </c>
      <c r="AW52" s="4">
        <f t="shared" si="244"/>
        <v>23</v>
      </c>
      <c r="AX52" s="5">
        <f t="shared" si="245"/>
        <v>6.9835222107154662</v>
      </c>
      <c r="AY52" s="5">
        <f t="shared" si="246"/>
        <v>0.11744209497158491</v>
      </c>
      <c r="AZ52" s="5">
        <f t="shared" si="247"/>
        <v>1.2077288114754796</v>
      </c>
      <c r="BA52" s="5">
        <f t="shared" si="248"/>
        <v>0</v>
      </c>
      <c r="BB52" s="5">
        <f t="shared" si="249"/>
        <v>1.8713871595203944</v>
      </c>
      <c r="BC52" s="5">
        <f t="shared" si="250"/>
        <v>2.9544683836322041</v>
      </c>
      <c r="BD52" s="5">
        <f t="shared" si="251"/>
        <v>1.8241586410684902</v>
      </c>
      <c r="BE52" s="5">
        <f t="shared" si="252"/>
        <v>5.4082427618110648E-2</v>
      </c>
      <c r="BF52" s="5">
        <f t="shared" si="253"/>
        <v>0.42473107285341144</v>
      </c>
      <c r="BG52" s="5">
        <f t="shared" si="254"/>
        <v>0.14003204629354984</v>
      </c>
      <c r="BH52" s="5">
        <f t="shared" si="255"/>
        <v>0</v>
      </c>
      <c r="BI52" s="5">
        <f t="shared" si="256"/>
        <v>2.3371976322744219E-2</v>
      </c>
      <c r="BJ52" s="5">
        <f t="shared" si="257"/>
        <v>1.9766280236772558</v>
      </c>
      <c r="BK52" s="5">
        <f t="shared" si="258"/>
        <v>15.57755284814869</v>
      </c>
      <c r="BL52" s="11">
        <f t="shared" si="259"/>
        <v>1</v>
      </c>
      <c r="BM52" s="11">
        <f t="shared" si="260"/>
        <v>1</v>
      </c>
      <c r="BN52" s="11">
        <f t="shared" si="261"/>
        <v>0.99914807779016446</v>
      </c>
      <c r="BO52" s="11">
        <f t="shared" si="262"/>
        <v>1</v>
      </c>
      <c r="BP52" s="11">
        <f>1</f>
        <v>1</v>
      </c>
      <c r="BQ52" s="11">
        <f t="shared" si="263"/>
        <v>0.97665179327640839</v>
      </c>
      <c r="BR52" s="11">
        <f t="shared" si="264"/>
        <v>0.97165860972944806</v>
      </c>
      <c r="BS52" s="11">
        <f t="shared" si="265"/>
        <v>0.97811515948783212</v>
      </c>
      <c r="BT52" s="11">
        <f t="shared" si="266"/>
        <v>0.66287730257724342</v>
      </c>
      <c r="BU52" s="11">
        <f t="shared" si="267"/>
        <v>0.95931767044520877</v>
      </c>
      <c r="BV52" s="5">
        <f t="shared" si="268"/>
        <v>0.99914807779016446</v>
      </c>
      <c r="BW52" s="11">
        <f t="shared" si="269"/>
        <v>0.97811515948783212</v>
      </c>
      <c r="BX52" s="11">
        <f t="shared" si="270"/>
        <v>0.98863161863899829</v>
      </c>
      <c r="BY52" s="11">
        <f t="shared" si="271"/>
        <v>6.9041308669810268</v>
      </c>
      <c r="BZ52" s="11">
        <f t="shared" si="272"/>
        <v>0.11610696844811295</v>
      </c>
      <c r="CA52" s="11">
        <f t="shared" si="273"/>
        <v>1.193998889765957</v>
      </c>
      <c r="CB52" s="11">
        <f t="shared" si="274"/>
        <v>0</v>
      </c>
      <c r="CC52" s="11">
        <f t="shared" si="275"/>
        <v>1.8501125166168848</v>
      </c>
      <c r="CD52" s="11">
        <f t="shared" si="276"/>
        <v>2.9208808603280509</v>
      </c>
      <c r="CE52" s="11">
        <f t="shared" si="277"/>
        <v>1.803420909973857</v>
      </c>
      <c r="CF52" s="11">
        <f t="shared" si="278"/>
        <v>5.3467597956019193E-2</v>
      </c>
      <c r="CG52" s="11">
        <f t="shared" si="279"/>
        <v>0.41990256804134646</v>
      </c>
      <c r="CH52" s="11">
        <f t="shared" si="280"/>
        <v>0.13844010858852332</v>
      </c>
      <c r="CI52" s="11">
        <f t="shared" si="281"/>
        <v>15.400461286699777</v>
      </c>
      <c r="CJ52" s="11">
        <f t="shared" si="282"/>
        <v>0.52294554260607873</v>
      </c>
      <c r="CK52" s="11">
        <f t="shared" si="283"/>
        <v>1.3271669740108061</v>
      </c>
      <c r="CL52" s="13">
        <f t="shared" si="284"/>
        <v>3.8697700096051335E-2</v>
      </c>
      <c r="CN52" s="32">
        <f t="shared" si="285"/>
        <v>16146</v>
      </c>
      <c r="CO52" s="12">
        <f t="shared" si="286"/>
        <v>0.72603271674525671</v>
      </c>
      <c r="CP52" s="12">
        <f t="shared" si="287"/>
        <v>0.27396728325474329</v>
      </c>
      <c r="CQ52" s="12">
        <f t="shared" si="288"/>
        <v>4.9064878373491716E-2</v>
      </c>
      <c r="CR52" s="12">
        <f t="shared" si="289"/>
        <v>0.13844010858852332</v>
      </c>
      <c r="CS52" s="14">
        <f t="shared" si="290"/>
        <v>0.59953871330022201</v>
      </c>
      <c r="CT52" s="14">
        <f t="shared" si="291"/>
        <v>0.26202117811125492</v>
      </c>
      <c r="CU52" s="14">
        <f t="shared" si="292"/>
        <v>7.8940694965045854E-2</v>
      </c>
      <c r="CV52" s="12">
        <f t="shared" si="293"/>
        <v>0.90171045498692848</v>
      </c>
      <c r="CW52" s="2" t="str">
        <f t="shared" ref="CW52:CW63" si="377">B52</f>
        <v>18eHP04.1</v>
      </c>
      <c r="CY52" s="5">
        <f t="shared" si="294"/>
        <v>13.188631087933238</v>
      </c>
      <c r="CZ52" s="5">
        <f t="shared" si="295"/>
        <v>6.8836400179821773</v>
      </c>
      <c r="DA52" s="5">
        <f t="shared" si="296"/>
        <v>0.11576237324793175</v>
      </c>
      <c r="DB52" s="5">
        <f t="shared" si="297"/>
        <v>1.1904552067989964</v>
      </c>
      <c r="DC52" s="5">
        <f t="shared" si="298"/>
        <v>0</v>
      </c>
      <c r="DD52" s="5">
        <f t="shared" si="299"/>
        <v>1.8446215465093823</v>
      </c>
      <c r="DE52" s="5">
        <f t="shared" si="300"/>
        <v>2.9122119446012573</v>
      </c>
      <c r="DF52" s="5">
        <f t="shared" si="301"/>
        <v>1.7980685164199668</v>
      </c>
      <c r="DG52" s="5">
        <f t="shared" si="302"/>
        <v>5.3308910860256326E-2</v>
      </c>
      <c r="DH52" s="5">
        <f t="shared" si="303"/>
        <v>0.4186563344050297</v>
      </c>
      <c r="DI52" s="5">
        <f t="shared" si="304"/>
        <v>0.13802923060617822</v>
      </c>
      <c r="DJ52" s="5">
        <f t="shared" si="305"/>
        <v>0</v>
      </c>
      <c r="DK52" s="5">
        <f t="shared" si="306"/>
        <v>2.3037697405431656E-2</v>
      </c>
      <c r="DL52" s="5">
        <f t="shared" si="307"/>
        <v>1.9483571976863228</v>
      </c>
      <c r="DM52" s="5">
        <f t="shared" si="308"/>
        <v>13</v>
      </c>
      <c r="DN52" s="5">
        <f t="shared" si="309"/>
        <v>15.012789729001728</v>
      </c>
      <c r="DO52" s="5">
        <f t="shared" si="310"/>
        <v>6.9775727930412774</v>
      </c>
      <c r="DP52" s="5">
        <f t="shared" si="311"/>
        <v>0.11734204344250899</v>
      </c>
      <c r="DQ52" s="5">
        <f t="shared" si="312"/>
        <v>1.2066999204775253</v>
      </c>
      <c r="DR52" s="5">
        <f t="shared" si="313"/>
        <v>0</v>
      </c>
      <c r="DS52" s="5">
        <f t="shared" si="314"/>
        <v>1.8697928832359978</v>
      </c>
      <c r="DT52" s="5">
        <f t="shared" si="315"/>
        <v>2.9519514063979306</v>
      </c>
      <c r="DU52" s="5">
        <f t="shared" si="316"/>
        <v>1.8226045998079006</v>
      </c>
      <c r="DV52" s="5">
        <f t="shared" si="317"/>
        <v>5.4036353596860952E-2</v>
      </c>
      <c r="DW52" s="5">
        <f t="shared" si="318"/>
        <v>0.42436923501924029</v>
      </c>
      <c r="DX52" s="5">
        <f t="shared" si="319"/>
        <v>0.13991274988322364</v>
      </c>
      <c r="DY52" s="5">
        <f t="shared" si="320"/>
        <v>0</v>
      </c>
      <c r="DZ52" s="5">
        <f t="shared" si="321"/>
        <v>2.335206521702712E-2</v>
      </c>
      <c r="EA52" s="5">
        <f t="shared" si="322"/>
        <v>1.9749440903633015</v>
      </c>
      <c r="EB52" s="5">
        <f t="shared" si="323"/>
        <v>15.000000000000002</v>
      </c>
      <c r="EC52" s="5">
        <f t="shared" si="324"/>
        <v>45.342082587110355</v>
      </c>
      <c r="ED52" s="1">
        <f t="shared" si="325"/>
        <v>6.8836400179821773</v>
      </c>
      <c r="EE52" s="5">
        <f t="shared" si="326"/>
        <v>0.11576237324793175</v>
      </c>
      <c r="EF52" s="5">
        <f t="shared" si="327"/>
        <v>1.1904552067989964</v>
      </c>
      <c r="EG52" s="5">
        <f t="shared" si="328"/>
        <v>0</v>
      </c>
      <c r="EH52" s="5">
        <f t="shared" si="329"/>
        <v>0.65791741288964545</v>
      </c>
      <c r="EI52" s="5">
        <f t="shared" si="330"/>
        <v>1.1867041336197368</v>
      </c>
      <c r="EJ52" s="5">
        <f t="shared" si="331"/>
        <v>2.9122119446012573</v>
      </c>
      <c r="EK52" s="5">
        <f t="shared" si="332"/>
        <v>1.7980685164199668</v>
      </c>
      <c r="EL52" s="5">
        <f t="shared" si="333"/>
        <v>5.3308910860256326E-2</v>
      </c>
      <c r="EM52" s="5">
        <f t="shared" si="334"/>
        <v>0.4186563344050297</v>
      </c>
      <c r="EN52" s="5">
        <f t="shared" si="335"/>
        <v>0.13802923060617822</v>
      </c>
      <c r="EO52" s="5">
        <f t="shared" si="336"/>
        <v>6.0329352455166791</v>
      </c>
      <c r="EP52" s="5">
        <f t="shared" si="337"/>
        <v>9.7915135751671247</v>
      </c>
      <c r="EQ52" s="5">
        <f t="shared" si="338"/>
        <v>2.0138351241834855</v>
      </c>
      <c r="ER52" s="5">
        <f t="shared" si="339"/>
        <v>101.19478394486728</v>
      </c>
      <c r="ES52" s="5">
        <f t="shared" si="340"/>
        <v>6.8836400179821773</v>
      </c>
      <c r="ET52" s="5">
        <f t="shared" si="341"/>
        <v>1.1163599820178227</v>
      </c>
      <c r="EU52" s="5">
        <f t="shared" si="342"/>
        <v>0</v>
      </c>
      <c r="EV52" s="44">
        <f t="shared" si="343"/>
        <v>8</v>
      </c>
      <c r="EW52" s="5">
        <f t="shared" si="344"/>
        <v>7.4095224781173696E-2</v>
      </c>
      <c r="EX52" s="5">
        <f t="shared" si="345"/>
        <v>0.11576237324793175</v>
      </c>
      <c r="EY52" s="5">
        <f t="shared" si="346"/>
        <v>0</v>
      </c>
      <c r="EZ52" s="5">
        <f t="shared" si="347"/>
        <v>0.65791741288964545</v>
      </c>
      <c r="FA52" s="5">
        <f t="shared" si="348"/>
        <v>2.9122119446012573</v>
      </c>
      <c r="FB52" s="5">
        <f t="shared" si="349"/>
        <v>1.1867041336197368</v>
      </c>
      <c r="FC52" s="5">
        <f t="shared" si="350"/>
        <v>5.3308910860256326E-2</v>
      </c>
      <c r="FD52" s="44">
        <f t="shared" si="351"/>
        <v>5.0000000000000018</v>
      </c>
      <c r="FE52" s="5">
        <f t="shared" si="352"/>
        <v>0</v>
      </c>
      <c r="FF52" s="5">
        <f t="shared" si="353"/>
        <v>1.7980685164199668</v>
      </c>
      <c r="FG52" s="5">
        <f t="shared" si="354"/>
        <v>0.20193148358003321</v>
      </c>
      <c r="FH52" s="44">
        <f t="shared" si="355"/>
        <v>2</v>
      </c>
      <c r="FI52" s="5">
        <f t="shared" si="356"/>
        <v>0.21672485082499648</v>
      </c>
      <c r="FJ52" s="5">
        <f t="shared" si="357"/>
        <v>0.13802923060617822</v>
      </c>
      <c r="FK52" s="44">
        <f t="shared" si="358"/>
        <v>0.35475408143117471</v>
      </c>
      <c r="FL52" s="1" t="str">
        <f t="shared" si="359"/>
        <v>Pass</v>
      </c>
      <c r="FM52" s="5">
        <f t="shared" si="360"/>
        <v>6.22410858955438E-2</v>
      </c>
      <c r="FN52" s="1" t="str">
        <f t="shared" si="361"/>
        <v>Mg-Hbl</v>
      </c>
      <c r="FO52" s="5">
        <f t="shared" si="362"/>
        <v>8.1824603685770612</v>
      </c>
      <c r="FP52" s="5">
        <f t="shared" si="363"/>
        <v>1.1904552067989964</v>
      </c>
      <c r="FQ52" s="5">
        <f t="shared" si="364"/>
        <v>3.2065917976743568</v>
      </c>
      <c r="FR52" s="5">
        <f t="shared" si="365"/>
        <v>-1.5385529524729353</v>
      </c>
      <c r="FS52" s="1" t="str">
        <f t="shared" si="366"/>
        <v>YES</v>
      </c>
      <c r="FT52" s="32">
        <f t="shared" si="367"/>
        <v>801.46362614536679</v>
      </c>
      <c r="FU52" s="32">
        <f t="shared" si="368"/>
        <v>106.40509983954941</v>
      </c>
      <c r="FV52" s="46">
        <f t="shared" si="369"/>
        <v>1.2616369153766422</v>
      </c>
      <c r="FW52" s="47">
        <f t="shared" si="370"/>
        <v>-12.564956056676323</v>
      </c>
      <c r="FX52" s="46">
        <f t="shared" si="371"/>
        <v>4.2564463528536418</v>
      </c>
      <c r="FY52" s="50">
        <f t="shared" si="189"/>
        <v>121.0642869811883</v>
      </c>
      <c r="FZ52" s="32">
        <f t="shared" si="190"/>
        <v>110.04503098819229</v>
      </c>
      <c r="GA52" s="32">
        <f t="shared" si="191"/>
        <v>56.772379141826093</v>
      </c>
      <c r="GB52" s="32">
        <f t="shared" si="192"/>
        <v>-483.66776094390076</v>
      </c>
      <c r="GC52" s="32">
        <f t="shared" si="193"/>
        <v>332.37693409106811</v>
      </c>
      <c r="GD52" s="32">
        <f t="shared" si="194"/>
        <v>-593.71279193209307</v>
      </c>
      <c r="GE52" s="4">
        <f t="shared" si="195"/>
        <v>-1.7454581559854627</v>
      </c>
      <c r="GF52" s="32">
        <f t="shared" si="196"/>
        <v>110.04503098819229</v>
      </c>
      <c r="GG52" s="1">
        <f t="shared" si="197"/>
        <v>25.832271279621438</v>
      </c>
      <c r="GH52" s="32">
        <f t="shared" si="198"/>
        <v>110.04503098819229</v>
      </c>
      <c r="GI52" s="32">
        <f t="shared" si="199"/>
        <v>778.81477590665713</v>
      </c>
      <c r="GJ52" s="46">
        <f t="shared" si="200"/>
        <v>1.4581857918002967</v>
      </c>
      <c r="GK52" s="46">
        <f t="shared" si="201"/>
        <v>77.710098275222919</v>
      </c>
      <c r="GL52" s="46">
        <f t="shared" si="202"/>
        <v>0.16603961183238281</v>
      </c>
      <c r="GM52" s="46">
        <f t="shared" si="203"/>
        <v>13.755794317076504</v>
      </c>
      <c r="GN52" s="46">
        <f t="shared" si="204"/>
        <v>0.60680212062470662</v>
      </c>
      <c r="GO52" s="46">
        <f t="shared" si="205"/>
        <v>-0.75913671412747541</v>
      </c>
      <c r="GP52" s="46">
        <f t="shared" si="206"/>
        <v>0.24928901430995154</v>
      </c>
      <c r="GQ52" s="46">
        <f t="shared" si="207"/>
        <v>6.8531101162616013</v>
      </c>
      <c r="GR52" s="46">
        <f t="shared" si="208"/>
        <v>5.5520013849934076</v>
      </c>
      <c r="GS52" s="46">
        <f t="shared" si="209"/>
        <v>104.133998126194</v>
      </c>
      <c r="GU52" s="32">
        <f t="shared" si="372"/>
        <v>16146</v>
      </c>
      <c r="GV52" s="32">
        <f t="shared" si="373"/>
        <v>106.40509983954941</v>
      </c>
      <c r="GW52" s="32">
        <f t="shared" si="374"/>
        <v>801.46362614536679</v>
      </c>
      <c r="GX52" s="32">
        <f t="shared" si="375"/>
        <v>110.04503098819229</v>
      </c>
      <c r="GY52" s="32">
        <f t="shared" si="376"/>
        <v>778.81477590665713</v>
      </c>
    </row>
    <row r="53" spans="1:207">
      <c r="A53" s="35">
        <v>16149.999999999998</v>
      </c>
      <c r="B53" s="2" t="s">
        <v>195</v>
      </c>
      <c r="C53" s="36">
        <v>48.51</v>
      </c>
      <c r="D53" s="36">
        <v>1.0184</v>
      </c>
      <c r="E53" s="36">
        <v>6.07</v>
      </c>
      <c r="F53" s="36"/>
      <c r="G53" s="36">
        <v>14.13</v>
      </c>
      <c r="H53" s="36">
        <v>13.8</v>
      </c>
      <c r="I53" s="36">
        <v>11.69</v>
      </c>
      <c r="J53" s="36">
        <v>0.4425</v>
      </c>
      <c r="K53" s="36">
        <v>1.2776000000000001</v>
      </c>
      <c r="L53" s="36">
        <v>0.68140000000000001</v>
      </c>
      <c r="M53" s="36"/>
      <c r="N53" s="36">
        <v>6.4500000000000002E-2</v>
      </c>
      <c r="O53" s="4">
        <f t="shared" si="210"/>
        <v>97.684399999999982</v>
      </c>
      <c r="P53" s="5">
        <f t="shared" si="211"/>
        <v>0.80736565125997972</v>
      </c>
      <c r="Q53" s="5">
        <f t="shared" si="212"/>
        <v>1.2751390457492445E-2</v>
      </c>
      <c r="R53" s="5">
        <f t="shared" si="213"/>
        <v>5.9532405224116659E-2</v>
      </c>
      <c r="S53" s="5">
        <f t="shared" si="214"/>
        <v>0</v>
      </c>
      <c r="T53" s="5">
        <f t="shared" si="215"/>
        <v>0.19667503660688937</v>
      </c>
      <c r="U53" s="5">
        <f t="shared" si="216"/>
        <v>0.34239437877750323</v>
      </c>
      <c r="V53" s="5">
        <f t="shared" si="217"/>
        <v>0.2084618759072282</v>
      </c>
      <c r="W53" s="5">
        <f t="shared" si="218"/>
        <v>6.2378899472407025E-3</v>
      </c>
      <c r="X53" s="5">
        <f t="shared" si="219"/>
        <v>2.0613453537604871E-2</v>
      </c>
      <c r="Y53" s="5">
        <f t="shared" si="220"/>
        <v>7.2338528175294068E-3</v>
      </c>
      <c r="Z53" s="5">
        <f t="shared" si="221"/>
        <v>0</v>
      </c>
      <c r="AA53" s="5">
        <f t="shared" si="222"/>
        <v>1.8193254674538188E-3</v>
      </c>
      <c r="AB53" s="5">
        <f t="shared" si="223"/>
        <v>1.6147313025199594</v>
      </c>
      <c r="AC53" s="5">
        <f t="shared" si="224"/>
        <v>2.5502780914984889E-2</v>
      </c>
      <c r="AD53" s="5">
        <f t="shared" si="225"/>
        <v>0.17859721567234998</v>
      </c>
      <c r="AE53" s="5">
        <f t="shared" si="226"/>
        <v>0</v>
      </c>
      <c r="AF53" s="5">
        <f t="shared" si="227"/>
        <v>0.19667503660688937</v>
      </c>
      <c r="AG53" s="5">
        <f t="shared" si="228"/>
        <v>0.34239437877750323</v>
      </c>
      <c r="AH53" s="5">
        <f t="shared" si="229"/>
        <v>0.2084618759072282</v>
      </c>
      <c r="AI53" s="5">
        <f t="shared" si="230"/>
        <v>6.2378899472407025E-3</v>
      </c>
      <c r="AJ53" s="5">
        <f t="shared" si="231"/>
        <v>2.0613453537604871E-2</v>
      </c>
      <c r="AK53" s="5">
        <f t="shared" si="232"/>
        <v>7.2338528175294068E-3</v>
      </c>
      <c r="AL53" s="5">
        <f t="shared" si="233"/>
        <v>2.6004477867012903</v>
      </c>
      <c r="AM53" s="4">
        <f t="shared" si="234"/>
        <v>14.281701846846252</v>
      </c>
      <c r="AN53" s="4">
        <f t="shared" si="235"/>
        <v>0.22556267579927775</v>
      </c>
      <c r="AO53" s="4">
        <f t="shared" si="236"/>
        <v>1.5796263941429789</v>
      </c>
      <c r="AP53" s="4">
        <f t="shared" si="237"/>
        <v>0</v>
      </c>
      <c r="AQ53" s="4">
        <f t="shared" si="238"/>
        <v>1.739518041889478</v>
      </c>
      <c r="AR53" s="4">
        <f t="shared" si="239"/>
        <v>3.0283517908553081</v>
      </c>
      <c r="AS53" s="4">
        <f t="shared" si="240"/>
        <v>1.8437682811344984</v>
      </c>
      <c r="AT53" s="4">
        <f t="shared" si="241"/>
        <v>5.5171832143775523E-2</v>
      </c>
      <c r="AU53" s="4">
        <f t="shared" si="242"/>
        <v>0.18231838139166309</v>
      </c>
      <c r="AV53" s="4">
        <f t="shared" si="243"/>
        <v>6.3980755796766181E-2</v>
      </c>
      <c r="AW53" s="4">
        <f t="shared" si="244"/>
        <v>22.999999999999996</v>
      </c>
      <c r="AX53" s="5">
        <f t="shared" si="245"/>
        <v>7.1408509234231259</v>
      </c>
      <c r="AY53" s="5">
        <f t="shared" si="246"/>
        <v>0.11278133789963887</v>
      </c>
      <c r="AZ53" s="5">
        <f t="shared" si="247"/>
        <v>1.0530842627619859</v>
      </c>
      <c r="BA53" s="5">
        <f t="shared" si="248"/>
        <v>0</v>
      </c>
      <c r="BB53" s="5">
        <f t="shared" si="249"/>
        <v>1.739518041889478</v>
      </c>
      <c r="BC53" s="5">
        <f t="shared" si="250"/>
        <v>3.0283517908553081</v>
      </c>
      <c r="BD53" s="5">
        <f t="shared" si="251"/>
        <v>1.8437682811344984</v>
      </c>
      <c r="BE53" s="5">
        <f t="shared" si="252"/>
        <v>5.5171832143775523E-2</v>
      </c>
      <c r="BF53" s="5">
        <f t="shared" si="253"/>
        <v>0.36463676278332618</v>
      </c>
      <c r="BG53" s="5">
        <f t="shared" si="254"/>
        <v>0.12796151159353236</v>
      </c>
      <c r="BH53" s="5">
        <f t="shared" si="255"/>
        <v>0</v>
      </c>
      <c r="BI53" s="5">
        <f t="shared" si="256"/>
        <v>1.6091261653254814E-2</v>
      </c>
      <c r="BJ53" s="5">
        <f t="shared" si="257"/>
        <v>1.9839087383467451</v>
      </c>
      <c r="BK53" s="5">
        <f t="shared" si="258"/>
        <v>15.466124744484667</v>
      </c>
      <c r="BL53" s="11">
        <f t="shared" si="259"/>
        <v>1</v>
      </c>
      <c r="BM53" s="11">
        <f t="shared" si="260"/>
        <v>1</v>
      </c>
      <c r="BN53" s="11">
        <f t="shared" si="261"/>
        <v>1</v>
      </c>
      <c r="BO53" s="11">
        <f t="shared" si="262"/>
        <v>1</v>
      </c>
      <c r="BP53" s="11">
        <f>1</f>
        <v>1</v>
      </c>
      <c r="BQ53" s="11">
        <f t="shared" si="263"/>
        <v>0.9763318623129843</v>
      </c>
      <c r="BR53" s="11">
        <f t="shared" si="264"/>
        <v>0.97795282083281154</v>
      </c>
      <c r="BS53" s="11">
        <f t="shared" si="265"/>
        <v>0.98250095807809568</v>
      </c>
      <c r="BT53" s="11">
        <f t="shared" si="266"/>
        <v>0.66290142921887363</v>
      </c>
      <c r="BU53" s="11">
        <f t="shared" si="267"/>
        <v>0.96218439039370696</v>
      </c>
      <c r="BV53" s="5">
        <f t="shared" si="268"/>
        <v>1</v>
      </c>
      <c r="BW53" s="11">
        <f t="shared" si="269"/>
        <v>0.98250095807809568</v>
      </c>
      <c r="BX53" s="11">
        <f t="shared" si="270"/>
        <v>0.99125047903904784</v>
      </c>
      <c r="BY53" s="11">
        <f t="shared" si="271"/>
        <v>7.0783718985896007</v>
      </c>
      <c r="BZ53" s="11">
        <f t="shared" si="272"/>
        <v>0.11179455521968175</v>
      </c>
      <c r="CA53" s="11">
        <f t="shared" si="273"/>
        <v>1.0438702799313011</v>
      </c>
      <c r="CB53" s="11">
        <f t="shared" si="274"/>
        <v>0</v>
      </c>
      <c r="CC53" s="11">
        <f t="shared" si="275"/>
        <v>1.7242980923200115</v>
      </c>
      <c r="CD53" s="11">
        <f t="shared" si="276"/>
        <v>3.0018551633840826</v>
      </c>
      <c r="CE53" s="11">
        <f t="shared" si="277"/>
        <v>1.8276361919115733</v>
      </c>
      <c r="CF53" s="11">
        <f t="shared" si="278"/>
        <v>5.4689105041979422E-2</v>
      </c>
      <c r="CG53" s="11">
        <f t="shared" si="279"/>
        <v>0.36144636578421974</v>
      </c>
      <c r="CH53" s="11">
        <f t="shared" si="280"/>
        <v>0.12684190966564962</v>
      </c>
      <c r="CI53" s="11">
        <f t="shared" si="281"/>
        <v>15.330803561848096</v>
      </c>
      <c r="CJ53" s="11">
        <f t="shared" si="282"/>
        <v>0.40247796420379944</v>
      </c>
      <c r="CK53" s="11">
        <f t="shared" si="283"/>
        <v>1.3218201281162121</v>
      </c>
      <c r="CL53" s="13">
        <f t="shared" si="284"/>
        <v>1.4879094486655475E-2</v>
      </c>
      <c r="CN53" s="32">
        <f t="shared" si="285"/>
        <v>16149.999999999998</v>
      </c>
      <c r="CO53" s="12">
        <f t="shared" si="286"/>
        <v>0.76959297464740017</v>
      </c>
      <c r="CP53" s="12">
        <f t="shared" si="287"/>
        <v>0.23040702535259983</v>
      </c>
      <c r="CQ53" s="12">
        <f t="shared" si="288"/>
        <v>6.1121089260450567E-2</v>
      </c>
      <c r="CR53" s="12">
        <f t="shared" si="289"/>
        <v>0.12684190966564962</v>
      </c>
      <c r="CS53" s="14">
        <f t="shared" si="290"/>
        <v>0.66919643815190177</v>
      </c>
      <c r="CT53" s="14">
        <f t="shared" si="291"/>
        <v>0.20396165218244855</v>
      </c>
      <c r="CU53" s="14">
        <f t="shared" si="292"/>
        <v>7.8742356800885593E-2</v>
      </c>
      <c r="CV53" s="12">
        <f t="shared" si="293"/>
        <v>0.91381809595578667</v>
      </c>
      <c r="CW53" s="2" t="str">
        <f t="shared" si="377"/>
        <v>18eHP04.5</v>
      </c>
      <c r="CY53" s="5">
        <f t="shared" si="294"/>
        <v>13.129758188973311</v>
      </c>
      <c r="CZ53" s="5">
        <f t="shared" si="295"/>
        <v>7.0702796402193009</v>
      </c>
      <c r="DA53" s="5">
        <f t="shared" si="296"/>
        <v>0.11166674752065273</v>
      </c>
      <c r="DB53" s="5">
        <f t="shared" si="297"/>
        <v>1.0426768885510085</v>
      </c>
      <c r="DC53" s="5">
        <f t="shared" si="298"/>
        <v>0</v>
      </c>
      <c r="DD53" s="5">
        <f t="shared" si="299"/>
        <v>1.7223268105238052</v>
      </c>
      <c r="DE53" s="5">
        <f t="shared" si="300"/>
        <v>2.9984233307648949</v>
      </c>
      <c r="DF53" s="5">
        <f t="shared" si="301"/>
        <v>1.825546770151351</v>
      </c>
      <c r="DG53" s="5">
        <f t="shared" si="302"/>
        <v>5.4626582420339784E-2</v>
      </c>
      <c r="DH53" s="5">
        <f t="shared" si="303"/>
        <v>0.36103314683771104</v>
      </c>
      <c r="DI53" s="5">
        <f t="shared" si="304"/>
        <v>0.12669689927061781</v>
      </c>
      <c r="DJ53" s="5">
        <f t="shared" si="305"/>
        <v>0</v>
      </c>
      <c r="DK53" s="5">
        <f t="shared" si="306"/>
        <v>1.5932235649853202E-2</v>
      </c>
      <c r="DL53" s="5">
        <f t="shared" si="307"/>
        <v>1.9643022534997969</v>
      </c>
      <c r="DM53" s="5">
        <f t="shared" si="308"/>
        <v>13.000000000000002</v>
      </c>
      <c r="DN53" s="5">
        <f t="shared" si="309"/>
        <v>14.973526470107808</v>
      </c>
      <c r="DO53" s="5">
        <f t="shared" si="310"/>
        <v>7.1534761076610751</v>
      </c>
      <c r="DP53" s="5">
        <f t="shared" si="311"/>
        <v>0.1129807378289827</v>
      </c>
      <c r="DQ53" s="5">
        <f t="shared" si="312"/>
        <v>1.0549461393055564</v>
      </c>
      <c r="DR53" s="5">
        <f t="shared" si="313"/>
        <v>0</v>
      </c>
      <c r="DS53" s="5">
        <f t="shared" si="314"/>
        <v>1.74259354871627</v>
      </c>
      <c r="DT53" s="5">
        <f t="shared" si="315"/>
        <v>3.0337059845931242</v>
      </c>
      <c r="DU53" s="5">
        <f t="shared" si="316"/>
        <v>1.8470281047172952</v>
      </c>
      <c r="DV53" s="5">
        <f t="shared" si="317"/>
        <v>5.5269377177697962E-2</v>
      </c>
      <c r="DW53" s="5">
        <f t="shared" si="318"/>
        <v>0.36528144874014518</v>
      </c>
      <c r="DX53" s="5">
        <f t="shared" si="319"/>
        <v>0.12818775040968461</v>
      </c>
      <c r="DY53" s="5">
        <f t="shared" si="320"/>
        <v>0</v>
      </c>
      <c r="DZ53" s="5">
        <f t="shared" si="321"/>
        <v>1.6119711363964642E-2</v>
      </c>
      <c r="EA53" s="5">
        <f t="shared" si="322"/>
        <v>1.9874163333941011</v>
      </c>
      <c r="EB53" s="5">
        <f t="shared" si="323"/>
        <v>15.000000000000004</v>
      </c>
      <c r="EC53" s="5">
        <f t="shared" si="324"/>
        <v>45.545393250441954</v>
      </c>
      <c r="ED53" s="1">
        <f t="shared" si="325"/>
        <v>7.0702796402193009</v>
      </c>
      <c r="EE53" s="5">
        <f t="shared" si="326"/>
        <v>0.11166674752065273</v>
      </c>
      <c r="EF53" s="5">
        <f t="shared" si="327"/>
        <v>1.0426768885510085</v>
      </c>
      <c r="EG53" s="5">
        <f t="shared" si="328"/>
        <v>0</v>
      </c>
      <c r="EH53" s="5">
        <f t="shared" si="329"/>
        <v>0.45460674955804592</v>
      </c>
      <c r="EI53" s="5">
        <f t="shared" si="330"/>
        <v>1.2677200609657593</v>
      </c>
      <c r="EJ53" s="5">
        <f t="shared" si="331"/>
        <v>2.9984233307648949</v>
      </c>
      <c r="EK53" s="5">
        <f t="shared" si="332"/>
        <v>1.825546770151351</v>
      </c>
      <c r="EL53" s="5">
        <f t="shared" si="333"/>
        <v>5.4626582420339784E-2</v>
      </c>
      <c r="EM53" s="5">
        <f t="shared" si="334"/>
        <v>0.36103314683771104</v>
      </c>
      <c r="EN53" s="5">
        <f t="shared" si="335"/>
        <v>0.12669689927061781</v>
      </c>
      <c r="EO53" s="5">
        <f t="shared" si="336"/>
        <v>4.1448840589277509</v>
      </c>
      <c r="EP53" s="5">
        <f t="shared" si="337"/>
        <v>10.400398084727252</v>
      </c>
      <c r="EQ53" s="5">
        <f t="shared" si="338"/>
        <v>2.0240450646102448</v>
      </c>
      <c r="ER53" s="5">
        <f t="shared" si="339"/>
        <v>100.12372720826522</v>
      </c>
      <c r="ES53" s="5">
        <f t="shared" si="340"/>
        <v>7.0702796402193009</v>
      </c>
      <c r="ET53" s="5">
        <f t="shared" si="341"/>
        <v>0.92972035978069911</v>
      </c>
      <c r="EU53" s="5">
        <f t="shared" si="342"/>
        <v>0</v>
      </c>
      <c r="EV53" s="44">
        <f t="shared" si="343"/>
        <v>8</v>
      </c>
      <c r="EW53" s="5">
        <f t="shared" si="344"/>
        <v>0.11295652877030937</v>
      </c>
      <c r="EX53" s="5">
        <f t="shared" si="345"/>
        <v>0.11166674752065273</v>
      </c>
      <c r="EY53" s="5">
        <f t="shared" si="346"/>
        <v>0</v>
      </c>
      <c r="EZ53" s="5">
        <f t="shared" si="347"/>
        <v>0.45460674955804592</v>
      </c>
      <c r="FA53" s="5">
        <f t="shared" si="348"/>
        <v>2.9984233307648949</v>
      </c>
      <c r="FB53" s="5">
        <f t="shared" si="349"/>
        <v>1.2677200609657593</v>
      </c>
      <c r="FC53" s="5">
        <f t="shared" si="350"/>
        <v>5.4626582420339784E-2</v>
      </c>
      <c r="FD53" s="44">
        <f t="shared" si="351"/>
        <v>5.0000000000000018</v>
      </c>
      <c r="FE53" s="5">
        <f t="shared" si="352"/>
        <v>0</v>
      </c>
      <c r="FF53" s="5">
        <f t="shared" si="353"/>
        <v>1.825546770151351</v>
      </c>
      <c r="FG53" s="5">
        <f t="shared" si="354"/>
        <v>0.17445322984864897</v>
      </c>
      <c r="FH53" s="44">
        <f t="shared" si="355"/>
        <v>2</v>
      </c>
      <c r="FI53" s="5">
        <f t="shared" si="356"/>
        <v>0.18657991698906207</v>
      </c>
      <c r="FJ53" s="5">
        <f t="shared" si="357"/>
        <v>0.12669689927061781</v>
      </c>
      <c r="FK53" s="44">
        <f t="shared" si="358"/>
        <v>0.31327681625967985</v>
      </c>
      <c r="FL53" s="1" t="str">
        <f t="shared" si="359"/>
        <v>Pass</v>
      </c>
      <c r="FM53" s="5">
        <f t="shared" si="360"/>
        <v>0.10833320466830647</v>
      </c>
      <c r="FN53" s="1" t="str">
        <f t="shared" si="361"/>
        <v>Mg-Hbl</v>
      </c>
      <c r="FO53" s="5">
        <f t="shared" si="362"/>
        <v>8.3491798631185183</v>
      </c>
      <c r="FP53" s="5">
        <f t="shared" si="363"/>
        <v>1.0426768885510085</v>
      </c>
      <c r="FQ53" s="5">
        <f t="shared" si="364"/>
        <v>3.2721699515356661</v>
      </c>
      <c r="FR53" s="5">
        <f t="shared" si="365"/>
        <v>-1.5373821775610286</v>
      </c>
      <c r="FS53" s="1" t="str">
        <f t="shared" si="366"/>
        <v>YES</v>
      </c>
      <c r="FT53" s="32">
        <f t="shared" si="367"/>
        <v>776.20779007576516</v>
      </c>
      <c r="FU53" s="32">
        <f t="shared" si="368"/>
        <v>86.034491942112211</v>
      </c>
      <c r="FV53" s="46">
        <f t="shared" si="369"/>
        <v>1.3694474003246349</v>
      </c>
      <c r="FW53" s="47">
        <f t="shared" si="370"/>
        <v>-13.013149033274244</v>
      </c>
      <c r="FX53" s="46">
        <f t="shared" si="371"/>
        <v>4.2625519440192363</v>
      </c>
      <c r="FY53" s="50">
        <f t="shared" si="189"/>
        <v>82.18507662781002</v>
      </c>
      <c r="FZ53" s="32">
        <f t="shared" si="190"/>
        <v>91.96123385820438</v>
      </c>
      <c r="GA53" s="32">
        <f t="shared" si="191"/>
        <v>-7.1084399587678391</v>
      </c>
      <c r="GB53" s="32">
        <f t="shared" si="192"/>
        <v>-712.39662573880946</v>
      </c>
      <c r="GC53" s="32">
        <f t="shared" si="193"/>
        <v>301.61484542764191</v>
      </c>
      <c r="GD53" s="32">
        <f t="shared" si="194"/>
        <v>-804.35785959701388</v>
      </c>
      <c r="GE53" s="4">
        <f t="shared" si="195"/>
        <v>-2.6699466351240297</v>
      </c>
      <c r="GF53" s="32">
        <f t="shared" si="196"/>
        <v>91.96123385820438</v>
      </c>
      <c r="GG53" s="1">
        <f t="shared" si="197"/>
        <v>23.428684124921801</v>
      </c>
      <c r="GH53" s="32">
        <f t="shared" si="198"/>
        <v>91.96123385820438</v>
      </c>
      <c r="GI53" s="32">
        <f t="shared" si="199"/>
        <v>746.03036110698156</v>
      </c>
      <c r="GJ53" s="46">
        <f t="shared" si="200"/>
        <v>1.2354984912399811</v>
      </c>
      <c r="GK53" s="46">
        <f t="shared" si="201"/>
        <v>73.133666204923173</v>
      </c>
      <c r="GL53" s="46">
        <f t="shared" si="202"/>
        <v>0.15297271861373107</v>
      </c>
      <c r="GM53" s="46">
        <f t="shared" si="203"/>
        <v>27.308045636098946</v>
      </c>
      <c r="GN53" s="46">
        <f t="shared" si="204"/>
        <v>0.4934055030441607</v>
      </c>
      <c r="GO53" s="46">
        <f t="shared" si="205"/>
        <v>-0.75742101667408002</v>
      </c>
      <c r="GP53" s="46">
        <f t="shared" si="206"/>
        <v>0.54303343138426641</v>
      </c>
      <c r="GQ53" s="46">
        <f t="shared" si="207"/>
        <v>6.7300127292284291</v>
      </c>
      <c r="GR53" s="46">
        <f t="shared" si="208"/>
        <v>5.5523874701292373</v>
      </c>
      <c r="GS53" s="46">
        <f t="shared" si="209"/>
        <v>113.15610267674786</v>
      </c>
      <c r="GU53" s="32">
        <f t="shared" si="372"/>
        <v>16149.999999999998</v>
      </c>
      <c r="GV53" s="32">
        <f t="shared" si="373"/>
        <v>86.034491942112211</v>
      </c>
      <c r="GW53" s="32">
        <f t="shared" si="374"/>
        <v>776.20779007576516</v>
      </c>
      <c r="GX53" s="32">
        <f t="shared" si="375"/>
        <v>91.96123385820438</v>
      </c>
      <c r="GY53" s="32">
        <f t="shared" si="376"/>
        <v>746.03036110698156</v>
      </c>
    </row>
    <row r="54" spans="1:207">
      <c r="A54" s="35">
        <v>16151</v>
      </c>
      <c r="B54" s="2" t="s">
        <v>196</v>
      </c>
      <c r="C54" s="36">
        <v>48.07</v>
      </c>
      <c r="D54" s="36">
        <v>1.0165</v>
      </c>
      <c r="E54" s="36">
        <v>6.31</v>
      </c>
      <c r="F54" s="36"/>
      <c r="G54" s="36">
        <v>14.51</v>
      </c>
      <c r="H54" s="36">
        <v>13.95</v>
      </c>
      <c r="I54" s="36">
        <v>11.5</v>
      </c>
      <c r="J54" s="36">
        <v>0.4355</v>
      </c>
      <c r="K54" s="36">
        <v>1.3449</v>
      </c>
      <c r="L54" s="36">
        <v>0.70889999999999997</v>
      </c>
      <c r="M54" s="36"/>
      <c r="N54" s="36">
        <v>8.1199999999999994E-2</v>
      </c>
      <c r="O54" s="4">
        <f t="shared" si="210"/>
        <v>97.927000000000007</v>
      </c>
      <c r="P54" s="5">
        <f t="shared" si="211"/>
        <v>0.80004260680410688</v>
      </c>
      <c r="Q54" s="5">
        <f t="shared" si="212"/>
        <v>1.2727600549922495E-2</v>
      </c>
      <c r="R54" s="5">
        <f t="shared" si="213"/>
        <v>6.1886240027047131E-2</v>
      </c>
      <c r="S54" s="5">
        <f t="shared" si="214"/>
        <v>0</v>
      </c>
      <c r="T54" s="5">
        <f t="shared" si="215"/>
        <v>0.20196424495158985</v>
      </c>
      <c r="U54" s="5">
        <f t="shared" si="216"/>
        <v>0.34611605680769342</v>
      </c>
      <c r="V54" s="5">
        <f t="shared" si="217"/>
        <v>0.20507370170514322</v>
      </c>
      <c r="W54" s="5">
        <f t="shared" si="218"/>
        <v>6.1392114621996062E-3</v>
      </c>
      <c r="X54" s="5">
        <f t="shared" si="219"/>
        <v>2.1699306248219152E-2</v>
      </c>
      <c r="Y54" s="5">
        <f t="shared" si="220"/>
        <v>7.5257972737695867E-3</v>
      </c>
      <c r="Z54" s="5">
        <f t="shared" si="221"/>
        <v>0</v>
      </c>
      <c r="AA54" s="5">
        <f t="shared" si="222"/>
        <v>2.290375627244187E-3</v>
      </c>
      <c r="AB54" s="5">
        <f t="shared" si="223"/>
        <v>1.6000852136082138</v>
      </c>
      <c r="AC54" s="5">
        <f t="shared" si="224"/>
        <v>2.545520109984499E-2</v>
      </c>
      <c r="AD54" s="5">
        <f t="shared" si="225"/>
        <v>0.1856587200811414</v>
      </c>
      <c r="AE54" s="5">
        <f t="shared" si="226"/>
        <v>0</v>
      </c>
      <c r="AF54" s="5">
        <f t="shared" si="227"/>
        <v>0.20196424495158985</v>
      </c>
      <c r="AG54" s="5">
        <f t="shared" si="228"/>
        <v>0.34611605680769342</v>
      </c>
      <c r="AH54" s="5">
        <f t="shared" si="229"/>
        <v>0.20507370170514322</v>
      </c>
      <c r="AI54" s="5">
        <f t="shared" si="230"/>
        <v>6.1392114621996062E-3</v>
      </c>
      <c r="AJ54" s="5">
        <f t="shared" si="231"/>
        <v>2.1699306248219152E-2</v>
      </c>
      <c r="AK54" s="5">
        <f t="shared" si="232"/>
        <v>7.5257972737695867E-3</v>
      </c>
      <c r="AL54" s="5">
        <f t="shared" si="233"/>
        <v>2.5997174532378149</v>
      </c>
      <c r="AM54" s="4">
        <f t="shared" si="234"/>
        <v>14.156138340016129</v>
      </c>
      <c r="AN54" s="4">
        <f t="shared" si="235"/>
        <v>0.22520509856456222</v>
      </c>
      <c r="AO54" s="4">
        <f t="shared" si="236"/>
        <v>1.6425440989935267</v>
      </c>
      <c r="AP54" s="4">
        <f t="shared" si="237"/>
        <v>0</v>
      </c>
      <c r="AQ54" s="4">
        <f t="shared" si="238"/>
        <v>1.7868009571968047</v>
      </c>
      <c r="AR54" s="4">
        <f t="shared" si="239"/>
        <v>3.0621286542744648</v>
      </c>
      <c r="AS54" s="4">
        <f t="shared" si="240"/>
        <v>1.8143106795486148</v>
      </c>
      <c r="AT54" s="4">
        <f t="shared" si="241"/>
        <v>5.4314311524404801E-2</v>
      </c>
      <c r="AU54" s="4">
        <f t="shared" si="242"/>
        <v>0.19197626383877098</v>
      </c>
      <c r="AV54" s="4">
        <f t="shared" si="243"/>
        <v>6.6581596042724414E-2</v>
      </c>
      <c r="AW54" s="4">
        <f t="shared" si="244"/>
        <v>23</v>
      </c>
      <c r="AX54" s="5">
        <f t="shared" si="245"/>
        <v>7.0780691700080647</v>
      </c>
      <c r="AY54" s="5">
        <f t="shared" si="246"/>
        <v>0.11260254928228111</v>
      </c>
      <c r="AZ54" s="5">
        <f t="shared" si="247"/>
        <v>1.0950293993290179</v>
      </c>
      <c r="BA54" s="5">
        <f t="shared" si="248"/>
        <v>0</v>
      </c>
      <c r="BB54" s="5">
        <f t="shared" si="249"/>
        <v>1.7868009571968047</v>
      </c>
      <c r="BC54" s="5">
        <f t="shared" si="250"/>
        <v>3.0621286542744648</v>
      </c>
      <c r="BD54" s="5">
        <f t="shared" si="251"/>
        <v>1.8143106795486148</v>
      </c>
      <c r="BE54" s="5">
        <f t="shared" si="252"/>
        <v>5.4314311524404801E-2</v>
      </c>
      <c r="BF54" s="5">
        <f t="shared" si="253"/>
        <v>0.38395252767754195</v>
      </c>
      <c r="BG54" s="5">
        <f t="shared" si="254"/>
        <v>0.13316319208544883</v>
      </c>
      <c r="BH54" s="5">
        <f t="shared" si="255"/>
        <v>0</v>
      </c>
      <c r="BI54" s="5">
        <f t="shared" si="256"/>
        <v>2.0263217205011168E-2</v>
      </c>
      <c r="BJ54" s="5">
        <f t="shared" si="257"/>
        <v>1.9797367827949888</v>
      </c>
      <c r="BK54" s="5">
        <f t="shared" si="258"/>
        <v>15.520371440926644</v>
      </c>
      <c r="BL54" s="11">
        <f t="shared" si="259"/>
        <v>1</v>
      </c>
      <c r="BM54" s="11">
        <f t="shared" si="260"/>
        <v>1</v>
      </c>
      <c r="BN54" s="11">
        <f t="shared" si="261"/>
        <v>0.99978299902206824</v>
      </c>
      <c r="BO54" s="11">
        <f t="shared" si="262"/>
        <v>1</v>
      </c>
      <c r="BP54" s="11">
        <f>1</f>
        <v>1</v>
      </c>
      <c r="BQ54" s="11">
        <f t="shared" si="263"/>
        <v>0.97882093702056971</v>
      </c>
      <c r="BR54" s="11">
        <f t="shared" si="264"/>
        <v>0.97483570491935378</v>
      </c>
      <c r="BS54" s="11">
        <f t="shared" si="265"/>
        <v>0.97809187613540516</v>
      </c>
      <c r="BT54" s="11">
        <f t="shared" si="266"/>
        <v>0.66315805558698815</v>
      </c>
      <c r="BU54" s="11">
        <f t="shared" si="267"/>
        <v>0.9611565009305042</v>
      </c>
      <c r="BV54" s="5">
        <f t="shared" si="268"/>
        <v>0.99978299902206824</v>
      </c>
      <c r="BW54" s="11">
        <f t="shared" si="269"/>
        <v>0.97882093702056971</v>
      </c>
      <c r="BX54" s="11">
        <f t="shared" si="270"/>
        <v>0.98930196802131898</v>
      </c>
      <c r="BY54" s="11">
        <f t="shared" si="271"/>
        <v>7.0023477596800019</v>
      </c>
      <c r="BZ54" s="11">
        <f t="shared" si="272"/>
        <v>0.11139792360917826</v>
      </c>
      <c r="CA54" s="11">
        <f t="shared" si="273"/>
        <v>1.0833147397974001</v>
      </c>
      <c r="CB54" s="11">
        <f t="shared" si="274"/>
        <v>0</v>
      </c>
      <c r="CC54" s="11">
        <f t="shared" si="275"/>
        <v>1.7676857034171753</v>
      </c>
      <c r="CD54" s="11">
        <f t="shared" si="276"/>
        <v>3.0293699040082012</v>
      </c>
      <c r="CE54" s="11">
        <f t="shared" si="277"/>
        <v>1.7949011258795413</v>
      </c>
      <c r="CF54" s="11">
        <f t="shared" si="278"/>
        <v>5.3733255282816673E-2</v>
      </c>
      <c r="CG54" s="11">
        <f t="shared" si="279"/>
        <v>0.37984499125815219</v>
      </c>
      <c r="CH54" s="11">
        <f t="shared" si="280"/>
        <v>0.13173860799813544</v>
      </c>
      <c r="CI54" s="11">
        <f t="shared" si="281"/>
        <v>15.354334010930602</v>
      </c>
      <c r="CJ54" s="11">
        <f t="shared" si="282"/>
        <v>0.492109471019327</v>
      </c>
      <c r="CK54" s="11">
        <f t="shared" si="283"/>
        <v>1.2755762323978483</v>
      </c>
      <c r="CL54" s="13">
        <f t="shared" si="284"/>
        <v>4.7849285794773877E-2</v>
      </c>
      <c r="CN54" s="32">
        <f t="shared" si="285"/>
        <v>16151</v>
      </c>
      <c r="CO54" s="12">
        <f t="shared" si="286"/>
        <v>0.75058693992000047</v>
      </c>
      <c r="CP54" s="12">
        <f t="shared" si="287"/>
        <v>0.24941306007999953</v>
      </c>
      <c r="CQ54" s="12">
        <f t="shared" si="288"/>
        <v>4.2831249738701338E-2</v>
      </c>
      <c r="CR54" s="12">
        <f t="shared" si="289"/>
        <v>0.13173860799813544</v>
      </c>
      <c r="CS54" s="14">
        <f t="shared" si="290"/>
        <v>0.64566598906939721</v>
      </c>
      <c r="CT54" s="14">
        <f t="shared" si="291"/>
        <v>0.22259540293246749</v>
      </c>
      <c r="CU54" s="14">
        <f t="shared" si="292"/>
        <v>7.8624794162842404E-2</v>
      </c>
      <c r="CV54" s="12">
        <f t="shared" si="293"/>
        <v>0.89745056293977066</v>
      </c>
      <c r="CW54" s="2" t="str">
        <f t="shared" si="377"/>
        <v>18eHP04.6</v>
      </c>
      <c r="CY54" s="5">
        <f t="shared" si="294"/>
        <v>13.188945041615037</v>
      </c>
      <c r="CZ54" s="5">
        <f t="shared" si="295"/>
        <v>6.9766686357226089</v>
      </c>
      <c r="DA54" s="5">
        <f t="shared" si="296"/>
        <v>0.1109894033261058</v>
      </c>
      <c r="DB54" s="5">
        <f t="shared" si="297"/>
        <v>1.0793419903078203</v>
      </c>
      <c r="DC54" s="5">
        <f t="shared" si="298"/>
        <v>0</v>
      </c>
      <c r="DD54" s="5">
        <f t="shared" si="299"/>
        <v>1.7612032175633399</v>
      </c>
      <c r="DE54" s="5">
        <f t="shared" si="300"/>
        <v>3.0182605492678163</v>
      </c>
      <c r="DF54" s="5">
        <f t="shared" si="301"/>
        <v>1.7883188351843942</v>
      </c>
      <c r="DG54" s="5">
        <f t="shared" si="302"/>
        <v>5.3536203812310335E-2</v>
      </c>
      <c r="DH54" s="5">
        <f t="shared" si="303"/>
        <v>0.3784520175085081</v>
      </c>
      <c r="DI54" s="5">
        <f t="shared" si="304"/>
        <v>0.13125549402538508</v>
      </c>
      <c r="DJ54" s="5">
        <f t="shared" si="305"/>
        <v>0</v>
      </c>
      <c r="DK54" s="5">
        <f t="shared" si="306"/>
        <v>1.9972926025089276E-2</v>
      </c>
      <c r="DL54" s="5">
        <f t="shared" si="307"/>
        <v>1.9513750413796029</v>
      </c>
      <c r="DM54" s="5">
        <f t="shared" si="308"/>
        <v>13.000000000000002</v>
      </c>
      <c r="DN54" s="5">
        <f t="shared" si="309"/>
        <v>15.003255721163653</v>
      </c>
      <c r="DO54" s="5">
        <f t="shared" si="310"/>
        <v>7.0765332220763044</v>
      </c>
      <c r="DP54" s="5">
        <f t="shared" si="311"/>
        <v>0.11257811441896926</v>
      </c>
      <c r="DQ54" s="5">
        <f t="shared" si="312"/>
        <v>1.0947917768784994</v>
      </c>
      <c r="DR54" s="5">
        <f t="shared" si="313"/>
        <v>0</v>
      </c>
      <c r="DS54" s="5">
        <f t="shared" si="314"/>
        <v>1.7864132196417237</v>
      </c>
      <c r="DT54" s="5">
        <f t="shared" si="315"/>
        <v>3.0614641693619342</v>
      </c>
      <c r="DU54" s="5">
        <f t="shared" si="316"/>
        <v>1.8139169723568807</v>
      </c>
      <c r="DV54" s="5">
        <f t="shared" si="317"/>
        <v>5.4302525265688316E-2</v>
      </c>
      <c r="DW54" s="5">
        <f t="shared" si="318"/>
        <v>0.38386920960355658</v>
      </c>
      <c r="DX54" s="5">
        <f t="shared" si="319"/>
        <v>0.13313429554254178</v>
      </c>
      <c r="DY54" s="5">
        <f t="shared" si="320"/>
        <v>0</v>
      </c>
      <c r="DZ54" s="5">
        <f t="shared" si="321"/>
        <v>2.0258820067061638E-2</v>
      </c>
      <c r="EA54" s="5">
        <f t="shared" si="322"/>
        <v>1.979307177977075</v>
      </c>
      <c r="EB54" s="5">
        <f t="shared" si="323"/>
        <v>15</v>
      </c>
      <c r="EC54" s="5">
        <f t="shared" si="324"/>
        <v>45.341003250307935</v>
      </c>
      <c r="ED54" s="1">
        <f t="shared" si="325"/>
        <v>6.9766686357226089</v>
      </c>
      <c r="EE54" s="5">
        <f t="shared" si="326"/>
        <v>0.1109894033261058</v>
      </c>
      <c r="EF54" s="5">
        <f t="shared" si="327"/>
        <v>1.0793419903078203</v>
      </c>
      <c r="EG54" s="5">
        <f t="shared" si="328"/>
        <v>0</v>
      </c>
      <c r="EH54" s="5">
        <f t="shared" si="329"/>
        <v>0.65899674969206501</v>
      </c>
      <c r="EI54" s="5">
        <f t="shared" si="330"/>
        <v>1.1022064678712749</v>
      </c>
      <c r="EJ54" s="5">
        <f t="shared" si="331"/>
        <v>3.0182605492678163</v>
      </c>
      <c r="EK54" s="5">
        <f t="shared" si="332"/>
        <v>1.7883188351843942</v>
      </c>
      <c r="EL54" s="5">
        <f t="shared" si="333"/>
        <v>5.3536203812310335E-2</v>
      </c>
      <c r="EM54" s="5">
        <f t="shared" si="334"/>
        <v>0.3784520175085081</v>
      </c>
      <c r="EN54" s="5">
        <f t="shared" si="335"/>
        <v>0.13125549402538508</v>
      </c>
      <c r="EO54" s="5">
        <f t="shared" si="336"/>
        <v>6.0338029432042344</v>
      </c>
      <c r="EP54" s="5">
        <f t="shared" si="337"/>
        <v>9.0807328134108545</v>
      </c>
      <c r="EQ54" s="5">
        <f t="shared" si="338"/>
        <v>2.0152203229691525</v>
      </c>
      <c r="ER54" s="5">
        <f t="shared" si="339"/>
        <v>100.54675607958423</v>
      </c>
      <c r="ES54" s="5">
        <f t="shared" si="340"/>
        <v>6.9766686357226089</v>
      </c>
      <c r="ET54" s="5">
        <f t="shared" si="341"/>
        <v>1.0233313642773911</v>
      </c>
      <c r="EU54" s="5">
        <f t="shared" si="342"/>
        <v>0</v>
      </c>
      <c r="EV54" s="44">
        <f t="shared" si="343"/>
        <v>8</v>
      </c>
      <c r="EW54" s="5">
        <f t="shared" si="344"/>
        <v>5.6010626030429167E-2</v>
      </c>
      <c r="EX54" s="5">
        <f t="shared" si="345"/>
        <v>0.1109894033261058</v>
      </c>
      <c r="EY54" s="5">
        <f t="shared" si="346"/>
        <v>0</v>
      </c>
      <c r="EZ54" s="5">
        <f t="shared" si="347"/>
        <v>0.65899674969206501</v>
      </c>
      <c r="FA54" s="5">
        <f t="shared" si="348"/>
        <v>3.0182605492678163</v>
      </c>
      <c r="FB54" s="5">
        <f t="shared" si="349"/>
        <v>1.1022064678712749</v>
      </c>
      <c r="FC54" s="5">
        <f t="shared" si="350"/>
        <v>5.3536203812310335E-2</v>
      </c>
      <c r="FD54" s="44">
        <f t="shared" si="351"/>
        <v>5.0000000000000018</v>
      </c>
      <c r="FE54" s="5">
        <f t="shared" si="352"/>
        <v>0</v>
      </c>
      <c r="FF54" s="5">
        <f t="shared" si="353"/>
        <v>1.7883188351843942</v>
      </c>
      <c r="FG54" s="5">
        <f t="shared" si="354"/>
        <v>0.21168116481560584</v>
      </c>
      <c r="FH54" s="44">
        <f t="shared" si="355"/>
        <v>2</v>
      </c>
      <c r="FI54" s="5">
        <f t="shared" si="356"/>
        <v>0.16677085269290226</v>
      </c>
      <c r="FJ54" s="5">
        <f t="shared" si="357"/>
        <v>0.13125549402538508</v>
      </c>
      <c r="FK54" s="44">
        <f t="shared" si="358"/>
        <v>0.29802634671828732</v>
      </c>
      <c r="FL54" s="1" t="str">
        <f t="shared" si="359"/>
        <v>Pass</v>
      </c>
      <c r="FM54" s="5">
        <f t="shared" si="360"/>
        <v>5.1893307712836553E-2</v>
      </c>
      <c r="FN54" s="1" t="str">
        <f t="shared" si="361"/>
        <v>Mg-Hbl</v>
      </c>
      <c r="FO54" s="5">
        <f t="shared" si="362"/>
        <v>8.2931187109170015</v>
      </c>
      <c r="FP54" s="5">
        <f t="shared" si="363"/>
        <v>1.0793419903078203</v>
      </c>
      <c r="FQ54" s="5">
        <f t="shared" si="364"/>
        <v>3.331175695113139</v>
      </c>
      <c r="FR54" s="5">
        <f t="shared" si="365"/>
        <v>-1.5837183807813269</v>
      </c>
      <c r="FS54" s="1" t="str">
        <f t="shared" si="366"/>
        <v>YES</v>
      </c>
      <c r="FT54" s="32">
        <f t="shared" si="367"/>
        <v>784.70032583931629</v>
      </c>
      <c r="FU54" s="32">
        <f t="shared" si="368"/>
        <v>90.692322039068827</v>
      </c>
      <c r="FV54" s="46">
        <f t="shared" si="369"/>
        <v>1.4664528427660004</v>
      </c>
      <c r="FW54" s="47">
        <f t="shared" si="370"/>
        <v>-12.72713969061525</v>
      </c>
      <c r="FX54" s="46">
        <f t="shared" si="371"/>
        <v>4.0209086442253792</v>
      </c>
      <c r="FY54" s="50">
        <f t="shared" si="189"/>
        <v>99.215671964193263</v>
      </c>
      <c r="FZ54" s="32">
        <f t="shared" si="190"/>
        <v>98.570638850618721</v>
      </c>
      <c r="GA54" s="32">
        <f t="shared" si="191"/>
        <v>20.109925697770418</v>
      </c>
      <c r="GB54" s="32">
        <f t="shared" si="192"/>
        <v>-627.30440467894778</v>
      </c>
      <c r="GC54" s="32">
        <f t="shared" si="193"/>
        <v>287.09341925629161</v>
      </c>
      <c r="GD54" s="32">
        <f t="shared" si="194"/>
        <v>-725.87504352956648</v>
      </c>
      <c r="GE54" s="4">
        <f t="shared" si="195"/>
        <v>-1.8936297418809305</v>
      </c>
      <c r="GF54" s="32">
        <f t="shared" si="196"/>
        <v>98.570638850618721</v>
      </c>
      <c r="GG54" s="1">
        <f t="shared" si="197"/>
        <v>0.45820176805987956</v>
      </c>
      <c r="GH54" s="32">
        <f t="shared" si="198"/>
        <v>98.570638850618721</v>
      </c>
      <c r="GI54" s="32">
        <f t="shared" si="199"/>
        <v>765.68664541519411</v>
      </c>
      <c r="GJ54" s="46">
        <f t="shared" si="200"/>
        <v>1.3973145127249798</v>
      </c>
      <c r="GK54" s="46">
        <f t="shared" si="201"/>
        <v>75.524706373374258</v>
      </c>
      <c r="GL54" s="46">
        <f t="shared" si="202"/>
        <v>0.16258501503298817</v>
      </c>
      <c r="GM54" s="46">
        <f t="shared" si="203"/>
        <v>17.91928044538254</v>
      </c>
      <c r="GN54" s="46">
        <f t="shared" si="204"/>
        <v>0.53678531859287659</v>
      </c>
      <c r="GO54" s="46">
        <f t="shared" si="205"/>
        <v>-0.79019965326069763</v>
      </c>
      <c r="GP54" s="46">
        <f t="shared" si="206"/>
        <v>0.32492300052658152</v>
      </c>
      <c r="GQ54" s="46">
        <f t="shared" si="207"/>
        <v>6.9728844570914248</v>
      </c>
      <c r="GR54" s="46">
        <f t="shared" si="208"/>
        <v>5.3640856191968789</v>
      </c>
      <c r="GS54" s="46">
        <f t="shared" si="209"/>
        <v>106.01505057593685</v>
      </c>
      <c r="GU54" s="32">
        <f t="shared" si="372"/>
        <v>16151</v>
      </c>
      <c r="GV54" s="32">
        <f t="shared" si="373"/>
        <v>90.692322039068827</v>
      </c>
      <c r="GW54" s="32">
        <f t="shared" si="374"/>
        <v>784.70032583931629</v>
      </c>
      <c r="GX54" s="32">
        <f t="shared" si="375"/>
        <v>98.570638850618721</v>
      </c>
      <c r="GY54" s="32">
        <f t="shared" si="376"/>
        <v>765.68664541519411</v>
      </c>
    </row>
    <row r="55" spans="1:207">
      <c r="A55" s="35">
        <v>16152.000000000002</v>
      </c>
      <c r="B55" s="2" t="s">
        <v>197</v>
      </c>
      <c r="C55" s="36">
        <v>47.48</v>
      </c>
      <c r="D55" s="36">
        <v>1.2690999999999999</v>
      </c>
      <c r="E55" s="36">
        <v>6.78</v>
      </c>
      <c r="F55" s="36"/>
      <c r="G55" s="36">
        <v>14.24</v>
      </c>
      <c r="H55" s="36">
        <v>13.54</v>
      </c>
      <c r="I55" s="36">
        <v>11.68</v>
      </c>
      <c r="J55" s="36">
        <v>0.42130000000000001</v>
      </c>
      <c r="K55" s="36">
        <v>1.46</v>
      </c>
      <c r="L55" s="36">
        <v>0.75049999999999994</v>
      </c>
      <c r="M55" s="36"/>
      <c r="N55" s="36">
        <v>7.85E-2</v>
      </c>
      <c r="O55" s="4">
        <f t="shared" si="210"/>
        <v>97.699400000000011</v>
      </c>
      <c r="P55" s="5">
        <f t="shared" si="211"/>
        <v>0.79022306992009561</v>
      </c>
      <c r="Q55" s="5">
        <f t="shared" si="212"/>
        <v>1.5890406156327239E-2</v>
      </c>
      <c r="R55" s="5">
        <f t="shared" si="213"/>
        <v>6.6495833182785985E-2</v>
      </c>
      <c r="S55" s="5">
        <f t="shared" si="214"/>
        <v>0</v>
      </c>
      <c r="T55" s="5">
        <f t="shared" si="215"/>
        <v>0.19820612323298686</v>
      </c>
      <c r="U55" s="5">
        <f t="shared" si="216"/>
        <v>0.33594347019184007</v>
      </c>
      <c r="V55" s="5">
        <f t="shared" si="217"/>
        <v>0.20828355094922374</v>
      </c>
      <c r="W55" s="5">
        <f t="shared" si="218"/>
        <v>5.9390351068305258E-3</v>
      </c>
      <c r="X55" s="5">
        <f t="shared" si="219"/>
        <v>2.3556388670086966E-2</v>
      </c>
      <c r="Y55" s="5">
        <f t="shared" si="220"/>
        <v>7.9674296148456412E-3</v>
      </c>
      <c r="Z55" s="5">
        <f t="shared" si="221"/>
        <v>0</v>
      </c>
      <c r="AA55" s="5">
        <f t="shared" si="222"/>
        <v>2.2142178169786788E-3</v>
      </c>
      <c r="AB55" s="5">
        <f t="shared" si="223"/>
        <v>1.5804461398401912</v>
      </c>
      <c r="AC55" s="5">
        <f t="shared" si="224"/>
        <v>3.1780812312654477E-2</v>
      </c>
      <c r="AD55" s="5">
        <f t="shared" si="225"/>
        <v>0.19948749954835795</v>
      </c>
      <c r="AE55" s="5">
        <f t="shared" si="226"/>
        <v>0</v>
      </c>
      <c r="AF55" s="5">
        <f t="shared" si="227"/>
        <v>0.19820612323298686</v>
      </c>
      <c r="AG55" s="5">
        <f t="shared" si="228"/>
        <v>0.33594347019184007</v>
      </c>
      <c r="AH55" s="5">
        <f t="shared" si="229"/>
        <v>0.20828355094922374</v>
      </c>
      <c r="AI55" s="5">
        <f t="shared" si="230"/>
        <v>5.9390351068305258E-3</v>
      </c>
      <c r="AJ55" s="5">
        <f t="shared" si="231"/>
        <v>2.3556388670086966E-2</v>
      </c>
      <c r="AK55" s="5">
        <f t="shared" si="232"/>
        <v>7.9674296148456412E-3</v>
      </c>
      <c r="AL55" s="5">
        <f t="shared" si="233"/>
        <v>2.5916104494670176</v>
      </c>
      <c r="AM55" s="4">
        <f t="shared" si="234"/>
        <v>14.026128511636491</v>
      </c>
      <c r="AN55" s="4">
        <f t="shared" si="235"/>
        <v>0.28204805368853936</v>
      </c>
      <c r="AO55" s="4">
        <f t="shared" si="236"/>
        <v>1.770409781514745</v>
      </c>
      <c r="AP55" s="4">
        <f t="shared" si="237"/>
        <v>0</v>
      </c>
      <c r="AQ55" s="4">
        <f t="shared" si="238"/>
        <v>1.7590378350636124</v>
      </c>
      <c r="AR55" s="4">
        <f t="shared" si="239"/>
        <v>2.9814279441577995</v>
      </c>
      <c r="AS55" s="4">
        <f t="shared" si="240"/>
        <v>1.8484728956149061</v>
      </c>
      <c r="AT55" s="4">
        <f t="shared" si="241"/>
        <v>5.270769281131521E-2</v>
      </c>
      <c r="AU55" s="4">
        <f t="shared" si="242"/>
        <v>0.20905801623211717</v>
      </c>
      <c r="AV55" s="4">
        <f t="shared" si="243"/>
        <v>7.0709269280472511E-2</v>
      </c>
      <c r="AW55" s="4">
        <f t="shared" si="244"/>
        <v>23</v>
      </c>
      <c r="AX55" s="5">
        <f t="shared" si="245"/>
        <v>7.0130642558182457</v>
      </c>
      <c r="AY55" s="5">
        <f t="shared" si="246"/>
        <v>0.14102402684426968</v>
      </c>
      <c r="AZ55" s="5">
        <f t="shared" si="247"/>
        <v>1.1802731876764967</v>
      </c>
      <c r="BA55" s="5">
        <f t="shared" si="248"/>
        <v>0</v>
      </c>
      <c r="BB55" s="5">
        <f t="shared" si="249"/>
        <v>1.7590378350636124</v>
      </c>
      <c r="BC55" s="5">
        <f t="shared" si="250"/>
        <v>2.9814279441577995</v>
      </c>
      <c r="BD55" s="5">
        <f t="shared" si="251"/>
        <v>1.8484728956149061</v>
      </c>
      <c r="BE55" s="5">
        <f t="shared" si="252"/>
        <v>5.270769281131521E-2</v>
      </c>
      <c r="BF55" s="5">
        <f t="shared" si="253"/>
        <v>0.41811603246423434</v>
      </c>
      <c r="BG55" s="5">
        <f t="shared" si="254"/>
        <v>0.14141853856094502</v>
      </c>
      <c r="BH55" s="5">
        <f t="shared" si="255"/>
        <v>0</v>
      </c>
      <c r="BI55" s="5">
        <f t="shared" si="256"/>
        <v>1.9650719420807667E-2</v>
      </c>
      <c r="BJ55" s="5">
        <f t="shared" si="257"/>
        <v>1.9803492805791922</v>
      </c>
      <c r="BK55" s="5">
        <f t="shared" si="258"/>
        <v>15.535542409011825</v>
      </c>
      <c r="BL55" s="11">
        <f t="shared" si="259"/>
        <v>1</v>
      </c>
      <c r="BM55" s="11">
        <f t="shared" si="260"/>
        <v>1</v>
      </c>
      <c r="BN55" s="11">
        <f t="shared" si="261"/>
        <v>1</v>
      </c>
      <c r="BO55" s="11">
        <f t="shared" si="262"/>
        <v>1</v>
      </c>
      <c r="BP55" s="11">
        <f>1</f>
        <v>1</v>
      </c>
      <c r="BQ55" s="11">
        <f t="shared" si="263"/>
        <v>0.976403090336741</v>
      </c>
      <c r="BR55" s="11">
        <f t="shared" si="264"/>
        <v>0.97439777191819255</v>
      </c>
      <c r="BS55" s="11">
        <f t="shared" si="265"/>
        <v>0.98266735199177979</v>
      </c>
      <c r="BT55" s="11">
        <f t="shared" si="266"/>
        <v>0.66256414956955567</v>
      </c>
      <c r="BU55" s="11">
        <f t="shared" si="267"/>
        <v>0.96176004706383456</v>
      </c>
      <c r="BV55" s="5">
        <f t="shared" si="268"/>
        <v>1</v>
      </c>
      <c r="BW55" s="11">
        <f t="shared" si="269"/>
        <v>0.98266735199177979</v>
      </c>
      <c r="BX55" s="11">
        <f t="shared" si="270"/>
        <v>0.99133367599588995</v>
      </c>
      <c r="BY55" s="11">
        <f t="shared" si="271"/>
        <v>6.9522867687156822</v>
      </c>
      <c r="BZ55" s="11">
        <f t="shared" si="272"/>
        <v>0.13980186693527291</v>
      </c>
      <c r="CA55" s="11">
        <f t="shared" si="273"/>
        <v>1.1700445578187284</v>
      </c>
      <c r="CB55" s="11">
        <f t="shared" si="274"/>
        <v>0</v>
      </c>
      <c r="CC55" s="11">
        <f t="shared" si="275"/>
        <v>1.7437934432494628</v>
      </c>
      <c r="CD55" s="11">
        <f t="shared" si="276"/>
        <v>2.9555899235988203</v>
      </c>
      <c r="CE55" s="11">
        <f t="shared" si="277"/>
        <v>1.8324534305886919</v>
      </c>
      <c r="CF55" s="11">
        <f t="shared" si="278"/>
        <v>5.2250910867903247E-2</v>
      </c>
      <c r="CG55" s="11">
        <f t="shared" si="279"/>
        <v>0.4144925034555863</v>
      </c>
      <c r="CH55" s="11">
        <f t="shared" si="280"/>
        <v>0.14019295968558815</v>
      </c>
      <c r="CI55" s="11">
        <f t="shared" si="281"/>
        <v>15.400906364915736</v>
      </c>
      <c r="CJ55" s="11">
        <f t="shared" si="282"/>
        <v>0.39865090418906224</v>
      </c>
      <c r="CK55" s="11">
        <f t="shared" si="283"/>
        <v>1.3451425390604006</v>
      </c>
      <c r="CL55" s="13">
        <f t="shared" si="284"/>
        <v>1.3767471185868629E-2</v>
      </c>
      <c r="CN55" s="32">
        <f t="shared" si="285"/>
        <v>16152.000000000002</v>
      </c>
      <c r="CO55" s="12">
        <f t="shared" si="286"/>
        <v>0.73807169217892055</v>
      </c>
      <c r="CP55" s="12">
        <f t="shared" si="287"/>
        <v>0.26192830782107945</v>
      </c>
      <c r="CQ55" s="12">
        <f t="shared" si="288"/>
        <v>6.1165663267205517E-2</v>
      </c>
      <c r="CR55" s="12">
        <f t="shared" si="289"/>
        <v>0.14019295968558815</v>
      </c>
      <c r="CS55" s="14">
        <f t="shared" si="290"/>
        <v>0.59909363508426505</v>
      </c>
      <c r="CT55" s="14">
        <f t="shared" si="291"/>
        <v>0.26071340523014674</v>
      </c>
      <c r="CU55" s="14">
        <f t="shared" si="292"/>
        <v>7.6889549112719724E-2</v>
      </c>
      <c r="CV55" s="12">
        <f t="shared" si="293"/>
        <v>0.91622671529434596</v>
      </c>
      <c r="CW55" s="2" t="str">
        <f t="shared" si="377"/>
        <v>18eHP04.7</v>
      </c>
      <c r="CY55" s="5">
        <f t="shared" si="294"/>
        <v>13.127534942371739</v>
      </c>
      <c r="CZ55" s="5">
        <f t="shared" si="295"/>
        <v>6.9449318341837625</v>
      </c>
      <c r="DA55" s="5">
        <f t="shared" si="296"/>
        <v>0.13965396832105351</v>
      </c>
      <c r="DB55" s="5">
        <f t="shared" si="297"/>
        <v>1.1688067491079444</v>
      </c>
      <c r="DC55" s="5">
        <f t="shared" si="298"/>
        <v>0</v>
      </c>
      <c r="DD55" s="5">
        <f t="shared" si="299"/>
        <v>1.7419486564851996</v>
      </c>
      <c r="DE55" s="5">
        <f t="shared" si="300"/>
        <v>2.9524631581021659</v>
      </c>
      <c r="DF55" s="5">
        <f t="shared" si="301"/>
        <v>1.8305148490164502</v>
      </c>
      <c r="DG55" s="5">
        <f t="shared" si="302"/>
        <v>5.2195633799874949E-2</v>
      </c>
      <c r="DH55" s="5">
        <f t="shared" si="303"/>
        <v>0.41405400525660446</v>
      </c>
      <c r="DI55" s="5">
        <f t="shared" si="304"/>
        <v>0.14004464732814004</v>
      </c>
      <c r="DJ55" s="5">
        <f t="shared" si="305"/>
        <v>0</v>
      </c>
      <c r="DK55" s="5">
        <f t="shared" si="306"/>
        <v>1.9459811273931836E-2</v>
      </c>
      <c r="DL55" s="5">
        <f t="shared" si="307"/>
        <v>1.9611100454536865</v>
      </c>
      <c r="DM55" s="5">
        <f t="shared" si="308"/>
        <v>13</v>
      </c>
      <c r="DN55" s="5">
        <f t="shared" si="309"/>
        <v>14.976007837986645</v>
      </c>
      <c r="DO55" s="5">
        <f t="shared" si="310"/>
        <v>7.0242994645371457</v>
      </c>
      <c r="DP55" s="5">
        <f t="shared" si="311"/>
        <v>0.14124995296132481</v>
      </c>
      <c r="DQ55" s="5">
        <f t="shared" si="312"/>
        <v>1.1821640324092917</v>
      </c>
      <c r="DR55" s="5">
        <f t="shared" si="313"/>
        <v>0</v>
      </c>
      <c r="DS55" s="5">
        <f t="shared" si="314"/>
        <v>1.7618558838509149</v>
      </c>
      <c r="DT55" s="5">
        <f t="shared" si="315"/>
        <v>2.9862043106662317</v>
      </c>
      <c r="DU55" s="5">
        <f t="shared" si="316"/>
        <v>1.8514342229371579</v>
      </c>
      <c r="DV55" s="5">
        <f t="shared" si="317"/>
        <v>5.2792132637933864E-2</v>
      </c>
      <c r="DW55" s="5">
        <f t="shared" si="318"/>
        <v>0.41878587102867598</v>
      </c>
      <c r="DX55" s="5">
        <f t="shared" si="319"/>
        <v>0.14164509670150902</v>
      </c>
      <c r="DY55" s="5">
        <f t="shared" si="320"/>
        <v>0</v>
      </c>
      <c r="DZ55" s="5">
        <f t="shared" si="321"/>
        <v>1.9682200657270908E-2</v>
      </c>
      <c r="EA55" s="5">
        <f t="shared" si="322"/>
        <v>1.9835218791312692</v>
      </c>
      <c r="EB55" s="5">
        <f t="shared" si="323"/>
        <v>15.000000000000002</v>
      </c>
      <c r="EC55" s="5">
        <f t="shared" si="324"/>
        <v>45.553106704735221</v>
      </c>
      <c r="ED55" s="1">
        <f t="shared" si="325"/>
        <v>6.9449318341837625</v>
      </c>
      <c r="EE55" s="5">
        <f t="shared" si="326"/>
        <v>0.13965396832105351</v>
      </c>
      <c r="EF55" s="5">
        <f t="shared" si="327"/>
        <v>1.1688067491079444</v>
      </c>
      <c r="EG55" s="5">
        <f t="shared" si="328"/>
        <v>0</v>
      </c>
      <c r="EH55" s="5">
        <f t="shared" si="329"/>
        <v>0.44689329526477906</v>
      </c>
      <c r="EI55" s="5">
        <f t="shared" si="330"/>
        <v>1.2950553612204205</v>
      </c>
      <c r="EJ55" s="5">
        <f t="shared" si="331"/>
        <v>2.9524631581021659</v>
      </c>
      <c r="EK55" s="5">
        <f t="shared" si="332"/>
        <v>1.8305148490164502</v>
      </c>
      <c r="EL55" s="5">
        <f t="shared" si="333"/>
        <v>5.2195633799874949E-2</v>
      </c>
      <c r="EM55" s="5">
        <f t="shared" si="334"/>
        <v>0.41405400525660446</v>
      </c>
      <c r="EN55" s="5">
        <f t="shared" si="335"/>
        <v>0.14004464732814004</v>
      </c>
      <c r="EO55" s="5">
        <f t="shared" si="336"/>
        <v>4.0600219906425528</v>
      </c>
      <c r="EP55" s="5">
        <f t="shared" si="337"/>
        <v>10.586757695252125</v>
      </c>
      <c r="EQ55" s="5">
        <f t="shared" si="338"/>
        <v>2.0132138174255116</v>
      </c>
      <c r="ER55" s="5">
        <f t="shared" si="339"/>
        <v>100.11939350332018</v>
      </c>
      <c r="ES55" s="5">
        <f t="shared" si="340"/>
        <v>6.9449318341837625</v>
      </c>
      <c r="ET55" s="5">
        <f t="shared" si="341"/>
        <v>1.0550681658162375</v>
      </c>
      <c r="EU55" s="5">
        <f t="shared" si="342"/>
        <v>0</v>
      </c>
      <c r="EV55" s="44">
        <f t="shared" si="343"/>
        <v>8</v>
      </c>
      <c r="EW55" s="5">
        <f t="shared" si="344"/>
        <v>0.11373858329170683</v>
      </c>
      <c r="EX55" s="5">
        <f t="shared" si="345"/>
        <v>0.13965396832105351</v>
      </c>
      <c r="EY55" s="5">
        <f t="shared" si="346"/>
        <v>0</v>
      </c>
      <c r="EZ55" s="5">
        <f t="shared" si="347"/>
        <v>0.44689329526477906</v>
      </c>
      <c r="FA55" s="5">
        <f t="shared" si="348"/>
        <v>2.9524631581021659</v>
      </c>
      <c r="FB55" s="5">
        <f t="shared" si="349"/>
        <v>1.2950553612204205</v>
      </c>
      <c r="FC55" s="5">
        <f t="shared" si="350"/>
        <v>5.2195633799874949E-2</v>
      </c>
      <c r="FD55" s="44">
        <f t="shared" si="351"/>
        <v>5.0000000000000009</v>
      </c>
      <c r="FE55" s="5">
        <f t="shared" si="352"/>
        <v>0</v>
      </c>
      <c r="FF55" s="5">
        <f t="shared" si="353"/>
        <v>1.8305148490164502</v>
      </c>
      <c r="FG55" s="5">
        <f t="shared" si="354"/>
        <v>0.16948515098354977</v>
      </c>
      <c r="FH55" s="44">
        <f t="shared" si="355"/>
        <v>2</v>
      </c>
      <c r="FI55" s="5">
        <f t="shared" si="356"/>
        <v>0.24456885427305469</v>
      </c>
      <c r="FJ55" s="5">
        <f t="shared" si="357"/>
        <v>0.14004464732814004</v>
      </c>
      <c r="FK55" s="44">
        <f t="shared" si="358"/>
        <v>0.38461350160119473</v>
      </c>
      <c r="FL55" s="1" t="str">
        <f t="shared" si="359"/>
        <v>Pass</v>
      </c>
      <c r="FM55" s="5">
        <f t="shared" si="360"/>
        <v>9.7311709894312551E-2</v>
      </c>
      <c r="FN55" s="1" t="str">
        <f t="shared" si="361"/>
        <v>Mg-Hbl</v>
      </c>
      <c r="FO55" s="5">
        <f t="shared" si="362"/>
        <v>8.1841979064636945</v>
      </c>
      <c r="FP55" s="5">
        <f t="shared" si="363"/>
        <v>1.1688067491079444</v>
      </c>
      <c r="FQ55" s="5">
        <f t="shared" si="364"/>
        <v>3.161776729962718</v>
      </c>
      <c r="FR55" s="5">
        <f t="shared" si="365"/>
        <v>-1.5441837939115695</v>
      </c>
      <c r="FS55" s="1" t="str">
        <f t="shared" si="366"/>
        <v>YES</v>
      </c>
      <c r="FT55" s="32">
        <f t="shared" si="367"/>
        <v>801.20041174353446</v>
      </c>
      <c r="FU55" s="32">
        <f t="shared" si="368"/>
        <v>103.14368585618614</v>
      </c>
      <c r="FV55" s="46">
        <f t="shared" si="369"/>
        <v>1.187960944058708</v>
      </c>
      <c r="FW55" s="47">
        <f t="shared" si="370"/>
        <v>-12.64559590946698</v>
      </c>
      <c r="FX55" s="46">
        <f t="shared" si="371"/>
        <v>4.2270815147511644</v>
      </c>
      <c r="FY55" s="50">
        <f t="shared" si="189"/>
        <v>107.43187392915486</v>
      </c>
      <c r="FZ55" s="32">
        <f t="shared" si="190"/>
        <v>106.99478747491685</v>
      </c>
      <c r="GA55" s="32">
        <f t="shared" si="191"/>
        <v>44.159917174217966</v>
      </c>
      <c r="GB55" s="32">
        <f t="shared" si="192"/>
        <v>-514.89551140718322</v>
      </c>
      <c r="GC55" s="32">
        <f t="shared" si="193"/>
        <v>351.56640880204242</v>
      </c>
      <c r="GD55" s="32">
        <f t="shared" si="194"/>
        <v>-621.89029888210007</v>
      </c>
      <c r="GE55" s="4">
        <f t="shared" si="195"/>
        <v>-2.2724590565541121</v>
      </c>
      <c r="GF55" s="32">
        <f t="shared" si="196"/>
        <v>106.99478747491685</v>
      </c>
      <c r="GG55" s="1">
        <f t="shared" si="197"/>
        <v>7.6357135316445692</v>
      </c>
      <c r="GH55" s="32">
        <f t="shared" si="198"/>
        <v>106.99478747491685</v>
      </c>
      <c r="GI55" s="32">
        <f t="shared" si="199"/>
        <v>773.33634643565051</v>
      </c>
      <c r="GJ55" s="46">
        <f t="shared" si="200"/>
        <v>1.4318274751209827</v>
      </c>
      <c r="GK55" s="46">
        <f t="shared" si="201"/>
        <v>76.716632701637863</v>
      </c>
      <c r="GL55" s="46">
        <f t="shared" si="202"/>
        <v>0.17256485679872652</v>
      </c>
      <c r="GM55" s="46">
        <f t="shared" si="203"/>
        <v>14.184714019779605</v>
      </c>
      <c r="GN55" s="46">
        <f t="shared" si="204"/>
        <v>0.60770011483364528</v>
      </c>
      <c r="GO55" s="46">
        <f t="shared" si="205"/>
        <v>-0.59213971980113489</v>
      </c>
      <c r="GP55" s="46">
        <f t="shared" si="206"/>
        <v>0.4139258938168382</v>
      </c>
      <c r="GQ55" s="46">
        <f t="shared" si="207"/>
        <v>6.7464392638172344</v>
      </c>
      <c r="GR55" s="46">
        <f t="shared" si="208"/>
        <v>5.4383412754678035</v>
      </c>
      <c r="GS55" s="46">
        <f t="shared" si="209"/>
        <v>103.68817840635059</v>
      </c>
      <c r="GU55" s="32">
        <f t="shared" si="372"/>
        <v>16152.000000000002</v>
      </c>
      <c r="GV55" s="32">
        <f t="shared" si="373"/>
        <v>103.14368585618614</v>
      </c>
      <c r="GW55" s="32">
        <f t="shared" si="374"/>
        <v>801.20041174353446</v>
      </c>
      <c r="GX55" s="32">
        <f t="shared" si="375"/>
        <v>106.99478747491685</v>
      </c>
      <c r="GY55" s="32">
        <f t="shared" si="376"/>
        <v>773.33634643565051</v>
      </c>
    </row>
    <row r="56" spans="1:207">
      <c r="A56" s="35">
        <v>16154</v>
      </c>
      <c r="B56" s="2" t="s">
        <v>198</v>
      </c>
      <c r="C56" s="36">
        <v>47.19</v>
      </c>
      <c r="D56" s="36">
        <v>1.3152999999999999</v>
      </c>
      <c r="E56" s="36">
        <v>7.06</v>
      </c>
      <c r="F56" s="36"/>
      <c r="G56" s="36">
        <v>14.06</v>
      </c>
      <c r="H56" s="36">
        <v>13.58</v>
      </c>
      <c r="I56" s="36">
        <v>11.67</v>
      </c>
      <c r="J56" s="36">
        <v>0.42220000000000002</v>
      </c>
      <c r="K56" s="36">
        <v>1.52</v>
      </c>
      <c r="L56" s="36">
        <v>0.72309999999999997</v>
      </c>
      <c r="M56" s="36"/>
      <c r="N56" s="36">
        <v>7.51E-2</v>
      </c>
      <c r="O56" s="4">
        <f t="shared" si="210"/>
        <v>97.615700000000004</v>
      </c>
      <c r="P56" s="5">
        <f t="shared" si="211"/>
        <v>0.7853965178923612</v>
      </c>
      <c r="Q56" s="5">
        <f t="shared" si="212"/>
        <v>1.6468876540396516E-2</v>
      </c>
      <c r="R56" s="5">
        <f t="shared" si="213"/>
        <v>6.9241973786204863E-2</v>
      </c>
      <c r="S56" s="5">
        <f t="shared" si="214"/>
        <v>0</v>
      </c>
      <c r="T56" s="5">
        <f t="shared" si="215"/>
        <v>0.19570070875391821</v>
      </c>
      <c r="U56" s="5">
        <f t="shared" si="216"/>
        <v>0.33693591766655751</v>
      </c>
      <c r="V56" s="5">
        <f t="shared" si="217"/>
        <v>0.20810522599121925</v>
      </c>
      <c r="W56" s="5">
        <f t="shared" si="218"/>
        <v>5.9517223406215245E-3</v>
      </c>
      <c r="X56" s="5">
        <f t="shared" si="219"/>
        <v>2.4524459437350817E-2</v>
      </c>
      <c r="Y56" s="5">
        <f t="shared" si="220"/>
        <v>7.6765467748099708E-3</v>
      </c>
      <c r="Z56" s="5">
        <f t="shared" si="221"/>
        <v>0</v>
      </c>
      <c r="AA56" s="5">
        <f t="shared" si="222"/>
        <v>2.1183153892369269E-3</v>
      </c>
      <c r="AB56" s="5">
        <f t="shared" si="223"/>
        <v>1.5707930357847224</v>
      </c>
      <c r="AC56" s="5">
        <f t="shared" si="224"/>
        <v>3.2937753080793032E-2</v>
      </c>
      <c r="AD56" s="5">
        <f t="shared" si="225"/>
        <v>0.20772592135861459</v>
      </c>
      <c r="AE56" s="5">
        <f t="shared" si="226"/>
        <v>0</v>
      </c>
      <c r="AF56" s="5">
        <f t="shared" si="227"/>
        <v>0.19570070875391821</v>
      </c>
      <c r="AG56" s="5">
        <f t="shared" si="228"/>
        <v>0.33693591766655751</v>
      </c>
      <c r="AH56" s="5">
        <f t="shared" si="229"/>
        <v>0.20810522599121925</v>
      </c>
      <c r="AI56" s="5">
        <f t="shared" si="230"/>
        <v>5.9517223406215245E-3</v>
      </c>
      <c r="AJ56" s="5">
        <f t="shared" si="231"/>
        <v>2.4524459437350817E-2</v>
      </c>
      <c r="AK56" s="5">
        <f t="shared" si="232"/>
        <v>7.6765467748099708E-3</v>
      </c>
      <c r="AL56" s="5">
        <f t="shared" si="233"/>
        <v>2.5903512911886071</v>
      </c>
      <c r="AM56" s="4">
        <f t="shared" si="234"/>
        <v>13.947235630141437</v>
      </c>
      <c r="AN56" s="4">
        <f t="shared" si="235"/>
        <v>0.2924577540641688</v>
      </c>
      <c r="AO56" s="4">
        <f t="shared" si="236"/>
        <v>1.844420178645285</v>
      </c>
      <c r="AP56" s="4">
        <f t="shared" si="237"/>
        <v>0</v>
      </c>
      <c r="AQ56" s="4">
        <f t="shared" si="238"/>
        <v>1.7376470583936665</v>
      </c>
      <c r="AR56" s="4">
        <f t="shared" si="239"/>
        <v>2.9916892479764319</v>
      </c>
      <c r="AS56" s="4">
        <f t="shared" si="240"/>
        <v>1.847788064143898</v>
      </c>
      <c r="AT56" s="4">
        <f t="shared" si="241"/>
        <v>5.2845965062708534E-2</v>
      </c>
      <c r="AU56" s="4">
        <f t="shared" si="242"/>
        <v>0.2177552399853239</v>
      </c>
      <c r="AV56" s="4">
        <f t="shared" si="243"/>
        <v>6.8160861587083371E-2</v>
      </c>
      <c r="AW56" s="4">
        <f t="shared" si="244"/>
        <v>23.000000000000004</v>
      </c>
      <c r="AX56" s="5">
        <f t="shared" si="245"/>
        <v>6.9736178150707184</v>
      </c>
      <c r="AY56" s="5">
        <f t="shared" si="246"/>
        <v>0.1462288770320844</v>
      </c>
      <c r="AZ56" s="5">
        <f t="shared" si="247"/>
        <v>1.22961345243019</v>
      </c>
      <c r="BA56" s="5">
        <f t="shared" si="248"/>
        <v>0</v>
      </c>
      <c r="BB56" s="5">
        <f t="shared" si="249"/>
        <v>1.7376470583936665</v>
      </c>
      <c r="BC56" s="5">
        <f t="shared" si="250"/>
        <v>2.9916892479764319</v>
      </c>
      <c r="BD56" s="5">
        <f t="shared" si="251"/>
        <v>1.847788064143898</v>
      </c>
      <c r="BE56" s="5">
        <f t="shared" si="252"/>
        <v>5.2845965062708534E-2</v>
      </c>
      <c r="BF56" s="5">
        <f t="shared" si="253"/>
        <v>0.43551047997064779</v>
      </c>
      <c r="BG56" s="5">
        <f t="shared" si="254"/>
        <v>0.13632172317416674</v>
      </c>
      <c r="BH56" s="5">
        <f t="shared" si="255"/>
        <v>0</v>
      </c>
      <c r="BI56" s="5">
        <f t="shared" si="256"/>
        <v>1.8808743863498574E-2</v>
      </c>
      <c r="BJ56" s="5">
        <f t="shared" si="257"/>
        <v>1.9811912561365015</v>
      </c>
      <c r="BK56" s="5">
        <f t="shared" si="258"/>
        <v>15.55126268325451</v>
      </c>
      <c r="BL56" s="11">
        <f t="shared" si="259"/>
        <v>1</v>
      </c>
      <c r="BM56" s="11">
        <f t="shared" si="260"/>
        <v>1</v>
      </c>
      <c r="BN56" s="11">
        <f t="shared" si="261"/>
        <v>1</v>
      </c>
      <c r="BO56" s="11">
        <f t="shared" si="262"/>
        <v>1</v>
      </c>
      <c r="BP56" s="11">
        <f>1</f>
        <v>1</v>
      </c>
      <c r="BQ56" s="11">
        <f t="shared" si="263"/>
        <v>0.97522546166581225</v>
      </c>
      <c r="BR56" s="11">
        <f t="shared" si="264"/>
        <v>0.97308189754635421</v>
      </c>
      <c r="BS56" s="11">
        <f t="shared" si="265"/>
        <v>0.98235998143810555</v>
      </c>
      <c r="BT56" s="11">
        <f t="shared" si="266"/>
        <v>0.66238008444360297</v>
      </c>
      <c r="BU56" s="11">
        <f t="shared" si="267"/>
        <v>0.96222506394796381</v>
      </c>
      <c r="BV56" s="5">
        <f t="shared" si="268"/>
        <v>1</v>
      </c>
      <c r="BW56" s="11">
        <f t="shared" si="269"/>
        <v>0.98235998143810555</v>
      </c>
      <c r="BX56" s="11">
        <f t="shared" si="270"/>
        <v>0.99117999071905283</v>
      </c>
      <c r="BY56" s="11">
        <f t="shared" si="271"/>
        <v>6.9121104412200163</v>
      </c>
      <c r="BZ56" s="11">
        <f t="shared" si="272"/>
        <v>0.14493913697951893</v>
      </c>
      <c r="CA56" s="11">
        <f t="shared" si="273"/>
        <v>1.2187682503677784</v>
      </c>
      <c r="CB56" s="11">
        <f t="shared" si="274"/>
        <v>0</v>
      </c>
      <c r="CC56" s="11">
        <f t="shared" si="275"/>
        <v>1.7223209952116239</v>
      </c>
      <c r="CD56" s="11">
        <f t="shared" si="276"/>
        <v>2.9653025210435699</v>
      </c>
      <c r="CE56" s="11">
        <f t="shared" si="277"/>
        <v>1.8314905562689254</v>
      </c>
      <c r="CF56" s="11">
        <f t="shared" si="278"/>
        <v>5.2379863160394835E-2</v>
      </c>
      <c r="CG56" s="11">
        <f t="shared" si="279"/>
        <v>0.43166927349535694</v>
      </c>
      <c r="CH56" s="11">
        <f t="shared" si="280"/>
        <v>0.13511936431057589</v>
      </c>
      <c r="CI56" s="11">
        <f t="shared" si="281"/>
        <v>15.414100402057757</v>
      </c>
      <c r="CJ56" s="11">
        <f t="shared" si="282"/>
        <v>0.40572042692356991</v>
      </c>
      <c r="CK56" s="11">
        <f t="shared" si="283"/>
        <v>1.3166005682880539</v>
      </c>
      <c r="CL56" s="13">
        <f t="shared" si="284"/>
        <v>1.5821207982904539E-2</v>
      </c>
      <c r="CN56" s="32">
        <f t="shared" si="285"/>
        <v>16154</v>
      </c>
      <c r="CO56" s="12">
        <f t="shared" si="286"/>
        <v>0.72802761030500407</v>
      </c>
      <c r="CP56" s="12">
        <f t="shared" si="287"/>
        <v>0.27197238969499593</v>
      </c>
      <c r="CQ56" s="12">
        <f t="shared" si="288"/>
        <v>6.5439345793897097E-2</v>
      </c>
      <c r="CR56" s="12">
        <f t="shared" si="289"/>
        <v>0.13511936431057589</v>
      </c>
      <c r="CS56" s="14">
        <f t="shared" si="290"/>
        <v>0.58589959794223723</v>
      </c>
      <c r="CT56" s="14">
        <f t="shared" si="291"/>
        <v>0.27898103774718708</v>
      </c>
      <c r="CU56" s="14">
        <f t="shared" si="292"/>
        <v>7.6344117874085016E-2</v>
      </c>
      <c r="CV56" s="12">
        <f t="shared" si="293"/>
        <v>0.91574527813446271</v>
      </c>
      <c r="CW56" s="2" t="str">
        <f t="shared" si="377"/>
        <v>18eHP04.9</v>
      </c>
      <c r="CY56" s="5">
        <f t="shared" si="294"/>
        <v>13.131642415965798</v>
      </c>
      <c r="CZ56" s="5">
        <f t="shared" si="295"/>
        <v>6.9037085175039579</v>
      </c>
      <c r="DA56" s="5">
        <f t="shared" si="296"/>
        <v>0.14476295814344145</v>
      </c>
      <c r="DB56" s="5">
        <f t="shared" si="297"/>
        <v>1.217286792865873</v>
      </c>
      <c r="DC56" s="5">
        <f t="shared" si="298"/>
        <v>0</v>
      </c>
      <c r="DD56" s="5">
        <f t="shared" si="299"/>
        <v>1.7202274508825233</v>
      </c>
      <c r="DE56" s="5">
        <f t="shared" si="300"/>
        <v>2.9616980870883101</v>
      </c>
      <c r="DF56" s="5">
        <f t="shared" si="301"/>
        <v>1.829264312334991</v>
      </c>
      <c r="DG56" s="5">
        <f t="shared" si="302"/>
        <v>5.2316193515895712E-2</v>
      </c>
      <c r="DH56" s="5">
        <f t="shared" si="303"/>
        <v>0.43114456366363241</v>
      </c>
      <c r="DI56" s="5">
        <f t="shared" si="304"/>
        <v>0.13495512176827945</v>
      </c>
      <c r="DJ56" s="5">
        <f t="shared" si="305"/>
        <v>0</v>
      </c>
      <c r="DK56" s="5">
        <f t="shared" si="306"/>
        <v>1.8620189499540078E-2</v>
      </c>
      <c r="DL56" s="5">
        <f t="shared" si="307"/>
        <v>1.9613301606857889</v>
      </c>
      <c r="DM56" s="5">
        <f t="shared" si="308"/>
        <v>13.000000000000002</v>
      </c>
      <c r="DN56" s="5">
        <f t="shared" si="309"/>
        <v>14.979430480109697</v>
      </c>
      <c r="DO56" s="5">
        <f t="shared" si="310"/>
        <v>6.9831938780956069</v>
      </c>
      <c r="DP56" s="5">
        <f t="shared" si="311"/>
        <v>0.14642967624128278</v>
      </c>
      <c r="DQ56" s="5">
        <f t="shared" si="312"/>
        <v>1.2313019384110644</v>
      </c>
      <c r="DR56" s="5">
        <f t="shared" si="313"/>
        <v>0</v>
      </c>
      <c r="DS56" s="5">
        <f t="shared" si="314"/>
        <v>1.7400331681845171</v>
      </c>
      <c r="DT56" s="5">
        <f t="shared" si="315"/>
        <v>2.99579738890833</v>
      </c>
      <c r="DU56" s="5">
        <f t="shared" si="316"/>
        <v>1.8503254178429549</v>
      </c>
      <c r="DV56" s="5">
        <f t="shared" si="317"/>
        <v>5.291853231624484E-2</v>
      </c>
      <c r="DW56" s="5">
        <f t="shared" si="318"/>
        <v>0.4361085161571428</v>
      </c>
      <c r="DX56" s="5">
        <f t="shared" si="319"/>
        <v>0.13650891803448101</v>
      </c>
      <c r="DY56" s="5">
        <f t="shared" si="320"/>
        <v>0</v>
      </c>
      <c r="DZ56" s="5">
        <f t="shared" si="321"/>
        <v>1.8834571736696129E-2</v>
      </c>
      <c r="EA56" s="5">
        <f t="shared" si="322"/>
        <v>1.9839117970144546</v>
      </c>
      <c r="EB56" s="5">
        <f t="shared" si="323"/>
        <v>15.000000000000002</v>
      </c>
      <c r="EC56" s="5">
        <f t="shared" si="324"/>
        <v>45.538858054262569</v>
      </c>
      <c r="ED56" s="1">
        <f t="shared" si="325"/>
        <v>6.9037085175039579</v>
      </c>
      <c r="EE56" s="5">
        <f t="shared" si="326"/>
        <v>0.14476295814344145</v>
      </c>
      <c r="EF56" s="5">
        <f t="shared" si="327"/>
        <v>1.217286792865873</v>
      </c>
      <c r="EG56" s="5">
        <f t="shared" si="328"/>
        <v>0</v>
      </c>
      <c r="EH56" s="5">
        <f t="shared" si="329"/>
        <v>0.46114194573743106</v>
      </c>
      <c r="EI56" s="5">
        <f t="shared" si="330"/>
        <v>1.2590855051450922</v>
      </c>
      <c r="EJ56" s="5">
        <f t="shared" si="331"/>
        <v>2.9616980870883101</v>
      </c>
      <c r="EK56" s="5">
        <f t="shared" si="332"/>
        <v>1.829264312334991</v>
      </c>
      <c r="EL56" s="5">
        <f t="shared" si="333"/>
        <v>5.2316193515895712E-2</v>
      </c>
      <c r="EM56" s="5">
        <f t="shared" si="334"/>
        <v>0.43114456366363241</v>
      </c>
      <c r="EN56" s="5">
        <f t="shared" si="335"/>
        <v>0.13495512176827945</v>
      </c>
      <c r="EO56" s="5">
        <f t="shared" si="336"/>
        <v>4.188745578130229</v>
      </c>
      <c r="EP56" s="5">
        <f t="shared" si="337"/>
        <v>10.290931116846211</v>
      </c>
      <c r="EQ56" s="5">
        <f t="shared" si="338"/>
        <v>2.0126312409839882</v>
      </c>
      <c r="ER56" s="5">
        <f t="shared" si="339"/>
        <v>100.04800793596043</v>
      </c>
      <c r="ES56" s="5">
        <f t="shared" si="340"/>
        <v>6.9037085175039579</v>
      </c>
      <c r="ET56" s="5">
        <f t="shared" si="341"/>
        <v>1.0962914824960421</v>
      </c>
      <c r="EU56" s="5">
        <f t="shared" si="342"/>
        <v>0</v>
      </c>
      <c r="EV56" s="44">
        <f t="shared" si="343"/>
        <v>8</v>
      </c>
      <c r="EW56" s="5">
        <f t="shared" si="344"/>
        <v>0.12099531036983091</v>
      </c>
      <c r="EX56" s="5">
        <f t="shared" si="345"/>
        <v>0.14476295814344145</v>
      </c>
      <c r="EY56" s="5">
        <f t="shared" si="346"/>
        <v>0</v>
      </c>
      <c r="EZ56" s="5">
        <f t="shared" si="347"/>
        <v>0.46114194573743106</v>
      </c>
      <c r="FA56" s="5">
        <f t="shared" si="348"/>
        <v>2.9616980870883101</v>
      </c>
      <c r="FB56" s="5">
        <f t="shared" si="349"/>
        <v>1.2590855051450922</v>
      </c>
      <c r="FC56" s="5">
        <f t="shared" si="350"/>
        <v>5.2316193515895712E-2</v>
      </c>
      <c r="FD56" s="44">
        <f t="shared" si="351"/>
        <v>5.0000000000000018</v>
      </c>
      <c r="FE56" s="5">
        <f t="shared" si="352"/>
        <v>0</v>
      </c>
      <c r="FF56" s="5">
        <f t="shared" si="353"/>
        <v>1.829264312334991</v>
      </c>
      <c r="FG56" s="5">
        <f t="shared" si="354"/>
        <v>0.17073568766500902</v>
      </c>
      <c r="FH56" s="44">
        <f t="shared" si="355"/>
        <v>2</v>
      </c>
      <c r="FI56" s="5">
        <f t="shared" si="356"/>
        <v>0.26040887599862339</v>
      </c>
      <c r="FJ56" s="5">
        <f t="shared" si="357"/>
        <v>0.13495512176827945</v>
      </c>
      <c r="FK56" s="44">
        <f t="shared" si="358"/>
        <v>0.39536399776690284</v>
      </c>
      <c r="FL56" s="1" t="str">
        <f t="shared" si="359"/>
        <v>Pass</v>
      </c>
      <c r="FM56" s="5">
        <f t="shared" si="360"/>
        <v>9.9397538097797139E-2</v>
      </c>
      <c r="FN56" s="1" t="str">
        <f t="shared" si="361"/>
        <v>Mg-Hbl</v>
      </c>
      <c r="FO56" s="5">
        <f t="shared" si="362"/>
        <v>8.1252762499945561</v>
      </c>
      <c r="FP56" s="5">
        <f t="shared" si="363"/>
        <v>1.217286792865873</v>
      </c>
      <c r="FQ56" s="5">
        <f t="shared" si="364"/>
        <v>3.152894028969031</v>
      </c>
      <c r="FR56" s="5">
        <f t="shared" si="365"/>
        <v>-1.5184101418248275</v>
      </c>
      <c r="FS56" s="1" t="str">
        <f t="shared" si="366"/>
        <v>YES</v>
      </c>
      <c r="FT56" s="32">
        <f t="shared" si="367"/>
        <v>810.12627671707469</v>
      </c>
      <c r="FU56" s="32">
        <f t="shared" si="368"/>
        <v>110.59084693006507</v>
      </c>
      <c r="FV56" s="46">
        <f t="shared" si="369"/>
        <v>1.1733577836250868</v>
      </c>
      <c r="FW56" s="47">
        <f t="shared" si="370"/>
        <v>-12.469753906628817</v>
      </c>
      <c r="FX56" s="46">
        <f t="shared" si="371"/>
        <v>4.3614911103835245</v>
      </c>
      <c r="FY56" s="50">
        <f t="shared" si="189"/>
        <v>118.51708609293743</v>
      </c>
      <c r="FZ56" s="32">
        <f t="shared" si="190"/>
        <v>114.64641444437045</v>
      </c>
      <c r="GA56" s="32">
        <f t="shared" si="191"/>
        <v>65.179352796095031</v>
      </c>
      <c r="GB56" s="32">
        <f t="shared" si="192"/>
        <v>-449.85546085379121</v>
      </c>
      <c r="GC56" s="32">
        <f t="shared" si="193"/>
        <v>371.87665115695933</v>
      </c>
      <c r="GD56" s="32">
        <f t="shared" si="194"/>
        <v>-564.50187529816162</v>
      </c>
      <c r="GE56" s="4">
        <f t="shared" si="195"/>
        <v>-2.1377471672341417</v>
      </c>
      <c r="GF56" s="32">
        <f t="shared" si="196"/>
        <v>114.64641444437045</v>
      </c>
      <c r="GG56" s="1">
        <f t="shared" si="197"/>
        <v>20.177153659107645</v>
      </c>
      <c r="GH56" s="32">
        <f t="shared" si="198"/>
        <v>114.64641444437045</v>
      </c>
      <c r="GI56" s="32">
        <f t="shared" si="199"/>
        <v>785.18965596793998</v>
      </c>
      <c r="GJ56" s="46">
        <f t="shared" si="200"/>
        <v>1.4986864168222962</v>
      </c>
      <c r="GK56" s="46">
        <f t="shared" si="201"/>
        <v>77.38222210303428</v>
      </c>
      <c r="GL56" s="46">
        <f t="shared" si="202"/>
        <v>0.17941278449230244</v>
      </c>
      <c r="GM56" s="46">
        <f t="shared" si="203"/>
        <v>13.297551621043148</v>
      </c>
      <c r="GN56" s="46">
        <f t="shared" si="204"/>
        <v>0.67811986523921963</v>
      </c>
      <c r="GO56" s="46">
        <f t="shared" si="205"/>
        <v>-0.46760195296015683</v>
      </c>
      <c r="GP56" s="46">
        <f t="shared" si="206"/>
        <v>0.47821290067052402</v>
      </c>
      <c r="GQ56" s="46">
        <f t="shared" si="207"/>
        <v>6.2208797787441421</v>
      </c>
      <c r="GR56" s="46">
        <f t="shared" si="208"/>
        <v>5.4351064414655745</v>
      </c>
      <c r="GS56" s="46">
        <f t="shared" si="209"/>
        <v>103.20390354172906</v>
      </c>
      <c r="GU56" s="32">
        <f t="shared" si="372"/>
        <v>16154</v>
      </c>
      <c r="GV56" s="32">
        <f t="shared" si="373"/>
        <v>110.59084693006507</v>
      </c>
      <c r="GW56" s="32">
        <f t="shared" si="374"/>
        <v>810.12627671707469</v>
      </c>
      <c r="GX56" s="32">
        <f t="shared" si="375"/>
        <v>114.64641444437045</v>
      </c>
      <c r="GY56" s="32">
        <f t="shared" si="376"/>
        <v>785.18965596793998</v>
      </c>
    </row>
    <row r="57" spans="1:207">
      <c r="A57" s="35">
        <v>16155.999999999998</v>
      </c>
      <c r="B57" s="2" t="s">
        <v>199</v>
      </c>
      <c r="C57" s="36">
        <v>45.63</v>
      </c>
      <c r="D57" s="36">
        <v>1.577</v>
      </c>
      <c r="E57" s="36">
        <v>8.24</v>
      </c>
      <c r="F57" s="36"/>
      <c r="G57" s="36">
        <v>15.12</v>
      </c>
      <c r="H57" s="36">
        <v>12.47</v>
      </c>
      <c r="I57" s="36">
        <v>11.59</v>
      </c>
      <c r="J57" s="36">
        <v>0.41620000000000001</v>
      </c>
      <c r="K57" s="36">
        <v>1.63</v>
      </c>
      <c r="L57" s="36">
        <v>1.0035000000000001</v>
      </c>
      <c r="M57" s="36"/>
      <c r="N57" s="36">
        <v>0.1898</v>
      </c>
      <c r="O57" s="4">
        <f t="shared" si="210"/>
        <v>97.866500000000016</v>
      </c>
      <c r="P57" s="5">
        <f t="shared" si="211"/>
        <v>0.7594329966397213</v>
      </c>
      <c r="Q57" s="5">
        <f t="shared" si="212"/>
        <v>1.9745623283057331E-2</v>
      </c>
      <c r="R57" s="5">
        <f t="shared" si="213"/>
        <v>8.0814994900613057E-2</v>
      </c>
      <c r="S57" s="5">
        <f t="shared" si="214"/>
        <v>0</v>
      </c>
      <c r="T57" s="5">
        <f t="shared" si="215"/>
        <v>0.21045481624176693</v>
      </c>
      <c r="U57" s="5">
        <f t="shared" si="216"/>
        <v>0.30939550024314966</v>
      </c>
      <c r="V57" s="5">
        <f t="shared" si="217"/>
        <v>0.20667862632718348</v>
      </c>
      <c r="W57" s="5">
        <f t="shared" si="218"/>
        <v>5.8671407820148711E-3</v>
      </c>
      <c r="X57" s="5">
        <f t="shared" si="219"/>
        <v>2.6299255844001203E-2</v>
      </c>
      <c r="Y57" s="5">
        <f t="shared" si="220"/>
        <v>1.0653318612255299E-2</v>
      </c>
      <c r="Z57" s="5">
        <f t="shared" si="221"/>
        <v>0</v>
      </c>
      <c r="AA57" s="5">
        <f t="shared" si="222"/>
        <v>5.3536119957013142E-3</v>
      </c>
      <c r="AB57" s="5">
        <f t="shared" si="223"/>
        <v>1.5188659932794426</v>
      </c>
      <c r="AC57" s="5">
        <f t="shared" si="224"/>
        <v>3.9491246566114663E-2</v>
      </c>
      <c r="AD57" s="5">
        <f t="shared" si="225"/>
        <v>0.24244498470183917</v>
      </c>
      <c r="AE57" s="5">
        <f t="shared" si="226"/>
        <v>0</v>
      </c>
      <c r="AF57" s="5">
        <f t="shared" si="227"/>
        <v>0.21045481624176693</v>
      </c>
      <c r="AG57" s="5">
        <f t="shared" si="228"/>
        <v>0.30939550024314966</v>
      </c>
      <c r="AH57" s="5">
        <f t="shared" si="229"/>
        <v>0.20667862632718348</v>
      </c>
      <c r="AI57" s="5">
        <f t="shared" si="230"/>
        <v>5.8671407820148711E-3</v>
      </c>
      <c r="AJ57" s="5">
        <f t="shared" si="231"/>
        <v>2.6299255844001203E-2</v>
      </c>
      <c r="AK57" s="5">
        <f t="shared" si="232"/>
        <v>1.0653318612255299E-2</v>
      </c>
      <c r="AL57" s="5">
        <f t="shared" si="233"/>
        <v>2.5701508825977681</v>
      </c>
      <c r="AM57" s="4">
        <f t="shared" si="234"/>
        <v>13.592166157232716</v>
      </c>
      <c r="AN57" s="4">
        <f t="shared" si="235"/>
        <v>0.35340285940822996</v>
      </c>
      <c r="AO57" s="4">
        <f t="shared" si="236"/>
        <v>2.169613731979092</v>
      </c>
      <c r="AP57" s="4">
        <f t="shared" si="237"/>
        <v>0</v>
      </c>
      <c r="AQ57" s="4">
        <f t="shared" si="238"/>
        <v>1.8833372026268616</v>
      </c>
      <c r="AR57" s="4">
        <f t="shared" si="239"/>
        <v>2.7687465952971135</v>
      </c>
      <c r="AS57" s="4">
        <f t="shared" si="240"/>
        <v>1.8495444908357024</v>
      </c>
      <c r="AT57" s="4">
        <f t="shared" si="241"/>
        <v>5.2504403107240055E-2</v>
      </c>
      <c r="AU57" s="4">
        <f t="shared" si="242"/>
        <v>0.23534917288616342</v>
      </c>
      <c r="AV57" s="4">
        <f t="shared" si="243"/>
        <v>9.5335386626878738E-2</v>
      </c>
      <c r="AW57" s="4">
        <f t="shared" si="244"/>
        <v>22.999999999999996</v>
      </c>
      <c r="AX57" s="5">
        <f t="shared" si="245"/>
        <v>6.7960830786163582</v>
      </c>
      <c r="AY57" s="5">
        <f t="shared" si="246"/>
        <v>0.17670142970411498</v>
      </c>
      <c r="AZ57" s="5">
        <f t="shared" si="247"/>
        <v>1.446409154652728</v>
      </c>
      <c r="BA57" s="5">
        <f t="shared" si="248"/>
        <v>0</v>
      </c>
      <c r="BB57" s="5">
        <f t="shared" si="249"/>
        <v>1.8833372026268616</v>
      </c>
      <c r="BC57" s="5">
        <f t="shared" si="250"/>
        <v>2.7687465952971135</v>
      </c>
      <c r="BD57" s="5">
        <f t="shared" si="251"/>
        <v>1.8495444908357024</v>
      </c>
      <c r="BE57" s="5">
        <f t="shared" si="252"/>
        <v>5.2504403107240055E-2</v>
      </c>
      <c r="BF57" s="5">
        <f t="shared" si="253"/>
        <v>0.47069834577232683</v>
      </c>
      <c r="BG57" s="5">
        <f t="shared" si="254"/>
        <v>0.19067077325375748</v>
      </c>
      <c r="BH57" s="5">
        <f t="shared" si="255"/>
        <v>0</v>
      </c>
      <c r="BI57" s="5">
        <f t="shared" si="256"/>
        <v>4.7908889993522108E-2</v>
      </c>
      <c r="BJ57" s="5">
        <f t="shared" si="257"/>
        <v>1.9520911100064779</v>
      </c>
      <c r="BK57" s="5">
        <f t="shared" si="258"/>
        <v>15.634695473866204</v>
      </c>
      <c r="BL57" s="11">
        <f t="shared" si="259"/>
        <v>1</v>
      </c>
      <c r="BM57" s="11">
        <f t="shared" si="260"/>
        <v>1</v>
      </c>
      <c r="BN57" s="11">
        <f t="shared" si="261"/>
        <v>1</v>
      </c>
      <c r="BO57" s="11">
        <f t="shared" si="262"/>
        <v>1</v>
      </c>
      <c r="BP57" s="11">
        <f>1</f>
        <v>1</v>
      </c>
      <c r="BQ57" s="11">
        <f t="shared" si="263"/>
        <v>0.97058022908528596</v>
      </c>
      <c r="BR57" s="11">
        <f t="shared" si="264"/>
        <v>0.9712494178674268</v>
      </c>
      <c r="BS57" s="11">
        <f t="shared" si="265"/>
        <v>0.98294837065082585</v>
      </c>
      <c r="BT57" s="11">
        <f t="shared" si="266"/>
        <v>0.6615313013080234</v>
      </c>
      <c r="BU57" s="11">
        <f t="shared" si="267"/>
        <v>0.95905788689941607</v>
      </c>
      <c r="BV57" s="5">
        <f t="shared" si="268"/>
        <v>1</v>
      </c>
      <c r="BW57" s="11">
        <f t="shared" si="269"/>
        <v>0.98294837065082585</v>
      </c>
      <c r="BX57" s="11">
        <f t="shared" si="270"/>
        <v>0.99147418532541298</v>
      </c>
      <c r="BY57" s="11">
        <f t="shared" si="271"/>
        <v>6.7381409337749787</v>
      </c>
      <c r="BZ57" s="11">
        <f t="shared" si="272"/>
        <v>0.17519490606172314</v>
      </c>
      <c r="CA57" s="11">
        <f t="shared" si="273"/>
        <v>1.4340773382565328</v>
      </c>
      <c r="CB57" s="11">
        <f t="shared" si="274"/>
        <v>0</v>
      </c>
      <c r="CC57" s="11">
        <f t="shared" si="275"/>
        <v>1.8672802186675097</v>
      </c>
      <c r="CD57" s="11">
        <f t="shared" si="276"/>
        <v>2.7451407749447165</v>
      </c>
      <c r="CE57" s="11">
        <f t="shared" si="277"/>
        <v>1.8337756172744337</v>
      </c>
      <c r="CF57" s="11">
        <f t="shared" si="278"/>
        <v>5.2056760296747918E-2</v>
      </c>
      <c r="CG57" s="11">
        <f t="shared" si="279"/>
        <v>0.46668525890863727</v>
      </c>
      <c r="CH57" s="11">
        <f t="shared" si="280"/>
        <v>0.18904514957713572</v>
      </c>
      <c r="CI57" s="11">
        <f t="shared" si="281"/>
        <v>15.501396957762417</v>
      </c>
      <c r="CJ57" s="11">
        <f t="shared" si="282"/>
        <v>0.39218747503100282</v>
      </c>
      <c r="CK57" s="11">
        <f t="shared" si="283"/>
        <v>1.4750927436365069</v>
      </c>
      <c r="CL57" s="13">
        <f t="shared" si="284"/>
        <v>1.1890932002209809E-2</v>
      </c>
      <c r="CN57" s="32">
        <f t="shared" si="285"/>
        <v>16155.999999999998</v>
      </c>
      <c r="CO57" s="12">
        <f t="shared" si="286"/>
        <v>0.68453523344374467</v>
      </c>
      <c r="CP57" s="12">
        <f t="shared" si="287"/>
        <v>0.31546476655625533</v>
      </c>
      <c r="CQ57" s="12">
        <f t="shared" si="288"/>
        <v>8.6109136015755539E-2</v>
      </c>
      <c r="CR57" s="12">
        <f t="shared" si="289"/>
        <v>0.18904514957713572</v>
      </c>
      <c r="CS57" s="14">
        <f t="shared" si="290"/>
        <v>0.49860304223758356</v>
      </c>
      <c r="CT57" s="14">
        <f t="shared" si="291"/>
        <v>0.31235180818528097</v>
      </c>
      <c r="CU57" s="14">
        <f t="shared" si="292"/>
        <v>7.7166725361678234E-2</v>
      </c>
      <c r="CV57" s="12">
        <f t="shared" si="293"/>
        <v>0.91688780863721686</v>
      </c>
      <c r="CW57" s="2" t="str">
        <f t="shared" si="377"/>
        <v>18eHP05.1</v>
      </c>
      <c r="CY57" s="5">
        <f t="shared" si="294"/>
        <v>13.123781864004417</v>
      </c>
      <c r="CZ57" s="5">
        <f t="shared" si="295"/>
        <v>6.731983275669517</v>
      </c>
      <c r="DA57" s="5">
        <f t="shared" si="296"/>
        <v>0.17503480398847338</v>
      </c>
      <c r="DB57" s="5">
        <f t="shared" si="297"/>
        <v>1.4327668049755338</v>
      </c>
      <c r="DC57" s="5">
        <f t="shared" si="298"/>
        <v>0</v>
      </c>
      <c r="DD57" s="5">
        <f t="shared" si="299"/>
        <v>1.8655738024190736</v>
      </c>
      <c r="DE57" s="5">
        <f t="shared" si="300"/>
        <v>2.7426321247829573</v>
      </c>
      <c r="DF57" s="5">
        <f t="shared" si="301"/>
        <v>1.8320998192458251</v>
      </c>
      <c r="DG57" s="5">
        <f t="shared" si="302"/>
        <v>5.2009188164443797E-2</v>
      </c>
      <c r="DH57" s="5">
        <f t="shared" si="303"/>
        <v>0.46625877802979226</v>
      </c>
      <c r="DI57" s="5">
        <f t="shared" si="304"/>
        <v>0.18887239044237841</v>
      </c>
      <c r="DJ57" s="5">
        <f t="shared" si="305"/>
        <v>0</v>
      </c>
      <c r="DK57" s="5">
        <f t="shared" si="306"/>
        <v>4.7457019353851833E-2</v>
      </c>
      <c r="DL57" s="5">
        <f t="shared" si="307"/>
        <v>1.9336792315702933</v>
      </c>
      <c r="DM57" s="5">
        <f t="shared" si="308"/>
        <v>12.999999999999998</v>
      </c>
      <c r="DN57" s="5">
        <f t="shared" si="309"/>
        <v>14.97332635484012</v>
      </c>
      <c r="DO57" s="5">
        <f t="shared" si="310"/>
        <v>6.8081896943555842</v>
      </c>
      <c r="DP57" s="5">
        <f t="shared" si="311"/>
        <v>0.17701620753794264</v>
      </c>
      <c r="DQ57" s="5">
        <f t="shared" si="312"/>
        <v>1.4489858035303995</v>
      </c>
      <c r="DR57" s="5">
        <f t="shared" si="313"/>
        <v>0</v>
      </c>
      <c r="DS57" s="5">
        <f t="shared" si="314"/>
        <v>1.8866921998444992</v>
      </c>
      <c r="DT57" s="5">
        <f t="shared" si="315"/>
        <v>2.7736788703621462</v>
      </c>
      <c r="DU57" s="5">
        <f t="shared" si="316"/>
        <v>1.8528392893518661</v>
      </c>
      <c r="DV57" s="5">
        <f t="shared" si="317"/>
        <v>5.2597935017560112E-2</v>
      </c>
      <c r="DW57" s="5">
        <f t="shared" si="318"/>
        <v>0.471536852885238</v>
      </c>
      <c r="DX57" s="5">
        <f t="shared" si="319"/>
        <v>0.19101043622694089</v>
      </c>
      <c r="DY57" s="5">
        <f t="shared" si="320"/>
        <v>0</v>
      </c>
      <c r="DZ57" s="5">
        <f t="shared" si="321"/>
        <v>4.799423540718685E-2</v>
      </c>
      <c r="EA57" s="5">
        <f t="shared" si="322"/>
        <v>1.9555685861767103</v>
      </c>
      <c r="EB57" s="5">
        <f t="shared" si="323"/>
        <v>14.999999999999998</v>
      </c>
      <c r="EC57" s="5">
        <f t="shared" si="324"/>
        <v>45.56613377125533</v>
      </c>
      <c r="ED57" s="1">
        <f t="shared" si="325"/>
        <v>6.731983275669517</v>
      </c>
      <c r="EE57" s="5">
        <f t="shared" si="326"/>
        <v>0.17503480398847338</v>
      </c>
      <c r="EF57" s="5">
        <f t="shared" si="327"/>
        <v>1.4327668049755338</v>
      </c>
      <c r="EG57" s="5">
        <f t="shared" si="328"/>
        <v>0</v>
      </c>
      <c r="EH57" s="5">
        <f t="shared" si="329"/>
        <v>0.43386622874466951</v>
      </c>
      <c r="EI57" s="5">
        <f t="shared" si="330"/>
        <v>1.431707573674404</v>
      </c>
      <c r="EJ57" s="5">
        <f t="shared" si="331"/>
        <v>2.7426321247829573</v>
      </c>
      <c r="EK57" s="5">
        <f t="shared" si="332"/>
        <v>1.8320998192458251</v>
      </c>
      <c r="EL57" s="5">
        <f t="shared" si="333"/>
        <v>5.2009188164443797E-2</v>
      </c>
      <c r="EM57" s="5">
        <f t="shared" si="334"/>
        <v>0.46625877802979226</v>
      </c>
      <c r="EN57" s="5">
        <f t="shared" si="335"/>
        <v>0.18887239044237841</v>
      </c>
      <c r="EO57" s="5">
        <f t="shared" si="336"/>
        <v>3.9079150210762923</v>
      </c>
      <c r="EP57" s="5">
        <f t="shared" si="337"/>
        <v>11.603624839653603</v>
      </c>
      <c r="EQ57" s="5">
        <f t="shared" si="338"/>
        <v>1.968406800088123</v>
      </c>
      <c r="ER57" s="5">
        <f t="shared" si="339"/>
        <v>100.22644666081803</v>
      </c>
      <c r="ES57" s="5">
        <f t="shared" si="340"/>
        <v>6.731983275669517</v>
      </c>
      <c r="ET57" s="5">
        <f t="shared" si="341"/>
        <v>1.268016724330483</v>
      </c>
      <c r="EU57" s="5">
        <f t="shared" si="342"/>
        <v>0</v>
      </c>
      <c r="EV57" s="44">
        <f t="shared" si="343"/>
        <v>8</v>
      </c>
      <c r="EW57" s="5">
        <f t="shared" si="344"/>
        <v>0.16475008064505081</v>
      </c>
      <c r="EX57" s="5">
        <f t="shared" si="345"/>
        <v>0.17503480398847338</v>
      </c>
      <c r="EY57" s="5">
        <f t="shared" si="346"/>
        <v>0</v>
      </c>
      <c r="EZ57" s="5">
        <f t="shared" si="347"/>
        <v>0.43386622874466951</v>
      </c>
      <c r="FA57" s="5">
        <f t="shared" si="348"/>
        <v>2.7426321247829573</v>
      </c>
      <c r="FB57" s="5">
        <f t="shared" si="349"/>
        <v>1.431707573674404</v>
      </c>
      <c r="FC57" s="5">
        <f t="shared" si="350"/>
        <v>5.2009188164443797E-2</v>
      </c>
      <c r="FD57" s="44">
        <f t="shared" si="351"/>
        <v>4.9999999999999991</v>
      </c>
      <c r="FE57" s="5">
        <f t="shared" si="352"/>
        <v>0</v>
      </c>
      <c r="FF57" s="5">
        <f t="shared" si="353"/>
        <v>1.8320998192458251</v>
      </c>
      <c r="FG57" s="5">
        <f t="shared" si="354"/>
        <v>0.1679001807541749</v>
      </c>
      <c r="FH57" s="44">
        <f t="shared" si="355"/>
        <v>2</v>
      </c>
      <c r="FI57" s="5">
        <f t="shared" si="356"/>
        <v>0.29835859727561737</v>
      </c>
      <c r="FJ57" s="5">
        <f t="shared" si="357"/>
        <v>0.18887239044237841</v>
      </c>
      <c r="FK57" s="44">
        <f t="shared" si="358"/>
        <v>0.48723098771799578</v>
      </c>
      <c r="FL57" s="1" t="str">
        <f t="shared" si="359"/>
        <v>Pass</v>
      </c>
      <c r="FM57" s="5">
        <f t="shared" si="360"/>
        <v>0.11498736575479505</v>
      </c>
      <c r="FN57" s="1" t="str">
        <f t="shared" si="361"/>
        <v>Mg-Hbl</v>
      </c>
      <c r="FO57" s="5">
        <f t="shared" si="362"/>
        <v>7.9230715401794889</v>
      </c>
      <c r="FP57" s="5">
        <f t="shared" si="363"/>
        <v>1.4327668049755338</v>
      </c>
      <c r="FQ57" s="5">
        <f t="shared" si="364"/>
        <v>2.8884185769118611</v>
      </c>
      <c r="FR57" s="5">
        <f t="shared" si="365"/>
        <v>-1.5042460953161898</v>
      </c>
      <c r="FS57" s="1" t="str">
        <f t="shared" si="366"/>
        <v>YES</v>
      </c>
      <c r="FT57" s="32">
        <f t="shared" si="367"/>
        <v>840.75766159282989</v>
      </c>
      <c r="FU57" s="32">
        <f t="shared" si="368"/>
        <v>150.76126885587232</v>
      </c>
      <c r="FV57" s="46">
        <f t="shared" si="369"/>
        <v>0.73856014044309948</v>
      </c>
      <c r="FW57" s="47">
        <f t="shared" si="370"/>
        <v>-12.268420091903181</v>
      </c>
      <c r="FX57" s="46">
        <f t="shared" si="371"/>
        <v>4.4353566129260695</v>
      </c>
      <c r="FY57" s="50">
        <f t="shared" si="189"/>
        <v>173.764288384243</v>
      </c>
      <c r="FZ57" s="32">
        <f t="shared" si="190"/>
        <v>146.66868405612666</v>
      </c>
      <c r="GA57" s="32">
        <f t="shared" si="191"/>
        <v>151.71310206848648</v>
      </c>
      <c r="GB57" s="32">
        <f t="shared" si="192"/>
        <v>-196.40532839526634</v>
      </c>
      <c r="GC57" s="32">
        <f t="shared" si="193"/>
        <v>460.58769491778406</v>
      </c>
      <c r="GD57" s="32">
        <f t="shared" si="194"/>
        <v>-343.074012451393</v>
      </c>
      <c r="GE57" s="4">
        <f t="shared" si="195"/>
        <v>-1.6506464544618726</v>
      </c>
      <c r="GF57" s="32">
        <f t="shared" si="196"/>
        <v>146.66868405612666</v>
      </c>
      <c r="GG57" s="1">
        <f t="shared" si="197"/>
        <v>82.220223527795895</v>
      </c>
      <c r="GH57" s="32">
        <f t="shared" si="198"/>
        <v>160.21648622018483</v>
      </c>
      <c r="GI57" s="32">
        <f t="shared" si="199"/>
        <v>810.73862840325</v>
      </c>
      <c r="GJ57" s="46">
        <f t="shared" si="200"/>
        <v>1.7436780578312057</v>
      </c>
      <c r="GK57" s="46">
        <f t="shared" si="201"/>
        <v>78.669695833535627</v>
      </c>
      <c r="GL57" s="46">
        <f t="shared" si="202"/>
        <v>0.1614443514478888</v>
      </c>
      <c r="GM57" s="46">
        <f t="shared" si="203"/>
        <v>13.484241283679882</v>
      </c>
      <c r="GN57" s="46">
        <f t="shared" si="204"/>
        <v>0.75591035404535001</v>
      </c>
      <c r="GO57" s="46">
        <f t="shared" si="205"/>
        <v>-0.41195459529826994</v>
      </c>
      <c r="GP57" s="46">
        <f t="shared" si="206"/>
        <v>-0.52907407904801218</v>
      </c>
      <c r="GQ57" s="46">
        <f t="shared" si="207"/>
        <v>8.1858893320647894</v>
      </c>
      <c r="GR57" s="46">
        <f t="shared" si="208"/>
        <v>5.9154960110217649</v>
      </c>
      <c r="GS57" s="46">
        <f t="shared" si="209"/>
        <v>106.23164849144901</v>
      </c>
      <c r="GU57" s="32">
        <f t="shared" si="372"/>
        <v>16155.999999999998</v>
      </c>
      <c r="GV57" s="32">
        <f t="shared" si="373"/>
        <v>150.76126885587232</v>
      </c>
      <c r="GW57" s="32">
        <f t="shared" si="374"/>
        <v>840.75766159282989</v>
      </c>
      <c r="GX57" s="32">
        <f t="shared" si="375"/>
        <v>160.21648622018483</v>
      </c>
      <c r="GY57" s="32">
        <f t="shared" si="376"/>
        <v>810.73862840325</v>
      </c>
    </row>
    <row r="58" spans="1:207">
      <c r="A58" s="35">
        <v>16158.000000000002</v>
      </c>
      <c r="B58" s="2" t="s">
        <v>200</v>
      </c>
      <c r="C58" s="36">
        <v>47.95</v>
      </c>
      <c r="D58" s="36">
        <v>1.1769000000000001</v>
      </c>
      <c r="E58" s="36">
        <v>6.5</v>
      </c>
      <c r="F58" s="36"/>
      <c r="G58" s="36">
        <v>14.2</v>
      </c>
      <c r="H58" s="36">
        <v>13.7</v>
      </c>
      <c r="I58" s="36">
        <v>11.7</v>
      </c>
      <c r="J58" s="36">
        <v>0.45500000000000002</v>
      </c>
      <c r="K58" s="36">
        <v>1.43</v>
      </c>
      <c r="L58" s="36">
        <v>0.71599999999999997</v>
      </c>
      <c r="M58" s="36"/>
      <c r="N58" s="36">
        <v>7.7899999999999997E-2</v>
      </c>
      <c r="O58" s="4">
        <f t="shared" si="210"/>
        <v>97.905800000000013</v>
      </c>
      <c r="P58" s="5">
        <f t="shared" si="211"/>
        <v>0.79804541286159614</v>
      </c>
      <c r="Q58" s="5">
        <f t="shared" si="212"/>
        <v>1.4735969588985525E-2</v>
      </c>
      <c r="R58" s="5">
        <f t="shared" si="213"/>
        <v>6.3749692579367093E-2</v>
      </c>
      <c r="S58" s="5">
        <f t="shared" si="214"/>
        <v>0</v>
      </c>
      <c r="T58" s="5">
        <f t="shared" si="215"/>
        <v>0.19764936445986048</v>
      </c>
      <c r="U58" s="5">
        <f t="shared" si="216"/>
        <v>0.33991326009070966</v>
      </c>
      <c r="V58" s="5">
        <f t="shared" si="217"/>
        <v>0.20864020086523266</v>
      </c>
      <c r="W58" s="5">
        <f t="shared" si="218"/>
        <v>6.4141015276712307E-3</v>
      </c>
      <c r="X58" s="5">
        <f t="shared" si="219"/>
        <v>2.3072353286455044E-2</v>
      </c>
      <c r="Y58" s="5">
        <f t="shared" si="220"/>
        <v>7.6011720242897783E-3</v>
      </c>
      <c r="Z58" s="5">
        <f t="shared" si="221"/>
        <v>0</v>
      </c>
      <c r="AA58" s="5">
        <f t="shared" si="222"/>
        <v>2.197293859141899E-3</v>
      </c>
      <c r="AB58" s="5">
        <f t="shared" si="223"/>
        <v>1.5960908257231923</v>
      </c>
      <c r="AC58" s="5">
        <f t="shared" si="224"/>
        <v>2.947193917797105E-2</v>
      </c>
      <c r="AD58" s="5">
        <f t="shared" si="225"/>
        <v>0.19124907773810129</v>
      </c>
      <c r="AE58" s="5">
        <f t="shared" si="226"/>
        <v>0</v>
      </c>
      <c r="AF58" s="5">
        <f t="shared" si="227"/>
        <v>0.19764936445986048</v>
      </c>
      <c r="AG58" s="5">
        <f t="shared" si="228"/>
        <v>0.33991326009070966</v>
      </c>
      <c r="AH58" s="5">
        <f t="shared" si="229"/>
        <v>0.20864020086523266</v>
      </c>
      <c r="AI58" s="5">
        <f t="shared" si="230"/>
        <v>6.4141015276712307E-3</v>
      </c>
      <c r="AJ58" s="5">
        <f t="shared" si="231"/>
        <v>2.3072353286455044E-2</v>
      </c>
      <c r="AK58" s="5">
        <f t="shared" si="232"/>
        <v>7.6011720242897783E-3</v>
      </c>
      <c r="AL58" s="5">
        <f t="shared" si="233"/>
        <v>2.6001022948934835</v>
      </c>
      <c r="AM58" s="4">
        <f t="shared" si="234"/>
        <v>14.118709507595467</v>
      </c>
      <c r="AN58" s="4">
        <f t="shared" si="235"/>
        <v>0.26070305096250196</v>
      </c>
      <c r="AO58" s="4">
        <f t="shared" si="236"/>
        <v>1.6917522039864701</v>
      </c>
      <c r="AP58" s="4">
        <f t="shared" si="237"/>
        <v>0</v>
      </c>
      <c r="AQ58" s="4">
        <f t="shared" si="238"/>
        <v>1.7483678974880565</v>
      </c>
      <c r="AR58" s="4">
        <f t="shared" si="239"/>
        <v>3.0068066927369088</v>
      </c>
      <c r="AS58" s="4">
        <f t="shared" si="240"/>
        <v>1.845590702075411</v>
      </c>
      <c r="AT58" s="4">
        <f t="shared" si="241"/>
        <v>5.673789659205767E-2</v>
      </c>
      <c r="AU58" s="4">
        <f t="shared" si="242"/>
        <v>0.20409355686915592</v>
      </c>
      <c r="AV58" s="4">
        <f t="shared" si="243"/>
        <v>6.7238491693968866E-2</v>
      </c>
      <c r="AW58" s="4">
        <f t="shared" si="244"/>
        <v>23</v>
      </c>
      <c r="AX58" s="5">
        <f t="shared" si="245"/>
        <v>7.0593547537977335</v>
      </c>
      <c r="AY58" s="5">
        <f t="shared" si="246"/>
        <v>0.13035152548125098</v>
      </c>
      <c r="AZ58" s="5">
        <f t="shared" si="247"/>
        <v>1.1278348026576468</v>
      </c>
      <c r="BA58" s="5">
        <f t="shared" si="248"/>
        <v>0</v>
      </c>
      <c r="BB58" s="5">
        <f t="shared" si="249"/>
        <v>1.7483678974880565</v>
      </c>
      <c r="BC58" s="5">
        <f t="shared" si="250"/>
        <v>3.0068066927369088</v>
      </c>
      <c r="BD58" s="5">
        <f t="shared" si="251"/>
        <v>1.845590702075411</v>
      </c>
      <c r="BE58" s="5">
        <f t="shared" si="252"/>
        <v>5.673789659205767E-2</v>
      </c>
      <c r="BF58" s="5">
        <f t="shared" si="253"/>
        <v>0.40818711373831185</v>
      </c>
      <c r="BG58" s="5">
        <f t="shared" si="254"/>
        <v>0.13447698338793773</v>
      </c>
      <c r="BH58" s="5">
        <f t="shared" si="255"/>
        <v>0</v>
      </c>
      <c r="BI58" s="5">
        <f t="shared" si="256"/>
        <v>1.9436834796660959E-2</v>
      </c>
      <c r="BJ58" s="5">
        <f t="shared" si="257"/>
        <v>1.9805631652033391</v>
      </c>
      <c r="BK58" s="5">
        <f t="shared" si="258"/>
        <v>15.517708367955313</v>
      </c>
      <c r="BL58" s="11">
        <f t="shared" si="259"/>
        <v>1</v>
      </c>
      <c r="BM58" s="11">
        <f t="shared" si="260"/>
        <v>1</v>
      </c>
      <c r="BN58" s="11">
        <f t="shared" si="261"/>
        <v>1</v>
      </c>
      <c r="BO58" s="11">
        <f t="shared" si="262"/>
        <v>1</v>
      </c>
      <c r="BP58" s="11">
        <f>1</f>
        <v>1</v>
      </c>
      <c r="BQ58" s="11">
        <f t="shared" si="263"/>
        <v>0.97713628649189077</v>
      </c>
      <c r="BR58" s="11">
        <f t="shared" si="264"/>
        <v>0.97508771889423462</v>
      </c>
      <c r="BS58" s="11">
        <f t="shared" si="265"/>
        <v>0.98252375336474607</v>
      </c>
      <c r="BT58" s="11">
        <f t="shared" si="266"/>
        <v>0.66276932429056234</v>
      </c>
      <c r="BU58" s="11">
        <f t="shared" si="267"/>
        <v>0.96199200222852055</v>
      </c>
      <c r="BV58" s="5">
        <f t="shared" si="268"/>
        <v>1</v>
      </c>
      <c r="BW58" s="11">
        <f t="shared" si="269"/>
        <v>0.98252375336474607</v>
      </c>
      <c r="BX58" s="11">
        <f t="shared" si="270"/>
        <v>0.99126187668237309</v>
      </c>
      <c r="BY58" s="11">
        <f t="shared" si="271"/>
        <v>6.9976692414161734</v>
      </c>
      <c r="BZ58" s="11">
        <f t="shared" si="272"/>
        <v>0.12921249777695501</v>
      </c>
      <c r="CA58" s="11">
        <f t="shared" si="273"/>
        <v>1.1179796430701128</v>
      </c>
      <c r="CB58" s="11">
        <f t="shared" si="274"/>
        <v>0</v>
      </c>
      <c r="CC58" s="11">
        <f t="shared" si="275"/>
        <v>1.7330904431952259</v>
      </c>
      <c r="CD58" s="11">
        <f t="shared" si="276"/>
        <v>2.9805328450635078</v>
      </c>
      <c r="CE58" s="11">
        <f t="shared" si="277"/>
        <v>1.8294637029268104</v>
      </c>
      <c r="CF58" s="11">
        <f t="shared" si="278"/>
        <v>5.6242113854853504E-2</v>
      </c>
      <c r="CG58" s="11">
        <f t="shared" si="279"/>
        <v>0.40462032440180029</v>
      </c>
      <c r="CH58" s="11">
        <f t="shared" si="280"/>
        <v>0.13330190692371147</v>
      </c>
      <c r="CI58" s="11">
        <f t="shared" si="281"/>
        <v>15.382112718629148</v>
      </c>
      <c r="CJ58" s="11">
        <f t="shared" si="282"/>
        <v>0.40195367261083792</v>
      </c>
      <c r="CK58" s="11">
        <f t="shared" si="283"/>
        <v>1.331136770584388</v>
      </c>
      <c r="CL58" s="13">
        <f t="shared" si="284"/>
        <v>1.472678437682795E-2</v>
      </c>
      <c r="CN58" s="32">
        <f t="shared" si="285"/>
        <v>16158.000000000002</v>
      </c>
      <c r="CO58" s="12">
        <f t="shared" si="286"/>
        <v>0.74941731035404335</v>
      </c>
      <c r="CP58" s="12">
        <f t="shared" si="287"/>
        <v>0.25058268964595665</v>
      </c>
      <c r="CQ58" s="12">
        <f t="shared" si="288"/>
        <v>5.7824442243143537E-2</v>
      </c>
      <c r="CR58" s="12">
        <f t="shared" si="289"/>
        <v>0.13330190692371147</v>
      </c>
      <c r="CS58" s="14">
        <f t="shared" si="290"/>
        <v>0.61788728137084992</v>
      </c>
      <c r="CT58" s="14">
        <f t="shared" si="291"/>
        <v>0.24881081170543862</v>
      </c>
      <c r="CU58" s="14">
        <f t="shared" si="292"/>
        <v>7.7904756348180837E-2</v>
      </c>
      <c r="CV58" s="12">
        <f t="shared" si="293"/>
        <v>0.91473185146340519</v>
      </c>
      <c r="CW58" s="2" t="str">
        <f t="shared" si="377"/>
        <v>18eHP06.1</v>
      </c>
      <c r="CY58" s="5">
        <f t="shared" si="294"/>
        <v>13.129453568753654</v>
      </c>
      <c r="CZ58" s="5">
        <f t="shared" si="295"/>
        <v>6.9897510447635627</v>
      </c>
      <c r="DA58" s="5">
        <f t="shared" si="296"/>
        <v>0.12906628767012152</v>
      </c>
      <c r="DB58" s="5">
        <f t="shared" si="297"/>
        <v>1.1167145957576374</v>
      </c>
      <c r="DC58" s="5">
        <f t="shared" si="298"/>
        <v>0</v>
      </c>
      <c r="DD58" s="5">
        <f t="shared" si="299"/>
        <v>1.7311293686613283</v>
      </c>
      <c r="DE58" s="5">
        <f t="shared" si="300"/>
        <v>2.977160229928014</v>
      </c>
      <c r="DF58" s="5">
        <f t="shared" si="301"/>
        <v>1.8273935774509089</v>
      </c>
      <c r="DG58" s="5">
        <f t="shared" si="302"/>
        <v>5.6178473219336542E-2</v>
      </c>
      <c r="DH58" s="5">
        <f t="shared" si="303"/>
        <v>0.4041624771975777</v>
      </c>
      <c r="DI58" s="5">
        <f t="shared" si="304"/>
        <v>0.13315106945529515</v>
      </c>
      <c r="DJ58" s="5">
        <f t="shared" si="305"/>
        <v>0</v>
      </c>
      <c r="DK58" s="5">
        <f t="shared" si="306"/>
        <v>1.9245191814984169E-2</v>
      </c>
      <c r="DL58" s="5">
        <f t="shared" si="307"/>
        <v>1.9610352413232637</v>
      </c>
      <c r="DM58" s="5">
        <f t="shared" si="308"/>
        <v>13</v>
      </c>
      <c r="DN58" s="5">
        <f t="shared" si="309"/>
        <v>14.975044270829065</v>
      </c>
      <c r="DO58" s="5">
        <f t="shared" si="310"/>
        <v>7.0711190826485337</v>
      </c>
      <c r="DP58" s="5">
        <f t="shared" si="311"/>
        <v>0.13056875471330506</v>
      </c>
      <c r="DQ58" s="5">
        <f t="shared" si="312"/>
        <v>1.1297143256410618</v>
      </c>
      <c r="DR58" s="5">
        <f t="shared" si="313"/>
        <v>0</v>
      </c>
      <c r="DS58" s="5">
        <f t="shared" si="314"/>
        <v>1.7512815313279153</v>
      </c>
      <c r="DT58" s="5">
        <f t="shared" si="315"/>
        <v>3.0118174995256051</v>
      </c>
      <c r="DU58" s="5">
        <f t="shared" si="316"/>
        <v>1.8486663565368211</v>
      </c>
      <c r="DV58" s="5">
        <f t="shared" si="317"/>
        <v>5.6832449606758144E-2</v>
      </c>
      <c r="DW58" s="5">
        <f t="shared" si="318"/>
        <v>0.40886735259953261</v>
      </c>
      <c r="DX58" s="5">
        <f t="shared" si="319"/>
        <v>0.13470108764542504</v>
      </c>
      <c r="DY58" s="5">
        <f t="shared" si="320"/>
        <v>0</v>
      </c>
      <c r="DZ58" s="5">
        <f t="shared" si="321"/>
        <v>1.9469226045484882E-2</v>
      </c>
      <c r="EA58" s="5">
        <f t="shared" si="322"/>
        <v>1.9838637496331979</v>
      </c>
      <c r="EB58" s="5">
        <f t="shared" si="323"/>
        <v>15.000000000000002</v>
      </c>
      <c r="EC58" s="5">
        <f t="shared" si="324"/>
        <v>45.5464499621797</v>
      </c>
      <c r="ED58" s="1">
        <f t="shared" si="325"/>
        <v>6.9897510447635627</v>
      </c>
      <c r="EE58" s="5">
        <f t="shared" si="326"/>
        <v>0.12906628767012152</v>
      </c>
      <c r="EF58" s="5">
        <f t="shared" si="327"/>
        <v>1.1167145957576374</v>
      </c>
      <c r="EG58" s="5">
        <f t="shared" si="328"/>
        <v>0</v>
      </c>
      <c r="EH58" s="5">
        <f t="shared" si="329"/>
        <v>0.45355003782029968</v>
      </c>
      <c r="EI58" s="5">
        <f t="shared" si="330"/>
        <v>1.2775793308410286</v>
      </c>
      <c r="EJ58" s="5">
        <f t="shared" si="331"/>
        <v>2.977160229928014</v>
      </c>
      <c r="EK58" s="5">
        <f t="shared" si="332"/>
        <v>1.8273935774509089</v>
      </c>
      <c r="EL58" s="5">
        <f t="shared" si="333"/>
        <v>5.6178473219336542E-2</v>
      </c>
      <c r="EM58" s="5">
        <f t="shared" si="334"/>
        <v>0.4041624771975777</v>
      </c>
      <c r="EN58" s="5">
        <f t="shared" si="335"/>
        <v>0.13315106945529515</v>
      </c>
      <c r="EO58" s="5">
        <f t="shared" si="336"/>
        <v>4.1346041418195911</v>
      </c>
      <c r="EP58" s="5">
        <f t="shared" si="337"/>
        <v>10.479648041539157</v>
      </c>
      <c r="EQ58" s="5">
        <f t="shared" si="338"/>
        <v>2.0201585745031783</v>
      </c>
      <c r="ER58" s="5">
        <f t="shared" si="339"/>
        <v>100.34021075786194</v>
      </c>
      <c r="ES58" s="5">
        <f t="shared" si="340"/>
        <v>6.9897510447635627</v>
      </c>
      <c r="ET58" s="5">
        <f t="shared" si="341"/>
        <v>1.0102489552364373</v>
      </c>
      <c r="EU58" s="5">
        <f t="shared" si="342"/>
        <v>0</v>
      </c>
      <c r="EV58" s="44">
        <f t="shared" si="343"/>
        <v>8</v>
      </c>
      <c r="EW58" s="5">
        <f t="shared" si="344"/>
        <v>0.10646564052120011</v>
      </c>
      <c r="EX58" s="5">
        <f t="shared" si="345"/>
        <v>0.12906628767012152</v>
      </c>
      <c r="EY58" s="5">
        <f t="shared" si="346"/>
        <v>0</v>
      </c>
      <c r="EZ58" s="5">
        <f t="shared" si="347"/>
        <v>0.45355003782029968</v>
      </c>
      <c r="FA58" s="5">
        <f t="shared" si="348"/>
        <v>2.977160229928014</v>
      </c>
      <c r="FB58" s="5">
        <f t="shared" si="349"/>
        <v>1.2775793308410286</v>
      </c>
      <c r="FC58" s="5">
        <f t="shared" si="350"/>
        <v>5.6178473219336542E-2</v>
      </c>
      <c r="FD58" s="44">
        <f t="shared" si="351"/>
        <v>5</v>
      </c>
      <c r="FE58" s="5">
        <f t="shared" si="352"/>
        <v>0</v>
      </c>
      <c r="FF58" s="5">
        <f t="shared" si="353"/>
        <v>1.8273935774509089</v>
      </c>
      <c r="FG58" s="5">
        <f t="shared" si="354"/>
        <v>0.17260642254909109</v>
      </c>
      <c r="FH58" s="44">
        <f t="shared" si="355"/>
        <v>2</v>
      </c>
      <c r="FI58" s="5">
        <f t="shared" si="356"/>
        <v>0.23155605464848661</v>
      </c>
      <c r="FJ58" s="5">
        <f t="shared" si="357"/>
        <v>0.13315106945529515</v>
      </c>
      <c r="FK58" s="44">
        <f t="shared" si="358"/>
        <v>0.36470712410378175</v>
      </c>
      <c r="FL58" s="1" t="str">
        <f t="shared" si="359"/>
        <v>Pass</v>
      </c>
      <c r="FM58" s="5">
        <f t="shared" si="360"/>
        <v>9.5338272577129041E-2</v>
      </c>
      <c r="FN58" s="1" t="str">
        <f t="shared" si="361"/>
        <v>Mg-Hbl</v>
      </c>
      <c r="FO58" s="5">
        <f t="shared" si="362"/>
        <v>8.2432406350480516</v>
      </c>
      <c r="FP58" s="5">
        <f t="shared" si="363"/>
        <v>1.1167145957576374</v>
      </c>
      <c r="FQ58" s="5">
        <f t="shared" si="364"/>
        <v>3.2073367363220435</v>
      </c>
      <c r="FR58" s="5">
        <f t="shared" si="365"/>
        <v>-1.5509604167893469</v>
      </c>
      <c r="FS58" s="1" t="str">
        <f t="shared" si="366"/>
        <v>YES</v>
      </c>
      <c r="FT58" s="32">
        <f t="shared" si="367"/>
        <v>792.25620591847587</v>
      </c>
      <c r="FU58" s="32">
        <f t="shared" si="368"/>
        <v>95.699637244607416</v>
      </c>
      <c r="FV58" s="46">
        <f t="shared" si="369"/>
        <v>1.2628615945134394</v>
      </c>
      <c r="FW58" s="47">
        <f t="shared" si="370"/>
        <v>-12.764760427804287</v>
      </c>
      <c r="FX58" s="46">
        <f t="shared" si="371"/>
        <v>4.1917414264435546</v>
      </c>
      <c r="FY58" s="50">
        <f t="shared" si="189"/>
        <v>102.09919699885633</v>
      </c>
      <c r="FZ58" s="32">
        <f t="shared" si="190"/>
        <v>101.22495784884828</v>
      </c>
      <c r="GA58" s="32">
        <f t="shared" si="191"/>
        <v>29.050127607624585</v>
      </c>
      <c r="GB58" s="32">
        <f t="shared" si="192"/>
        <v>-560.68471874316401</v>
      </c>
      <c r="GC58" s="32">
        <f t="shared" si="193"/>
        <v>340.08005611859647</v>
      </c>
      <c r="GD58" s="32">
        <f t="shared" si="194"/>
        <v>-661.90967659201226</v>
      </c>
      <c r="GE58" s="4">
        <f t="shared" si="195"/>
        <v>-2.3308788522832939</v>
      </c>
      <c r="GF58" s="32">
        <f t="shared" si="196"/>
        <v>101.22495784884828</v>
      </c>
      <c r="GG58" s="1">
        <f t="shared" si="197"/>
        <v>2.5291700882135189</v>
      </c>
      <c r="GH58" s="32">
        <f t="shared" si="198"/>
        <v>101.22495784884828</v>
      </c>
      <c r="GI58" s="32">
        <f t="shared" si="199"/>
        <v>769.67522747450266</v>
      </c>
      <c r="GJ58" s="46">
        <f t="shared" si="200"/>
        <v>1.4615347809406849</v>
      </c>
      <c r="GK58" s="46">
        <f t="shared" si="201"/>
        <v>75.852120440357723</v>
      </c>
      <c r="GL58" s="46">
        <f t="shared" si="202"/>
        <v>0.16596498249076067</v>
      </c>
      <c r="GM58" s="46">
        <f t="shared" si="203"/>
        <v>16.123862164023723</v>
      </c>
      <c r="GN58" s="46">
        <f t="shared" si="204"/>
        <v>0.56081378220800771</v>
      </c>
      <c r="GO58" s="46">
        <f t="shared" si="205"/>
        <v>-0.65938082331885073</v>
      </c>
      <c r="GP58" s="46">
        <f t="shared" si="206"/>
        <v>0.36917624421589323</v>
      </c>
      <c r="GQ58" s="46">
        <f t="shared" si="207"/>
        <v>6.7228992232081692</v>
      </c>
      <c r="GR58" s="46">
        <f t="shared" si="208"/>
        <v>5.3454166014950157</v>
      </c>
      <c r="GS58" s="46">
        <f t="shared" si="209"/>
        <v>104.48087261468044</v>
      </c>
      <c r="GU58" s="32">
        <f t="shared" si="372"/>
        <v>16158.000000000002</v>
      </c>
      <c r="GV58" s="32">
        <f t="shared" si="373"/>
        <v>95.699637244607416</v>
      </c>
      <c r="GW58" s="32">
        <f t="shared" si="374"/>
        <v>792.25620591847587</v>
      </c>
      <c r="GX58" s="32">
        <f t="shared" si="375"/>
        <v>101.22495784884828</v>
      </c>
      <c r="GY58" s="32">
        <f t="shared" si="376"/>
        <v>769.67522747450266</v>
      </c>
    </row>
    <row r="59" spans="1:207">
      <c r="A59" s="35">
        <v>16160</v>
      </c>
      <c r="B59" s="2" t="s">
        <v>201</v>
      </c>
      <c r="C59" s="36">
        <v>47.74</v>
      </c>
      <c r="D59" s="36">
        <v>1.3516999999999999</v>
      </c>
      <c r="E59" s="36">
        <v>6.84</v>
      </c>
      <c r="F59" s="36"/>
      <c r="G59" s="36">
        <v>14.12</v>
      </c>
      <c r="H59" s="36">
        <v>13.64</v>
      </c>
      <c r="I59" s="36">
        <v>11.69</v>
      </c>
      <c r="J59" s="36">
        <v>0.45979999999999999</v>
      </c>
      <c r="K59" s="36">
        <v>1.59</v>
      </c>
      <c r="L59" s="36">
        <v>0.66439999999999999</v>
      </c>
      <c r="M59" s="36"/>
      <c r="N59" s="36">
        <v>9.3399999999999997E-2</v>
      </c>
      <c r="O59" s="4">
        <f t="shared" si="210"/>
        <v>98.189300000000017</v>
      </c>
      <c r="P59" s="5">
        <f t="shared" si="211"/>
        <v>0.79455032346220233</v>
      </c>
      <c r="Q59" s="5">
        <f t="shared" si="212"/>
        <v>1.6924641085420793E-2</v>
      </c>
      <c r="R59" s="5">
        <f t="shared" si="213"/>
        <v>6.7084291883518596E-2</v>
      </c>
      <c r="S59" s="5">
        <f t="shared" si="214"/>
        <v>0</v>
      </c>
      <c r="T59" s="5">
        <f t="shared" si="215"/>
        <v>0.19653584691360776</v>
      </c>
      <c r="U59" s="5">
        <f t="shared" si="216"/>
        <v>0.33842458887863358</v>
      </c>
      <c r="V59" s="5">
        <f t="shared" si="217"/>
        <v>0.2084618759072282</v>
      </c>
      <c r="W59" s="5">
        <f t="shared" si="218"/>
        <v>6.4817667745565534E-3</v>
      </c>
      <c r="X59" s="5">
        <f t="shared" si="219"/>
        <v>2.5653875332491975E-2</v>
      </c>
      <c r="Y59" s="5">
        <f t="shared" si="220"/>
        <v>7.0533780627627498E-3</v>
      </c>
      <c r="Z59" s="5">
        <f t="shared" si="221"/>
        <v>0</v>
      </c>
      <c r="AA59" s="5">
        <f t="shared" si="222"/>
        <v>2.6344961032587081E-3</v>
      </c>
      <c r="AB59" s="5">
        <f t="shared" si="223"/>
        <v>1.5891006469244047</v>
      </c>
      <c r="AC59" s="5">
        <f t="shared" si="224"/>
        <v>3.3849282170841585E-2</v>
      </c>
      <c r="AD59" s="5">
        <f t="shared" si="225"/>
        <v>0.20125287565055577</v>
      </c>
      <c r="AE59" s="5">
        <f t="shared" si="226"/>
        <v>0</v>
      </c>
      <c r="AF59" s="5">
        <f t="shared" si="227"/>
        <v>0.19653584691360776</v>
      </c>
      <c r="AG59" s="5">
        <f t="shared" si="228"/>
        <v>0.33842458887863358</v>
      </c>
      <c r="AH59" s="5">
        <f t="shared" si="229"/>
        <v>0.2084618759072282</v>
      </c>
      <c r="AI59" s="5">
        <f t="shared" si="230"/>
        <v>6.4817667745565534E-3</v>
      </c>
      <c r="AJ59" s="5">
        <f t="shared" si="231"/>
        <v>2.5653875332491975E-2</v>
      </c>
      <c r="AK59" s="5">
        <f t="shared" si="232"/>
        <v>7.0533780627627498E-3</v>
      </c>
      <c r="AL59" s="5">
        <f t="shared" si="233"/>
        <v>2.6068141366150832</v>
      </c>
      <c r="AM59" s="4">
        <f t="shared" si="234"/>
        <v>14.02068308817757</v>
      </c>
      <c r="AN59" s="4">
        <f t="shared" si="235"/>
        <v>0.29865324074859928</v>
      </c>
      <c r="AO59" s="4">
        <f t="shared" si="236"/>
        <v>1.7756602110395354</v>
      </c>
      <c r="AP59" s="4">
        <f t="shared" si="237"/>
        <v>0</v>
      </c>
      <c r="AQ59" s="4">
        <f t="shared" si="238"/>
        <v>1.7340417237734351</v>
      </c>
      <c r="AR59" s="4">
        <f t="shared" si="239"/>
        <v>2.9859303871643483</v>
      </c>
      <c r="AS59" s="4">
        <f t="shared" si="240"/>
        <v>1.8392654384220921</v>
      </c>
      <c r="AT59" s="4">
        <f t="shared" si="241"/>
        <v>5.7188824366427644E-2</v>
      </c>
      <c r="AU59" s="4">
        <f t="shared" si="242"/>
        <v>0.22634491825085548</v>
      </c>
      <c r="AV59" s="4">
        <f t="shared" si="243"/>
        <v>6.2232168057134274E-2</v>
      </c>
      <c r="AW59" s="4">
        <f t="shared" si="244"/>
        <v>23</v>
      </c>
      <c r="AX59" s="5">
        <f t="shared" si="245"/>
        <v>7.0103415440887851</v>
      </c>
      <c r="AY59" s="5">
        <f t="shared" si="246"/>
        <v>0.14932662037429964</v>
      </c>
      <c r="AZ59" s="5">
        <f t="shared" si="247"/>
        <v>1.183773474026357</v>
      </c>
      <c r="BA59" s="5">
        <f t="shared" si="248"/>
        <v>0</v>
      </c>
      <c r="BB59" s="5">
        <f t="shared" si="249"/>
        <v>1.7340417237734351</v>
      </c>
      <c r="BC59" s="5">
        <f t="shared" si="250"/>
        <v>2.9859303871643483</v>
      </c>
      <c r="BD59" s="5">
        <f t="shared" si="251"/>
        <v>1.8392654384220921</v>
      </c>
      <c r="BE59" s="5">
        <f t="shared" si="252"/>
        <v>5.7188824366427644E-2</v>
      </c>
      <c r="BF59" s="5">
        <f t="shared" si="253"/>
        <v>0.45268983650171096</v>
      </c>
      <c r="BG59" s="5">
        <f t="shared" si="254"/>
        <v>0.12446433611426855</v>
      </c>
      <c r="BH59" s="5">
        <f t="shared" si="255"/>
        <v>0</v>
      </c>
      <c r="BI59" s="5">
        <f t="shared" si="256"/>
        <v>2.3244238829251595E-2</v>
      </c>
      <c r="BJ59" s="5">
        <f t="shared" si="257"/>
        <v>1.9767557611707485</v>
      </c>
      <c r="BK59" s="5">
        <f t="shared" si="258"/>
        <v>15.537022184831725</v>
      </c>
      <c r="BL59" s="11">
        <f t="shared" si="259"/>
        <v>1</v>
      </c>
      <c r="BM59" s="11">
        <f t="shared" si="260"/>
        <v>1</v>
      </c>
      <c r="BN59" s="11">
        <f t="shared" si="261"/>
        <v>1</v>
      </c>
      <c r="BO59" s="11">
        <f t="shared" si="262"/>
        <v>1</v>
      </c>
      <c r="BP59" s="11">
        <f>1</f>
        <v>1</v>
      </c>
      <c r="BQ59" s="11">
        <f t="shared" si="263"/>
        <v>0.97631043527141104</v>
      </c>
      <c r="BR59" s="11">
        <f t="shared" si="264"/>
        <v>0.97323235683739628</v>
      </c>
      <c r="BS59" s="11">
        <f t="shared" si="265"/>
        <v>0.98318655164250834</v>
      </c>
      <c r="BT59" s="11">
        <f t="shared" si="266"/>
        <v>0.66245344267085471</v>
      </c>
      <c r="BU59" s="11">
        <f t="shared" si="267"/>
        <v>0.96230344078753405</v>
      </c>
      <c r="BV59" s="5">
        <f t="shared" si="268"/>
        <v>1</v>
      </c>
      <c r="BW59" s="11">
        <f t="shared" si="269"/>
        <v>0.98318655164250834</v>
      </c>
      <c r="BX59" s="11">
        <f t="shared" si="270"/>
        <v>0.99159327582125423</v>
      </c>
      <c r="BY59" s="11">
        <f t="shared" si="271"/>
        <v>6.9514075363288281</v>
      </c>
      <c r="BZ59" s="11">
        <f t="shared" si="272"/>
        <v>0.14807127266426862</v>
      </c>
      <c r="CA59" s="11">
        <f t="shared" si="273"/>
        <v>1.1738218169401018</v>
      </c>
      <c r="CB59" s="11">
        <f t="shared" si="274"/>
        <v>0</v>
      </c>
      <c r="CC59" s="11">
        <f t="shared" si="275"/>
        <v>1.719464113287235</v>
      </c>
      <c r="CD59" s="11">
        <f t="shared" si="276"/>
        <v>2.9608284939825222</v>
      </c>
      <c r="CE59" s="11">
        <f t="shared" si="277"/>
        <v>1.8238032411897778</v>
      </c>
      <c r="CF59" s="11">
        <f t="shared" si="278"/>
        <v>5.670805369387235E-2</v>
      </c>
      <c r="CG59" s="11">
        <f t="shared" si="279"/>
        <v>0.44888419790771955</v>
      </c>
      <c r="CH59" s="11">
        <f t="shared" si="280"/>
        <v>0.12341799877046519</v>
      </c>
      <c r="CI59" s="11">
        <f t="shared" si="281"/>
        <v>15.406406724764791</v>
      </c>
      <c r="CJ59" s="11">
        <f t="shared" si="282"/>
        <v>0.38670931222230553</v>
      </c>
      <c r="CK59" s="11">
        <f t="shared" si="283"/>
        <v>1.3327548010649295</v>
      </c>
      <c r="CL59" s="13">
        <f t="shared" si="284"/>
        <v>1.0301286896828188E-2</v>
      </c>
      <c r="CN59" s="32">
        <f t="shared" si="285"/>
        <v>16160</v>
      </c>
      <c r="CO59" s="12">
        <f t="shared" si="286"/>
        <v>0.73785188408220703</v>
      </c>
      <c r="CP59" s="12">
        <f t="shared" si="287"/>
        <v>0.26214811591779297</v>
      </c>
      <c r="CQ59" s="12">
        <f t="shared" si="288"/>
        <v>6.261467663446485E-2</v>
      </c>
      <c r="CR59" s="12">
        <f t="shared" si="289"/>
        <v>0.12341799877046519</v>
      </c>
      <c r="CS59" s="14">
        <f t="shared" si="290"/>
        <v>0.59359327523520922</v>
      </c>
      <c r="CT59" s="14">
        <f t="shared" si="291"/>
        <v>0.28298872599432556</v>
      </c>
      <c r="CU59" s="14">
        <f t="shared" si="292"/>
        <v>8.2947735956697022E-2</v>
      </c>
      <c r="CV59" s="12">
        <f t="shared" si="293"/>
        <v>0.91190162059488888</v>
      </c>
      <c r="CW59" s="2" t="str">
        <f t="shared" si="377"/>
        <v>18eHP06.3</v>
      </c>
      <c r="CY59" s="5">
        <f t="shared" si="294"/>
        <v>13.120602573793652</v>
      </c>
      <c r="CZ59" s="5">
        <f t="shared" si="295"/>
        <v>6.9459035559221167</v>
      </c>
      <c r="DA59" s="5">
        <f t="shared" si="296"/>
        <v>0.14795403289961928</v>
      </c>
      <c r="DB59" s="5">
        <f t="shared" si="297"/>
        <v>1.172892409155039</v>
      </c>
      <c r="DC59" s="5">
        <f t="shared" si="298"/>
        <v>0</v>
      </c>
      <c r="DD59" s="5">
        <f t="shared" si="299"/>
        <v>1.7181026772413528</v>
      </c>
      <c r="DE59" s="5">
        <f t="shared" si="300"/>
        <v>2.9584841713495376</v>
      </c>
      <c r="DF59" s="5">
        <f t="shared" si="301"/>
        <v>1.8223591915850401</v>
      </c>
      <c r="DG59" s="5">
        <f t="shared" si="302"/>
        <v>5.6663153432335009E-2</v>
      </c>
      <c r="DH59" s="5">
        <f t="shared" si="303"/>
        <v>0.44852878070375701</v>
      </c>
      <c r="DI59" s="5">
        <f t="shared" si="304"/>
        <v>0.12332027895710104</v>
      </c>
      <c r="DJ59" s="5">
        <f t="shared" si="305"/>
        <v>0</v>
      </c>
      <c r="DK59" s="5">
        <f t="shared" si="306"/>
        <v>2.3030581338071936E-2</v>
      </c>
      <c r="DL59" s="5">
        <f t="shared" si="307"/>
        <v>1.9585857242979914</v>
      </c>
      <c r="DM59" s="5">
        <f t="shared" si="308"/>
        <v>13</v>
      </c>
      <c r="DN59" s="5">
        <f t="shared" si="309"/>
        <v>14.959868012215745</v>
      </c>
      <c r="DO59" s="5">
        <f t="shared" si="310"/>
        <v>7.0291477889688263</v>
      </c>
      <c r="DP59" s="5">
        <f t="shared" si="311"/>
        <v>0.14972721041291709</v>
      </c>
      <c r="DQ59" s="5">
        <f t="shared" si="312"/>
        <v>1.1869491158542234</v>
      </c>
      <c r="DR59" s="5">
        <f t="shared" si="313"/>
        <v>0</v>
      </c>
      <c r="DS59" s="5">
        <f t="shared" si="314"/>
        <v>1.7386935389645211</v>
      </c>
      <c r="DT59" s="5">
        <f t="shared" si="315"/>
        <v>2.9939405729309922</v>
      </c>
      <c r="DU59" s="5">
        <f t="shared" si="316"/>
        <v>1.8441995312928636</v>
      </c>
      <c r="DV59" s="5">
        <f t="shared" si="317"/>
        <v>5.7342241575656712E-2</v>
      </c>
      <c r="DW59" s="5">
        <f t="shared" si="318"/>
        <v>0.45390424180085587</v>
      </c>
      <c r="DX59" s="5">
        <f t="shared" si="319"/>
        <v>0.12479822951576343</v>
      </c>
      <c r="DY59" s="5">
        <f t="shared" si="320"/>
        <v>0</v>
      </c>
      <c r="DZ59" s="5">
        <f t="shared" si="321"/>
        <v>2.330659482784651E-2</v>
      </c>
      <c r="EA59" s="5">
        <f t="shared" si="322"/>
        <v>1.9820586915171245</v>
      </c>
      <c r="EB59" s="5">
        <f t="shared" si="323"/>
        <v>15</v>
      </c>
      <c r="EC59" s="5">
        <f t="shared" si="324"/>
        <v>45.577175029629451</v>
      </c>
      <c r="ED59" s="1">
        <f t="shared" si="325"/>
        <v>6.9459035559221167</v>
      </c>
      <c r="EE59" s="5">
        <f t="shared" si="326"/>
        <v>0.14795403289961928</v>
      </c>
      <c r="EF59" s="5">
        <f t="shared" si="327"/>
        <v>1.172892409155039</v>
      </c>
      <c r="EG59" s="5">
        <f t="shared" si="328"/>
        <v>0</v>
      </c>
      <c r="EH59" s="5">
        <f t="shared" si="329"/>
        <v>0.42282497037054867</v>
      </c>
      <c r="EI59" s="5">
        <f t="shared" si="330"/>
        <v>1.2952777068708041</v>
      </c>
      <c r="EJ59" s="5">
        <f t="shared" si="331"/>
        <v>2.9584841713495376</v>
      </c>
      <c r="EK59" s="5">
        <f t="shared" si="332"/>
        <v>1.8223591915850401</v>
      </c>
      <c r="EL59" s="5">
        <f t="shared" si="333"/>
        <v>5.6663153432335009E-2</v>
      </c>
      <c r="EM59" s="5">
        <f t="shared" si="334"/>
        <v>0.44852878070375701</v>
      </c>
      <c r="EN59" s="5">
        <f t="shared" si="335"/>
        <v>0.12332027895710104</v>
      </c>
      <c r="EO59" s="5">
        <f t="shared" si="336"/>
        <v>3.8618563655290541</v>
      </c>
      <c r="EP59" s="5">
        <f t="shared" si="337"/>
        <v>10.645068809497312</v>
      </c>
      <c r="EQ59" s="5">
        <f t="shared" si="338"/>
        <v>2.0235305369417351</v>
      </c>
      <c r="ER59" s="5">
        <f t="shared" si="339"/>
        <v>100.59975571196811</v>
      </c>
      <c r="ES59" s="5">
        <f t="shared" si="340"/>
        <v>6.9459035559221167</v>
      </c>
      <c r="ET59" s="5">
        <f t="shared" si="341"/>
        <v>1.0540964440778833</v>
      </c>
      <c r="EU59" s="5">
        <f t="shared" si="342"/>
        <v>0</v>
      </c>
      <c r="EV59" s="44">
        <f t="shared" si="343"/>
        <v>8</v>
      </c>
      <c r="EW59" s="5">
        <f t="shared" si="344"/>
        <v>0.11879596507715573</v>
      </c>
      <c r="EX59" s="5">
        <f t="shared" si="345"/>
        <v>0.14795403289961928</v>
      </c>
      <c r="EY59" s="5">
        <f t="shared" si="346"/>
        <v>0</v>
      </c>
      <c r="EZ59" s="5">
        <f t="shared" si="347"/>
        <v>0.42282497037054867</v>
      </c>
      <c r="FA59" s="5">
        <f t="shared" si="348"/>
        <v>2.9584841713495376</v>
      </c>
      <c r="FB59" s="5">
        <f t="shared" si="349"/>
        <v>1.2952777068708041</v>
      </c>
      <c r="FC59" s="5">
        <f t="shared" si="350"/>
        <v>5.6663153432335009E-2</v>
      </c>
      <c r="FD59" s="44">
        <f t="shared" si="351"/>
        <v>5</v>
      </c>
      <c r="FE59" s="5">
        <f t="shared" si="352"/>
        <v>0</v>
      </c>
      <c r="FF59" s="5">
        <f t="shared" si="353"/>
        <v>1.8223591915850401</v>
      </c>
      <c r="FG59" s="5">
        <f t="shared" si="354"/>
        <v>0.17764080841495988</v>
      </c>
      <c r="FH59" s="44">
        <f t="shared" si="355"/>
        <v>2</v>
      </c>
      <c r="FI59" s="5">
        <f t="shared" si="356"/>
        <v>0.27088797228879713</v>
      </c>
      <c r="FJ59" s="5">
        <f t="shared" si="357"/>
        <v>0.12332027895710104</v>
      </c>
      <c r="FK59" s="44">
        <f t="shared" si="358"/>
        <v>0.3942082512458982</v>
      </c>
      <c r="FL59" s="1" t="str">
        <f t="shared" si="359"/>
        <v>Pass</v>
      </c>
      <c r="FM59" s="5">
        <f t="shared" si="360"/>
        <v>0.1012846226558302</v>
      </c>
      <c r="FN59" s="1" t="str">
        <f t="shared" si="361"/>
        <v>Mg-Hbl</v>
      </c>
      <c r="FO59" s="5">
        <f t="shared" si="362"/>
        <v>8.1743059184580744</v>
      </c>
      <c r="FP59" s="5">
        <f t="shared" si="363"/>
        <v>1.172892409155039</v>
      </c>
      <c r="FQ59" s="5">
        <f t="shared" si="364"/>
        <v>3.1400023332030038</v>
      </c>
      <c r="FR59" s="5">
        <f t="shared" si="365"/>
        <v>-1.5206087028950583</v>
      </c>
      <c r="FS59" s="1" t="str">
        <f t="shared" si="366"/>
        <v>YES</v>
      </c>
      <c r="FT59" s="32">
        <f t="shared" si="367"/>
        <v>802.69891933054168</v>
      </c>
      <c r="FU59" s="32">
        <f t="shared" si="368"/>
        <v>103.75145712284447</v>
      </c>
      <c r="FV59" s="46">
        <f t="shared" si="369"/>
        <v>1.1521638357857382</v>
      </c>
      <c r="FW59" s="47">
        <f t="shared" si="370"/>
        <v>-12.649471893067037</v>
      </c>
      <c r="FX59" s="46">
        <f t="shared" si="371"/>
        <v>4.35002561440227</v>
      </c>
      <c r="FY59" s="50">
        <f t="shared" si="189"/>
        <v>118.4292383779311</v>
      </c>
      <c r="FZ59" s="32">
        <f t="shared" si="190"/>
        <v>108.93784463912583</v>
      </c>
      <c r="GA59" s="32">
        <f t="shared" si="191"/>
        <v>51.058740488911312</v>
      </c>
      <c r="GB59" s="32">
        <f t="shared" si="192"/>
        <v>-439.001542075092</v>
      </c>
      <c r="GC59" s="32">
        <f t="shared" si="193"/>
        <v>382.25125911536179</v>
      </c>
      <c r="GD59" s="32">
        <f t="shared" si="194"/>
        <v>-547.93938671421779</v>
      </c>
      <c r="GE59" s="4">
        <f t="shared" si="195"/>
        <v>-2.2276764112551541</v>
      </c>
      <c r="GF59" s="32">
        <f t="shared" si="196"/>
        <v>108.93784463912583</v>
      </c>
      <c r="GG59" s="1">
        <f t="shared" si="197"/>
        <v>22.603718523807458</v>
      </c>
      <c r="GH59" s="32">
        <f t="shared" si="198"/>
        <v>108.93784463912583</v>
      </c>
      <c r="GI59" s="32">
        <f t="shared" si="199"/>
        <v>788.84676890086234</v>
      </c>
      <c r="GJ59" s="46">
        <f t="shared" si="200"/>
        <v>1.4505945148966899</v>
      </c>
      <c r="GK59" s="46">
        <f t="shared" si="201"/>
        <v>76.693173452905569</v>
      </c>
      <c r="GL59" s="46">
        <f t="shared" si="202"/>
        <v>0.17870898238261967</v>
      </c>
      <c r="GM59" s="46">
        <f t="shared" si="203"/>
        <v>13.837657661706929</v>
      </c>
      <c r="GN59" s="46">
        <f t="shared" si="204"/>
        <v>0.66035635907786161</v>
      </c>
      <c r="GO59" s="46">
        <f t="shared" si="205"/>
        <v>-0.51647114316180942</v>
      </c>
      <c r="GP59" s="46">
        <f t="shared" si="206"/>
        <v>0.44681764860955653</v>
      </c>
      <c r="GQ59" s="46">
        <f t="shared" si="207"/>
        <v>5.9592396591703807</v>
      </c>
      <c r="GR59" s="46">
        <f t="shared" si="208"/>
        <v>5.1341671841283043</v>
      </c>
      <c r="GS59" s="46">
        <f t="shared" si="209"/>
        <v>102.3936498048194</v>
      </c>
      <c r="GU59" s="32">
        <f t="shared" si="372"/>
        <v>16160</v>
      </c>
      <c r="GV59" s="32">
        <f t="shared" si="373"/>
        <v>103.75145712284447</v>
      </c>
      <c r="GW59" s="32">
        <f t="shared" si="374"/>
        <v>802.69891933054168</v>
      </c>
      <c r="GX59" s="32">
        <f t="shared" si="375"/>
        <v>108.93784463912583</v>
      </c>
      <c r="GY59" s="32">
        <f t="shared" si="376"/>
        <v>788.84676890086234</v>
      </c>
    </row>
    <row r="60" spans="1:207">
      <c r="A60" s="35">
        <v>16161.999999999998</v>
      </c>
      <c r="B60" s="2" t="s">
        <v>202</v>
      </c>
      <c r="C60" s="36">
        <v>41.82</v>
      </c>
      <c r="D60" s="36">
        <v>3.38</v>
      </c>
      <c r="E60" s="36">
        <v>12.14</v>
      </c>
      <c r="F60" s="36"/>
      <c r="G60" s="36">
        <v>12.55</v>
      </c>
      <c r="H60" s="36">
        <v>13.19</v>
      </c>
      <c r="I60" s="36">
        <v>11.5</v>
      </c>
      <c r="J60" s="36">
        <v>0.15670000000000001</v>
      </c>
      <c r="K60" s="36">
        <v>2.3199999999999998</v>
      </c>
      <c r="L60" s="36">
        <v>0.80989999999999995</v>
      </c>
      <c r="M60" s="36"/>
      <c r="N60" s="36">
        <v>3.2399999999999998E-2</v>
      </c>
      <c r="O60" s="4">
        <f t="shared" si="210"/>
        <v>97.898999999999987</v>
      </c>
      <c r="P60" s="5">
        <f t="shared" si="211"/>
        <v>0.69602208896500417</v>
      </c>
      <c r="Q60" s="5">
        <f t="shared" si="212"/>
        <v>4.232099346654012E-2</v>
      </c>
      <c r="R60" s="5">
        <f t="shared" si="213"/>
        <v>0.11906481044823332</v>
      </c>
      <c r="S60" s="5">
        <f t="shared" si="214"/>
        <v>0</v>
      </c>
      <c r="T60" s="5">
        <f t="shared" si="215"/>
        <v>0.17468306506839784</v>
      </c>
      <c r="U60" s="5">
        <f t="shared" si="216"/>
        <v>0.32725955478806285</v>
      </c>
      <c r="V60" s="5">
        <f t="shared" si="217"/>
        <v>0.20507370170514322</v>
      </c>
      <c r="W60" s="5">
        <f t="shared" si="218"/>
        <v>2.2089883722771031E-3</v>
      </c>
      <c r="X60" s="5">
        <f t="shared" si="219"/>
        <v>3.7432069667535456E-2</v>
      </c>
      <c r="Y60" s="5">
        <f t="shared" si="220"/>
        <v>8.598029640324429E-3</v>
      </c>
      <c r="Z60" s="5">
        <f t="shared" si="221"/>
        <v>0</v>
      </c>
      <c r="AA60" s="5">
        <f t="shared" si="222"/>
        <v>9.1389372318610425E-4</v>
      </c>
      <c r="AB60" s="5">
        <f t="shared" si="223"/>
        <v>1.3920441779300083</v>
      </c>
      <c r="AC60" s="5">
        <f t="shared" si="224"/>
        <v>8.464198693308024E-2</v>
      </c>
      <c r="AD60" s="5">
        <f t="shared" si="225"/>
        <v>0.35719443134469997</v>
      </c>
      <c r="AE60" s="5">
        <f t="shared" si="226"/>
        <v>0</v>
      </c>
      <c r="AF60" s="5">
        <f t="shared" si="227"/>
        <v>0.17468306506839784</v>
      </c>
      <c r="AG60" s="5">
        <f t="shared" si="228"/>
        <v>0.32725955478806285</v>
      </c>
      <c r="AH60" s="5">
        <f t="shared" si="229"/>
        <v>0.20507370170514322</v>
      </c>
      <c r="AI60" s="5">
        <f t="shared" si="230"/>
        <v>2.2089883722771031E-3</v>
      </c>
      <c r="AJ60" s="5">
        <f t="shared" si="231"/>
        <v>3.7432069667535456E-2</v>
      </c>
      <c r="AK60" s="5">
        <f t="shared" si="232"/>
        <v>8.598029640324429E-3</v>
      </c>
      <c r="AL60" s="5">
        <f t="shared" si="233"/>
        <v>2.5891360054495296</v>
      </c>
      <c r="AM60" s="4">
        <f t="shared" si="234"/>
        <v>12.365907401156917</v>
      </c>
      <c r="AN60" s="4">
        <f t="shared" si="235"/>
        <v>0.75189781276972556</v>
      </c>
      <c r="AO60" s="4">
        <f t="shared" si="236"/>
        <v>3.1730553758614612</v>
      </c>
      <c r="AP60" s="4">
        <f t="shared" si="237"/>
        <v>0</v>
      </c>
      <c r="AQ60" s="4">
        <f t="shared" si="238"/>
        <v>1.5517572225316878</v>
      </c>
      <c r="AR60" s="4">
        <f t="shared" si="239"/>
        <v>2.9071357179703665</v>
      </c>
      <c r="AS60" s="4">
        <f t="shared" si="240"/>
        <v>1.8217255212900161</v>
      </c>
      <c r="AT60" s="4">
        <f t="shared" si="241"/>
        <v>1.9623045083547948E-2</v>
      </c>
      <c r="AU60" s="4">
        <f t="shared" si="242"/>
        <v>0.33251926532296561</v>
      </c>
      <c r="AV60" s="4">
        <f t="shared" si="243"/>
        <v>7.637863801331185E-2</v>
      </c>
      <c r="AW60" s="4">
        <f t="shared" si="244"/>
        <v>23</v>
      </c>
      <c r="AX60" s="5">
        <f t="shared" si="245"/>
        <v>6.1829537005784587</v>
      </c>
      <c r="AY60" s="5">
        <f t="shared" si="246"/>
        <v>0.37594890638486278</v>
      </c>
      <c r="AZ60" s="5">
        <f t="shared" si="247"/>
        <v>2.1153702505743075</v>
      </c>
      <c r="BA60" s="5">
        <f t="shared" si="248"/>
        <v>0</v>
      </c>
      <c r="BB60" s="5">
        <f t="shared" si="249"/>
        <v>1.5517572225316878</v>
      </c>
      <c r="BC60" s="5">
        <f t="shared" si="250"/>
        <v>2.9071357179703665</v>
      </c>
      <c r="BD60" s="5">
        <f t="shared" si="251"/>
        <v>1.8217255212900161</v>
      </c>
      <c r="BE60" s="5">
        <f t="shared" si="252"/>
        <v>1.9623045083547948E-2</v>
      </c>
      <c r="BF60" s="5">
        <f t="shared" si="253"/>
        <v>0.66503853064593121</v>
      </c>
      <c r="BG60" s="5">
        <f t="shared" si="254"/>
        <v>0.1527572760266237</v>
      </c>
      <c r="BH60" s="5">
        <f t="shared" si="255"/>
        <v>0</v>
      </c>
      <c r="BI60" s="5">
        <f t="shared" si="256"/>
        <v>8.1183667405030548E-3</v>
      </c>
      <c r="BJ60" s="5">
        <f t="shared" si="257"/>
        <v>1.9918816332594969</v>
      </c>
      <c r="BK60" s="5">
        <f t="shared" si="258"/>
        <v>15.792310171085802</v>
      </c>
      <c r="BL60" s="11">
        <f t="shared" si="259"/>
        <v>1</v>
      </c>
      <c r="BM60" s="11">
        <f t="shared" si="260"/>
        <v>1</v>
      </c>
      <c r="BN60" s="11">
        <f t="shared" si="261"/>
        <v>1</v>
      </c>
      <c r="BO60" s="11">
        <f t="shared" si="262"/>
        <v>1</v>
      </c>
      <c r="BP60" s="11">
        <f>1</f>
        <v>1</v>
      </c>
      <c r="BQ60" s="11">
        <f t="shared" si="263"/>
        <v>0.96405009578936418</v>
      </c>
      <c r="BR60" s="11">
        <f t="shared" si="264"/>
        <v>0.95910670213205229</v>
      </c>
      <c r="BS60" s="11">
        <f t="shared" si="265"/>
        <v>0.98078058987045946</v>
      </c>
      <c r="BT60" s="11">
        <f t="shared" si="266"/>
        <v>0.65844497088792808</v>
      </c>
      <c r="BU60" s="11">
        <f t="shared" si="267"/>
        <v>0.9662661473362677</v>
      </c>
      <c r="BV60" s="5">
        <f t="shared" si="268"/>
        <v>1</v>
      </c>
      <c r="BW60" s="11">
        <f t="shared" si="269"/>
        <v>0.98078058987045946</v>
      </c>
      <c r="BX60" s="11">
        <f t="shared" si="270"/>
        <v>0.99039029493522968</v>
      </c>
      <c r="BY60" s="11">
        <f t="shared" si="271"/>
        <v>6.1235373390867691</v>
      </c>
      <c r="BZ60" s="11">
        <f t="shared" si="272"/>
        <v>0.37233614827508132</v>
      </c>
      <c r="CA60" s="11">
        <f t="shared" si="273"/>
        <v>2.0950421663634993</v>
      </c>
      <c r="CB60" s="11">
        <f t="shared" si="274"/>
        <v>0</v>
      </c>
      <c r="CC60" s="11">
        <f t="shared" si="275"/>
        <v>1.536845293291031</v>
      </c>
      <c r="CD60" s="11">
        <f t="shared" si="276"/>
        <v>2.8791990011374118</v>
      </c>
      <c r="CE60" s="11">
        <f t="shared" si="277"/>
        <v>1.804219276321454</v>
      </c>
      <c r="CF60" s="11">
        <f t="shared" si="278"/>
        <v>1.943447340782236E-2</v>
      </c>
      <c r="CG60" s="11">
        <f t="shared" si="279"/>
        <v>0.6586477065097156</v>
      </c>
      <c r="CH60" s="11">
        <f t="shared" si="280"/>
        <v>0.15128932365751013</v>
      </c>
      <c r="CI60" s="11">
        <f t="shared" si="281"/>
        <v>15.640550728050295</v>
      </c>
      <c r="CJ60" s="11">
        <f t="shared" si="282"/>
        <v>0.44204643297943491</v>
      </c>
      <c r="CK60" s="11">
        <f t="shared" si="283"/>
        <v>1.0947988603115961</v>
      </c>
      <c r="CL60" s="13">
        <f t="shared" si="284"/>
        <v>2.6394421561615644E-2</v>
      </c>
      <c r="CN60" s="32">
        <f t="shared" si="285"/>
        <v>16161.999999999998</v>
      </c>
      <c r="CO60" s="12">
        <f t="shared" si="286"/>
        <v>0.53088433477169228</v>
      </c>
      <c r="CP60" s="12">
        <f t="shared" si="287"/>
        <v>0.46911566522830772</v>
      </c>
      <c r="CQ60" s="12">
        <f t="shared" si="288"/>
        <v>0.10928975272513419</v>
      </c>
      <c r="CR60" s="12">
        <f t="shared" si="289"/>
        <v>0.15128932365751013</v>
      </c>
      <c r="CS60" s="14">
        <f t="shared" si="290"/>
        <v>0.35944927194970466</v>
      </c>
      <c r="CT60" s="14">
        <f t="shared" si="291"/>
        <v>0.48926140439278498</v>
      </c>
      <c r="CU60" s="14">
        <f t="shared" si="292"/>
        <v>8.4693151058465199E-2</v>
      </c>
      <c r="CV60" s="12">
        <f t="shared" si="293"/>
        <v>0.90210963816072698</v>
      </c>
      <c r="CW60" s="2" t="str">
        <f t="shared" si="377"/>
        <v>26dHP01.1</v>
      </c>
      <c r="CY60" s="5">
        <f t="shared" si="294"/>
        <v>13.152788843123231</v>
      </c>
      <c r="CZ60" s="5">
        <f t="shared" si="295"/>
        <v>6.1111296673438789</v>
      </c>
      <c r="DA60" s="5">
        <f t="shared" si="296"/>
        <v>0.37158171101929444</v>
      </c>
      <c r="DB60" s="5">
        <f t="shared" si="297"/>
        <v>2.0907971370530993</v>
      </c>
      <c r="DC60" s="5">
        <f t="shared" si="298"/>
        <v>0</v>
      </c>
      <c r="DD60" s="5">
        <f t="shared" si="299"/>
        <v>1.5337312971050285</v>
      </c>
      <c r="DE60" s="5">
        <f t="shared" si="300"/>
        <v>2.8733650927099186</v>
      </c>
      <c r="DF60" s="5">
        <f t="shared" si="301"/>
        <v>1.8005635199680308</v>
      </c>
      <c r="DG60" s="5">
        <f t="shared" si="302"/>
        <v>1.9395094768779694E-2</v>
      </c>
      <c r="DH60" s="5">
        <f t="shared" si="303"/>
        <v>0.65731313727562024</v>
      </c>
      <c r="DI60" s="5">
        <f t="shared" si="304"/>
        <v>0.15098277726737638</v>
      </c>
      <c r="DJ60" s="5">
        <f t="shared" si="305"/>
        <v>0</v>
      </c>
      <c r="DK60" s="5">
        <f t="shared" si="306"/>
        <v>8.0240600594541842E-3</v>
      </c>
      <c r="DL60" s="5">
        <f t="shared" si="307"/>
        <v>1.9687430202996112</v>
      </c>
      <c r="DM60" s="5">
        <f t="shared" si="308"/>
        <v>13</v>
      </c>
      <c r="DN60" s="5">
        <f t="shared" si="309"/>
        <v>14.974514364413247</v>
      </c>
      <c r="DO60" s="5">
        <f t="shared" si="310"/>
        <v>6.1934766798903746</v>
      </c>
      <c r="DP60" s="5">
        <f t="shared" si="311"/>
        <v>0.37658874662236208</v>
      </c>
      <c r="DQ60" s="5">
        <f t="shared" si="312"/>
        <v>2.1189704711908313</v>
      </c>
      <c r="DR60" s="5">
        <f t="shared" si="313"/>
        <v>0</v>
      </c>
      <c r="DS60" s="5">
        <f t="shared" si="314"/>
        <v>1.5543982109557624</v>
      </c>
      <c r="DT60" s="5">
        <f t="shared" si="315"/>
        <v>2.9120834711800128</v>
      </c>
      <c r="DU60" s="5">
        <f t="shared" si="316"/>
        <v>1.8248259779488991</v>
      </c>
      <c r="DV60" s="5">
        <f t="shared" si="317"/>
        <v>1.9656442211757344E-2</v>
      </c>
      <c r="DW60" s="5">
        <f t="shared" si="318"/>
        <v>0.66617038235282</v>
      </c>
      <c r="DX60" s="5">
        <f t="shared" si="319"/>
        <v>0.15301725883309733</v>
      </c>
      <c r="DY60" s="5">
        <f t="shared" si="320"/>
        <v>0</v>
      </c>
      <c r="DZ60" s="5">
        <f t="shared" si="321"/>
        <v>8.13218366513066E-3</v>
      </c>
      <c r="EA60" s="5">
        <f t="shared" si="322"/>
        <v>1.9952716843958356</v>
      </c>
      <c r="EB60" s="5">
        <f t="shared" si="323"/>
        <v>15.000000000000002</v>
      </c>
      <c r="EC60" s="5">
        <f t="shared" si="324"/>
        <v>45.46564284825849</v>
      </c>
      <c r="ED60" s="1">
        <f t="shared" si="325"/>
        <v>6.1111296673438789</v>
      </c>
      <c r="EE60" s="5">
        <f t="shared" si="326"/>
        <v>0.37158171101929444</v>
      </c>
      <c r="EF60" s="5">
        <f t="shared" si="327"/>
        <v>2.0907971370530993</v>
      </c>
      <c r="EG60" s="5">
        <f t="shared" si="328"/>
        <v>0</v>
      </c>
      <c r="EH60" s="5">
        <f t="shared" si="329"/>
        <v>0.53435715174150999</v>
      </c>
      <c r="EI60" s="5">
        <f t="shared" si="330"/>
        <v>0.99937414536351854</v>
      </c>
      <c r="EJ60" s="5">
        <f t="shared" si="331"/>
        <v>2.8733650927099186</v>
      </c>
      <c r="EK60" s="5">
        <f t="shared" si="332"/>
        <v>1.8005635199680308</v>
      </c>
      <c r="EL60" s="5">
        <f t="shared" si="333"/>
        <v>1.9395094768779694E-2</v>
      </c>
      <c r="EM60" s="5">
        <f t="shared" si="334"/>
        <v>0.65731313727562024</v>
      </c>
      <c r="EN60" s="5">
        <f t="shared" si="335"/>
        <v>0.15098277726737638</v>
      </c>
      <c r="EO60" s="5">
        <f t="shared" si="336"/>
        <v>4.8593253761851471</v>
      </c>
      <c r="EP60" s="5">
        <f t="shared" si="337"/>
        <v>8.1775377134090537</v>
      </c>
      <c r="EQ60" s="5">
        <f t="shared" si="338"/>
        <v>2.0232059259071886</v>
      </c>
      <c r="ER60" s="5">
        <f t="shared" si="339"/>
        <v>100.40906901550139</v>
      </c>
      <c r="ES60" s="5">
        <f t="shared" si="340"/>
        <v>6.1111296673438789</v>
      </c>
      <c r="ET60" s="5">
        <f t="shared" si="341"/>
        <v>1.8888703326561211</v>
      </c>
      <c r="EU60" s="5">
        <f t="shared" si="342"/>
        <v>0</v>
      </c>
      <c r="EV60" s="44">
        <f t="shared" si="343"/>
        <v>8</v>
      </c>
      <c r="EW60" s="5">
        <f t="shared" si="344"/>
        <v>0.20192680439697819</v>
      </c>
      <c r="EX60" s="5">
        <f t="shared" si="345"/>
        <v>0.37158171101929444</v>
      </c>
      <c r="EY60" s="5">
        <f t="shared" si="346"/>
        <v>0</v>
      </c>
      <c r="EZ60" s="5">
        <f t="shared" si="347"/>
        <v>0.53435715174150999</v>
      </c>
      <c r="FA60" s="5">
        <f t="shared" si="348"/>
        <v>2.8733650927099186</v>
      </c>
      <c r="FB60" s="5">
        <f t="shared" si="349"/>
        <v>0.99937414536351854</v>
      </c>
      <c r="FC60" s="5">
        <f t="shared" si="350"/>
        <v>1.9395094768779694E-2</v>
      </c>
      <c r="FD60" s="44">
        <f t="shared" si="351"/>
        <v>4.9999999999999991</v>
      </c>
      <c r="FE60" s="5">
        <f t="shared" si="352"/>
        <v>0</v>
      </c>
      <c r="FF60" s="5">
        <f t="shared" si="353"/>
        <v>1.8005635199680308</v>
      </c>
      <c r="FG60" s="5">
        <f t="shared" si="354"/>
        <v>0.19943648003196923</v>
      </c>
      <c r="FH60" s="44">
        <f t="shared" si="355"/>
        <v>2</v>
      </c>
      <c r="FI60" s="5">
        <f t="shared" si="356"/>
        <v>0.45787665724365101</v>
      </c>
      <c r="FJ60" s="5">
        <f t="shared" si="357"/>
        <v>0.15098277726737638</v>
      </c>
      <c r="FK60" s="44">
        <f t="shared" si="358"/>
        <v>0.60885943451102742</v>
      </c>
      <c r="FL60" s="1" t="str">
        <f t="shared" si="359"/>
        <v>Pass</v>
      </c>
      <c r="FM60" s="5">
        <f t="shared" si="360"/>
        <v>9.6578860195679475E-2</v>
      </c>
      <c r="FN60" s="1" t="str">
        <f t="shared" si="361"/>
        <v>Mg-Hst</v>
      </c>
      <c r="FO60" s="5">
        <f t="shared" si="362"/>
        <v>7.0554457649755067</v>
      </c>
      <c r="FP60" s="5">
        <f t="shared" si="363"/>
        <v>2.0907971370530993</v>
      </c>
      <c r="FQ60" s="5">
        <f t="shared" si="364"/>
        <v>2.6221219172481161</v>
      </c>
      <c r="FR60" s="5">
        <f t="shared" si="365"/>
        <v>-1.2970428523426796</v>
      </c>
      <c r="FS60" s="1" t="str">
        <f t="shared" si="366"/>
        <v>YES</v>
      </c>
      <c r="FT60" s="32">
        <f t="shared" si="367"/>
        <v>972.19168740115538</v>
      </c>
      <c r="FU60" s="32">
        <f t="shared" si="368"/>
        <v>388.36483813559147</v>
      </c>
      <c r="FV60" s="46">
        <f t="shared" si="369"/>
        <v>0.30076843195590275</v>
      </c>
      <c r="FW60" s="47">
        <f t="shared" si="370"/>
        <v>-10.311613847399283</v>
      </c>
      <c r="FX60" s="46">
        <f t="shared" si="371"/>
        <v>5.5159215250329252</v>
      </c>
      <c r="FY60" s="50">
        <f t="shared" si="189"/>
        <v>440.14732813799196</v>
      </c>
      <c r="FZ60" s="32">
        <f t="shared" si="190"/>
        <v>366.83193380251635</v>
      </c>
      <c r="GA60" s="32">
        <f t="shared" si="191"/>
        <v>406.8995722993883</v>
      </c>
      <c r="GB60" s="32">
        <f t="shared" si="192"/>
        <v>471.90655868940701</v>
      </c>
      <c r="GC60" s="32">
        <f t="shared" si="193"/>
        <v>664.3042404669693</v>
      </c>
      <c r="GD60" s="32">
        <f t="shared" si="194"/>
        <v>105.07462488689066</v>
      </c>
      <c r="GE60" s="4">
        <f t="shared" si="195"/>
        <v>-0.50927700340078219</v>
      </c>
      <c r="GF60" s="32">
        <f t="shared" si="196"/>
        <v>406.8995722993883</v>
      </c>
      <c r="GG60" s="1">
        <f t="shared" si="197"/>
        <v>344.07246567422942</v>
      </c>
      <c r="GH60" s="32">
        <f t="shared" si="198"/>
        <v>423.52345021869013</v>
      </c>
      <c r="GI60" s="32">
        <f t="shared" si="199"/>
        <v>955.833045405843</v>
      </c>
      <c r="GJ60" s="46">
        <f t="shared" si="200"/>
        <v>1.1701803081450102</v>
      </c>
      <c r="GK60" s="46">
        <f t="shared" si="201"/>
        <v>61.566737809610942</v>
      </c>
      <c r="GL60" s="46">
        <f t="shared" si="202"/>
        <v>0.70133588703315175</v>
      </c>
      <c r="GM60" s="46">
        <f t="shared" si="203"/>
        <v>17.757364953447293</v>
      </c>
      <c r="GN60" s="46">
        <f t="shared" si="204"/>
        <v>5.0093901372789773</v>
      </c>
      <c r="GO60" s="46">
        <f t="shared" si="205"/>
        <v>1.7521114967224289</v>
      </c>
      <c r="GP60" s="46">
        <f t="shared" si="206"/>
        <v>4.3843740104167148</v>
      </c>
      <c r="GQ60" s="46">
        <f t="shared" si="207"/>
        <v>2.5510745454651382</v>
      </c>
      <c r="GR60" s="46">
        <f t="shared" si="208"/>
        <v>5.5454275609426595</v>
      </c>
      <c r="GS60" s="46">
        <f t="shared" si="209"/>
        <v>99.267816400917326</v>
      </c>
      <c r="GU60" s="32">
        <f t="shared" si="372"/>
        <v>16161.999999999998</v>
      </c>
      <c r="GV60" s="32">
        <f t="shared" si="373"/>
        <v>388.36483813559147</v>
      </c>
      <c r="GW60" s="32">
        <f t="shared" si="374"/>
        <v>972.19168740115538</v>
      </c>
      <c r="GX60" s="32">
        <f t="shared" si="375"/>
        <v>423.52345021869013</v>
      </c>
      <c r="GY60" s="32">
        <f t="shared" si="376"/>
        <v>955.833045405843</v>
      </c>
    </row>
    <row r="61" spans="1:207">
      <c r="A61" s="35">
        <v>16163</v>
      </c>
      <c r="B61" s="2" t="s">
        <v>203</v>
      </c>
      <c r="C61" s="36">
        <v>41.57</v>
      </c>
      <c r="D61" s="36">
        <v>3.05</v>
      </c>
      <c r="E61" s="36">
        <v>12.07</v>
      </c>
      <c r="F61" s="36"/>
      <c r="G61" s="36">
        <v>13.02</v>
      </c>
      <c r="H61" s="36">
        <v>12.91</v>
      </c>
      <c r="I61" s="36">
        <v>11.46</v>
      </c>
      <c r="J61" s="36">
        <v>0.1583</v>
      </c>
      <c r="K61" s="36">
        <v>2.27</v>
      </c>
      <c r="L61" s="36">
        <v>0.85340000000000005</v>
      </c>
      <c r="M61" s="36"/>
      <c r="N61" s="36">
        <v>4.7100000000000003E-2</v>
      </c>
      <c r="O61" s="4">
        <f t="shared" si="210"/>
        <v>97.408799999999971</v>
      </c>
      <c r="P61" s="5">
        <f t="shared" si="211"/>
        <v>0.69186126825144012</v>
      </c>
      <c r="Q61" s="5">
        <f t="shared" si="212"/>
        <v>3.818906215175958E-2</v>
      </c>
      <c r="R61" s="5">
        <f t="shared" si="213"/>
        <v>0.11837827529737859</v>
      </c>
      <c r="S61" s="5">
        <f t="shared" si="214"/>
        <v>0</v>
      </c>
      <c r="T61" s="5">
        <f t="shared" si="215"/>
        <v>0.18122498065263265</v>
      </c>
      <c r="U61" s="5">
        <f t="shared" si="216"/>
        <v>0.32031242246504105</v>
      </c>
      <c r="V61" s="5">
        <f t="shared" si="217"/>
        <v>0.20436040187312535</v>
      </c>
      <c r="W61" s="5">
        <f t="shared" si="218"/>
        <v>2.2315434545722105E-3</v>
      </c>
      <c r="X61" s="5">
        <f t="shared" si="219"/>
        <v>3.6625344028148918E-2</v>
      </c>
      <c r="Y61" s="5">
        <f t="shared" si="220"/>
        <v>9.0598326892861701E-3</v>
      </c>
      <c r="Z61" s="5">
        <f t="shared" si="221"/>
        <v>0</v>
      </c>
      <c r="AA61" s="5">
        <f t="shared" si="222"/>
        <v>1.3285306901872072E-3</v>
      </c>
      <c r="AB61" s="5">
        <f t="shared" si="223"/>
        <v>1.3837225365028802</v>
      </c>
      <c r="AC61" s="5">
        <f t="shared" si="224"/>
        <v>7.637812430351916E-2</v>
      </c>
      <c r="AD61" s="5">
        <f t="shared" si="225"/>
        <v>0.35513482589213574</v>
      </c>
      <c r="AE61" s="5">
        <f t="shared" si="226"/>
        <v>0</v>
      </c>
      <c r="AF61" s="5">
        <f t="shared" si="227"/>
        <v>0.18122498065263265</v>
      </c>
      <c r="AG61" s="5">
        <f t="shared" si="228"/>
        <v>0.32031242246504105</v>
      </c>
      <c r="AH61" s="5">
        <f t="shared" si="229"/>
        <v>0.20436040187312535</v>
      </c>
      <c r="AI61" s="5">
        <f t="shared" si="230"/>
        <v>2.2315434545722105E-3</v>
      </c>
      <c r="AJ61" s="5">
        <f t="shared" si="231"/>
        <v>3.6625344028148918E-2</v>
      </c>
      <c r="AK61" s="5">
        <f t="shared" si="232"/>
        <v>9.0598326892861701E-3</v>
      </c>
      <c r="AL61" s="5">
        <f t="shared" si="233"/>
        <v>2.5690500118613415</v>
      </c>
      <c r="AM61" s="4">
        <f t="shared" si="234"/>
        <v>12.388088278790564</v>
      </c>
      <c r="AN61" s="4">
        <f t="shared" si="235"/>
        <v>0.68379239441437323</v>
      </c>
      <c r="AO61" s="4">
        <f t="shared" si="236"/>
        <v>3.179424673636901</v>
      </c>
      <c r="AP61" s="4">
        <f t="shared" si="237"/>
        <v>0</v>
      </c>
      <c r="AQ61" s="4">
        <f t="shared" si="238"/>
        <v>1.6224575371308569</v>
      </c>
      <c r="AR61" s="4">
        <f t="shared" si="239"/>
        <v>2.8676692484309529</v>
      </c>
      <c r="AS61" s="4">
        <f t="shared" si="240"/>
        <v>1.8295826166795426</v>
      </c>
      <c r="AT61" s="4">
        <f t="shared" si="241"/>
        <v>1.997839637928038E-2</v>
      </c>
      <c r="AU61" s="4">
        <f t="shared" si="242"/>
        <v>0.32789665781441812</v>
      </c>
      <c r="AV61" s="4">
        <f t="shared" si="243"/>
        <v>8.1110196723110164E-2</v>
      </c>
      <c r="AW61" s="4">
        <f t="shared" si="244"/>
        <v>22.999999999999996</v>
      </c>
      <c r="AX61" s="5">
        <f t="shared" si="245"/>
        <v>6.1940441393952819</v>
      </c>
      <c r="AY61" s="5">
        <f t="shared" si="246"/>
        <v>0.34189619720718661</v>
      </c>
      <c r="AZ61" s="5">
        <f t="shared" si="247"/>
        <v>2.1196164490912675</v>
      </c>
      <c r="BA61" s="5">
        <f t="shared" si="248"/>
        <v>0</v>
      </c>
      <c r="BB61" s="5">
        <f t="shared" si="249"/>
        <v>1.6224575371308569</v>
      </c>
      <c r="BC61" s="5">
        <f t="shared" si="250"/>
        <v>2.8676692484309529</v>
      </c>
      <c r="BD61" s="5">
        <f t="shared" si="251"/>
        <v>1.8295826166795426</v>
      </c>
      <c r="BE61" s="5">
        <f t="shared" si="252"/>
        <v>1.997839637928038E-2</v>
      </c>
      <c r="BF61" s="5">
        <f t="shared" si="253"/>
        <v>0.65579331562883625</v>
      </c>
      <c r="BG61" s="5">
        <f t="shared" si="254"/>
        <v>0.16222039344622033</v>
      </c>
      <c r="BH61" s="5">
        <f t="shared" si="255"/>
        <v>0</v>
      </c>
      <c r="BI61" s="5">
        <f t="shared" si="256"/>
        <v>1.1893970819262885E-2</v>
      </c>
      <c r="BJ61" s="5">
        <f t="shared" si="257"/>
        <v>1.9881060291807371</v>
      </c>
      <c r="BK61" s="5">
        <f t="shared" si="258"/>
        <v>15.813258293389426</v>
      </c>
      <c r="BL61" s="11">
        <f t="shared" si="259"/>
        <v>1</v>
      </c>
      <c r="BM61" s="11">
        <f t="shared" si="260"/>
        <v>1</v>
      </c>
      <c r="BN61" s="11">
        <f t="shared" si="261"/>
        <v>1</v>
      </c>
      <c r="BO61" s="11">
        <f t="shared" si="262"/>
        <v>1</v>
      </c>
      <c r="BP61" s="11">
        <f>1</f>
        <v>1</v>
      </c>
      <c r="BQ61" s="11">
        <f t="shared" si="263"/>
        <v>0.96227166298791023</v>
      </c>
      <c r="BR61" s="11">
        <f t="shared" si="264"/>
        <v>0.95840289288766167</v>
      </c>
      <c r="BS61" s="11">
        <f t="shared" si="265"/>
        <v>0.97982160196062285</v>
      </c>
      <c r="BT61" s="11">
        <f t="shared" si="266"/>
        <v>0.6586704466511466</v>
      </c>
      <c r="BU61" s="11">
        <f t="shared" si="267"/>
        <v>0.96472918397541618</v>
      </c>
      <c r="BV61" s="5">
        <f t="shared" si="268"/>
        <v>1</v>
      </c>
      <c r="BW61" s="11">
        <f t="shared" si="269"/>
        <v>0.97982160196062285</v>
      </c>
      <c r="BX61" s="11">
        <f t="shared" si="270"/>
        <v>0.98991080098031148</v>
      </c>
      <c r="BY61" s="11">
        <f t="shared" si="271"/>
        <v>6.1315511953361872</v>
      </c>
      <c r="BZ61" s="11">
        <f t="shared" si="272"/>
        <v>0.33844673842948864</v>
      </c>
      <c r="CA61" s="11">
        <f t="shared" si="273"/>
        <v>2.09823121689098</v>
      </c>
      <c r="CB61" s="11">
        <f t="shared" si="274"/>
        <v>0</v>
      </c>
      <c r="CC61" s="11">
        <f t="shared" si="275"/>
        <v>1.6060882401377501</v>
      </c>
      <c r="CD61" s="11">
        <f t="shared" si="276"/>
        <v>2.8387367626608926</v>
      </c>
      <c r="CE61" s="11">
        <f t="shared" si="277"/>
        <v>1.8111235935369001</v>
      </c>
      <c r="CF61" s="11">
        <f t="shared" si="278"/>
        <v>1.9776830362115597E-2</v>
      </c>
      <c r="CG61" s="11">
        <f t="shared" si="279"/>
        <v>0.64917688635167548</v>
      </c>
      <c r="CH61" s="11">
        <f t="shared" si="280"/>
        <v>0.16058371961168924</v>
      </c>
      <c r="CI61" s="11">
        <f t="shared" si="281"/>
        <v>15.653715183317679</v>
      </c>
      <c r="CJ61" s="11">
        <f t="shared" si="282"/>
        <v>0.464103154905672</v>
      </c>
      <c r="CK61" s="11">
        <f t="shared" si="283"/>
        <v>1.1419850852320781</v>
      </c>
      <c r="CL61" s="13">
        <f t="shared" si="284"/>
        <v>3.2830983817413895E-2</v>
      </c>
      <c r="CN61" s="32">
        <f t="shared" si="285"/>
        <v>16163</v>
      </c>
      <c r="CO61" s="12">
        <f t="shared" si="286"/>
        <v>0.5328877988340468</v>
      </c>
      <c r="CP61" s="12">
        <f t="shared" si="287"/>
        <v>0.4671122011659532</v>
      </c>
      <c r="CQ61" s="12">
        <f t="shared" si="288"/>
        <v>0.11489120611358317</v>
      </c>
      <c r="CR61" s="12">
        <f t="shared" si="289"/>
        <v>0.16058371961168924</v>
      </c>
      <c r="CS61" s="14">
        <f t="shared" si="290"/>
        <v>0.34628481668232125</v>
      </c>
      <c r="CT61" s="14">
        <f t="shared" si="291"/>
        <v>0.49313146370598959</v>
      </c>
      <c r="CU61" s="14">
        <f t="shared" si="292"/>
        <v>7.8022711322842997E-2</v>
      </c>
      <c r="CV61" s="12">
        <f t="shared" si="293"/>
        <v>0.90556179676845006</v>
      </c>
      <c r="CW61" s="2" t="str">
        <f t="shared" si="377"/>
        <v>26dHP01.2</v>
      </c>
      <c r="CY61" s="5">
        <f t="shared" si="294"/>
        <v>13.165661967634826</v>
      </c>
      <c r="CZ61" s="5">
        <f t="shared" si="295"/>
        <v>6.1161052144652865</v>
      </c>
      <c r="DA61" s="5">
        <f t="shared" si="296"/>
        <v>0.33759415778862623</v>
      </c>
      <c r="DB61" s="5">
        <f t="shared" si="297"/>
        <v>2.0929455659673644</v>
      </c>
      <c r="DC61" s="5">
        <f t="shared" si="298"/>
        <v>0</v>
      </c>
      <c r="DD61" s="5">
        <f t="shared" si="299"/>
        <v>1.6020423458046789</v>
      </c>
      <c r="DE61" s="5">
        <f t="shared" si="300"/>
        <v>2.8315857053938616</v>
      </c>
      <c r="DF61" s="5">
        <f t="shared" si="301"/>
        <v>1.8065611949709572</v>
      </c>
      <c r="DG61" s="5">
        <f t="shared" si="302"/>
        <v>1.9727010580182985E-2</v>
      </c>
      <c r="DH61" s="5">
        <f t="shared" si="303"/>
        <v>0.64754154588904578</v>
      </c>
      <c r="DI61" s="5">
        <f t="shared" si="304"/>
        <v>0.16017919341884151</v>
      </c>
      <c r="DJ61" s="5">
        <f t="shared" si="305"/>
        <v>0</v>
      </c>
      <c r="DK61" s="5">
        <f t="shared" si="306"/>
        <v>1.1744310390964326E-2</v>
      </c>
      <c r="DL61" s="5">
        <f t="shared" si="307"/>
        <v>1.9630899261188182</v>
      </c>
      <c r="DM61" s="5">
        <f t="shared" si="308"/>
        <v>12.999999999999998</v>
      </c>
      <c r="DN61" s="5">
        <f t="shared" si="309"/>
        <v>14.995244584314369</v>
      </c>
      <c r="DO61" s="5">
        <f t="shared" si="310"/>
        <v>6.1960084457787055</v>
      </c>
      <c r="DP61" s="5">
        <f t="shared" si="311"/>
        <v>0.34200462215016869</v>
      </c>
      <c r="DQ61" s="5">
        <f t="shared" si="312"/>
        <v>2.1202886393481757</v>
      </c>
      <c r="DR61" s="5">
        <f t="shared" si="313"/>
        <v>0</v>
      </c>
      <c r="DS61" s="5">
        <f t="shared" si="314"/>
        <v>1.6229720642516359</v>
      </c>
      <c r="DT61" s="5">
        <f t="shared" si="315"/>
        <v>2.8685786673636362</v>
      </c>
      <c r="DU61" s="5">
        <f t="shared" si="316"/>
        <v>1.8301628290144996</v>
      </c>
      <c r="DV61" s="5">
        <f t="shared" si="317"/>
        <v>1.9984732093178314E-2</v>
      </c>
      <c r="DW61" s="5">
        <f t="shared" si="318"/>
        <v>0.65600128621592058</v>
      </c>
      <c r="DX61" s="5">
        <f t="shared" si="319"/>
        <v>0.16227183811584114</v>
      </c>
      <c r="DY61" s="5">
        <f t="shared" si="320"/>
        <v>0</v>
      </c>
      <c r="DZ61" s="5">
        <f t="shared" si="321"/>
        <v>1.1897742733424093E-2</v>
      </c>
      <c r="EA61" s="5">
        <f t="shared" si="322"/>
        <v>1.9887365137682145</v>
      </c>
      <c r="EB61" s="5">
        <f t="shared" si="323"/>
        <v>15</v>
      </c>
      <c r="EC61" s="5">
        <f t="shared" si="324"/>
        <v>45.421187439724996</v>
      </c>
      <c r="ED61" s="1">
        <f t="shared" si="325"/>
        <v>6.1161052144652865</v>
      </c>
      <c r="EE61" s="5">
        <f t="shared" si="326"/>
        <v>0.33759415778862623</v>
      </c>
      <c r="EF61" s="5">
        <f t="shared" si="327"/>
        <v>2.0929455659673644</v>
      </c>
      <c r="EG61" s="5">
        <f t="shared" si="328"/>
        <v>0</v>
      </c>
      <c r="EH61" s="5">
        <f t="shared" si="329"/>
        <v>0.57881256027500427</v>
      </c>
      <c r="EI61" s="5">
        <f t="shared" si="330"/>
        <v>1.0232297855296746</v>
      </c>
      <c r="EJ61" s="5">
        <f t="shared" si="331"/>
        <v>2.8315857053938616</v>
      </c>
      <c r="EK61" s="5">
        <f t="shared" si="332"/>
        <v>1.8065611949709572</v>
      </c>
      <c r="EL61" s="5">
        <f t="shared" si="333"/>
        <v>1.9727010580182985E-2</v>
      </c>
      <c r="EM61" s="5">
        <f t="shared" si="334"/>
        <v>0.64754154588904578</v>
      </c>
      <c r="EN61" s="5">
        <f t="shared" si="335"/>
        <v>0.16017919341884151</v>
      </c>
      <c r="EO61" s="5">
        <f t="shared" si="336"/>
        <v>5.2278708165382453</v>
      </c>
      <c r="EP61" s="5">
        <f t="shared" si="337"/>
        <v>8.3159173928731089</v>
      </c>
      <c r="EQ61" s="5">
        <f t="shared" si="338"/>
        <v>2.0009350473129985</v>
      </c>
      <c r="ER61" s="5">
        <f t="shared" si="339"/>
        <v>99.933523256724342</v>
      </c>
      <c r="ES61" s="5">
        <f t="shared" si="340"/>
        <v>6.1161052144652865</v>
      </c>
      <c r="ET61" s="5">
        <f t="shared" si="341"/>
        <v>1.8838947855347135</v>
      </c>
      <c r="EU61" s="5">
        <f t="shared" si="342"/>
        <v>0</v>
      </c>
      <c r="EV61" s="44">
        <f t="shared" si="343"/>
        <v>8</v>
      </c>
      <c r="EW61" s="5">
        <f t="shared" si="344"/>
        <v>0.20905078043265091</v>
      </c>
      <c r="EX61" s="5">
        <f t="shared" si="345"/>
        <v>0.33759415778862623</v>
      </c>
      <c r="EY61" s="5">
        <f t="shared" si="346"/>
        <v>0</v>
      </c>
      <c r="EZ61" s="5">
        <f t="shared" si="347"/>
        <v>0.57881256027500427</v>
      </c>
      <c r="FA61" s="5">
        <f t="shared" si="348"/>
        <v>2.8315857053938616</v>
      </c>
      <c r="FB61" s="5">
        <f t="shared" si="349"/>
        <v>1.0232297855296746</v>
      </c>
      <c r="FC61" s="5">
        <f t="shared" si="350"/>
        <v>1.9727010580182985E-2</v>
      </c>
      <c r="FD61" s="44">
        <f t="shared" si="351"/>
        <v>5</v>
      </c>
      <c r="FE61" s="5">
        <f t="shared" si="352"/>
        <v>0</v>
      </c>
      <c r="FF61" s="5">
        <f t="shared" si="353"/>
        <v>1.8065611949709572</v>
      </c>
      <c r="FG61" s="5">
        <f t="shared" si="354"/>
        <v>0.19343880502904276</v>
      </c>
      <c r="FH61" s="44">
        <f t="shared" si="355"/>
        <v>2</v>
      </c>
      <c r="FI61" s="5">
        <f t="shared" si="356"/>
        <v>0.45410274086000302</v>
      </c>
      <c r="FJ61" s="5">
        <f t="shared" si="357"/>
        <v>0.16017919341884151</v>
      </c>
      <c r="FK61" s="44">
        <f t="shared" si="358"/>
        <v>0.61428193427884459</v>
      </c>
      <c r="FL61" s="1" t="str">
        <f t="shared" si="359"/>
        <v>Pass</v>
      </c>
      <c r="FM61" s="5">
        <f t="shared" si="360"/>
        <v>9.9883524842666965E-2</v>
      </c>
      <c r="FN61" s="1" t="str">
        <f t="shared" si="361"/>
        <v>Mg-Hst</v>
      </c>
      <c r="FO61" s="5">
        <f t="shared" si="362"/>
        <v>7.0804510918234795</v>
      </c>
      <c r="FP61" s="5">
        <f t="shared" si="363"/>
        <v>2.0929455659673644</v>
      </c>
      <c r="FQ61" s="5">
        <f t="shared" si="364"/>
        <v>2.6409204114124694</v>
      </c>
      <c r="FR61" s="5">
        <f t="shared" si="365"/>
        <v>-1.2888989518144691</v>
      </c>
      <c r="FS61" s="1" t="str">
        <f t="shared" si="366"/>
        <v>YES</v>
      </c>
      <c r="FT61" s="32">
        <f t="shared" si="367"/>
        <v>968.40370545293649</v>
      </c>
      <c r="FU61" s="32">
        <f t="shared" si="368"/>
        <v>389.56652361580387</v>
      </c>
      <c r="FV61" s="46">
        <f t="shared" si="369"/>
        <v>0.3316731563620996</v>
      </c>
      <c r="FW61" s="47">
        <f t="shared" si="370"/>
        <v>-10.339561601833097</v>
      </c>
      <c r="FX61" s="46">
        <f t="shared" si="371"/>
        <v>5.5583919662875427</v>
      </c>
      <c r="FY61" s="50">
        <f t="shared" si="189"/>
        <v>442.17710519263397</v>
      </c>
      <c r="FZ61" s="32">
        <f t="shared" si="190"/>
        <v>358.70336985421119</v>
      </c>
      <c r="GA61" s="32">
        <f t="shared" si="191"/>
        <v>401.47353577000933</v>
      </c>
      <c r="GB61" s="32">
        <f t="shared" si="192"/>
        <v>471.92835792140011</v>
      </c>
      <c r="GC61" s="32">
        <f t="shared" si="193"/>
        <v>681.49838358811064</v>
      </c>
      <c r="GD61" s="32">
        <f t="shared" si="194"/>
        <v>113.22498806718892</v>
      </c>
      <c r="GE61" s="4">
        <f t="shared" si="195"/>
        <v>-0.54123398879102214</v>
      </c>
      <c r="GF61" s="32">
        <f t="shared" si="196"/>
        <v>401.47353577000933</v>
      </c>
      <c r="GG61" s="1">
        <f t="shared" si="197"/>
        <v>347.00180008958563</v>
      </c>
      <c r="GH61" s="32">
        <f t="shared" si="198"/>
        <v>421.82532048132168</v>
      </c>
      <c r="GI61" s="32">
        <f t="shared" si="199"/>
        <v>943.38689239685141</v>
      </c>
      <c r="GJ61" s="46">
        <f t="shared" si="200"/>
        <v>1.3859475003784674</v>
      </c>
      <c r="GK61" s="46">
        <f t="shared" si="201"/>
        <v>62.91693303459428</v>
      </c>
      <c r="GL61" s="46">
        <f t="shared" si="202"/>
        <v>0.58609185547125908</v>
      </c>
      <c r="GM61" s="46">
        <f t="shared" si="203"/>
        <v>17.657672679510696</v>
      </c>
      <c r="GN61" s="46">
        <f t="shared" si="204"/>
        <v>4.2633798185439282</v>
      </c>
      <c r="GO61" s="46">
        <f t="shared" si="205"/>
        <v>1.5020771482956288</v>
      </c>
      <c r="GP61" s="46">
        <f t="shared" si="206"/>
        <v>3.906143680059321</v>
      </c>
      <c r="GQ61" s="46">
        <f t="shared" si="207"/>
        <v>2.8843206491286004</v>
      </c>
      <c r="GR61" s="46">
        <f t="shared" si="208"/>
        <v>6.0181644911862548</v>
      </c>
      <c r="GS61" s="46">
        <f t="shared" si="209"/>
        <v>99.734783356789947</v>
      </c>
      <c r="GU61" s="32">
        <f t="shared" si="372"/>
        <v>16163</v>
      </c>
      <c r="GV61" s="32">
        <f t="shared" si="373"/>
        <v>389.56652361580387</v>
      </c>
      <c r="GW61" s="32">
        <f t="shared" si="374"/>
        <v>968.40370545293649</v>
      </c>
      <c r="GX61" s="32">
        <f t="shared" si="375"/>
        <v>421.82532048132168</v>
      </c>
      <c r="GY61" s="32">
        <f t="shared" si="376"/>
        <v>943.38689239685141</v>
      </c>
    </row>
    <row r="62" spans="1:207">
      <c r="A62" s="35">
        <v>16166</v>
      </c>
      <c r="B62" s="2" t="s">
        <v>204</v>
      </c>
      <c r="C62" s="36">
        <v>41.6</v>
      </c>
      <c r="D62" s="36">
        <v>3.25</v>
      </c>
      <c r="E62" s="36">
        <v>12.19</v>
      </c>
      <c r="F62" s="36"/>
      <c r="G62" s="36">
        <v>13.09</v>
      </c>
      <c r="H62" s="36">
        <v>12.78</v>
      </c>
      <c r="I62" s="36">
        <v>11.38</v>
      </c>
      <c r="J62" s="36">
        <v>0.1867</v>
      </c>
      <c r="K62" s="36">
        <v>2.42</v>
      </c>
      <c r="L62" s="36">
        <v>0.88390000000000002</v>
      </c>
      <c r="M62" s="36"/>
      <c r="N62" s="36">
        <v>3.5799999999999998E-2</v>
      </c>
      <c r="O62" s="4">
        <f t="shared" si="210"/>
        <v>97.816399999999987</v>
      </c>
      <c r="P62" s="5">
        <f t="shared" si="211"/>
        <v>0.69236056673706781</v>
      </c>
      <c r="Q62" s="5">
        <f t="shared" si="212"/>
        <v>4.0693262948596272E-2</v>
      </c>
      <c r="R62" s="5">
        <f t="shared" si="213"/>
        <v>0.11955519269884382</v>
      </c>
      <c r="S62" s="5">
        <f t="shared" si="214"/>
        <v>0</v>
      </c>
      <c r="T62" s="5">
        <f t="shared" si="215"/>
        <v>0.18219930850560379</v>
      </c>
      <c r="U62" s="5">
        <f t="shared" si="216"/>
        <v>0.31708696817220944</v>
      </c>
      <c r="V62" s="5">
        <f t="shared" si="217"/>
        <v>0.20293380220908958</v>
      </c>
      <c r="W62" s="5">
        <f t="shared" si="218"/>
        <v>2.6318961653103707E-3</v>
      </c>
      <c r="X62" s="5">
        <f t="shared" si="219"/>
        <v>3.9045520946308532E-2</v>
      </c>
      <c r="Y62" s="5">
        <f t="shared" si="220"/>
        <v>9.3836256316616427E-3</v>
      </c>
      <c r="Z62" s="5">
        <f t="shared" si="221"/>
        <v>0</v>
      </c>
      <c r="AA62" s="5">
        <f t="shared" si="222"/>
        <v>1.009796150927856E-3</v>
      </c>
      <c r="AB62" s="5">
        <f t="shared" si="223"/>
        <v>1.3847211334741356</v>
      </c>
      <c r="AC62" s="5">
        <f t="shared" si="224"/>
        <v>8.1386525897192544E-2</v>
      </c>
      <c r="AD62" s="5">
        <f t="shared" si="225"/>
        <v>0.35866557809653143</v>
      </c>
      <c r="AE62" s="5">
        <f t="shared" si="226"/>
        <v>0</v>
      </c>
      <c r="AF62" s="5">
        <f t="shared" si="227"/>
        <v>0.18219930850560379</v>
      </c>
      <c r="AG62" s="5">
        <f t="shared" si="228"/>
        <v>0.31708696817220944</v>
      </c>
      <c r="AH62" s="5">
        <f t="shared" si="229"/>
        <v>0.20293380220908958</v>
      </c>
      <c r="AI62" s="5">
        <f t="shared" si="230"/>
        <v>2.6318961653103707E-3</v>
      </c>
      <c r="AJ62" s="5">
        <f t="shared" si="231"/>
        <v>3.9045520946308532E-2</v>
      </c>
      <c r="AK62" s="5">
        <f t="shared" si="232"/>
        <v>9.3836256316616427E-3</v>
      </c>
      <c r="AL62" s="5">
        <f t="shared" si="233"/>
        <v>2.5780543590980431</v>
      </c>
      <c r="AM62" s="4">
        <f t="shared" si="234"/>
        <v>12.353729453962192</v>
      </c>
      <c r="AN62" s="4">
        <f t="shared" si="235"/>
        <v>0.72608635618153805</v>
      </c>
      <c r="AO62" s="4">
        <f t="shared" si="236"/>
        <v>3.1998193781710333</v>
      </c>
      <c r="AP62" s="4">
        <f t="shared" si="237"/>
        <v>0</v>
      </c>
      <c r="AQ62" s="4">
        <f t="shared" si="238"/>
        <v>1.6254832179314493</v>
      </c>
      <c r="AR62" s="4">
        <f t="shared" si="239"/>
        <v>2.8288776154868756</v>
      </c>
      <c r="AS62" s="4">
        <f t="shared" si="240"/>
        <v>1.8104651030097059</v>
      </c>
      <c r="AT62" s="4">
        <f t="shared" si="241"/>
        <v>2.3480347335777974E-2</v>
      </c>
      <c r="AU62" s="4">
        <f t="shared" si="242"/>
        <v>0.34834291937866141</v>
      </c>
      <c r="AV62" s="4">
        <f t="shared" si="243"/>
        <v>8.3715608542763872E-2</v>
      </c>
      <c r="AW62" s="4">
        <f t="shared" si="244"/>
        <v>22.999999999999996</v>
      </c>
      <c r="AX62" s="5">
        <f t="shared" si="245"/>
        <v>6.1768647269810959</v>
      </c>
      <c r="AY62" s="5">
        <f t="shared" si="246"/>
        <v>0.36304317809076903</v>
      </c>
      <c r="AZ62" s="5">
        <f t="shared" si="247"/>
        <v>2.1332129187806887</v>
      </c>
      <c r="BA62" s="5">
        <f t="shared" si="248"/>
        <v>0</v>
      </c>
      <c r="BB62" s="5">
        <f t="shared" si="249"/>
        <v>1.6254832179314493</v>
      </c>
      <c r="BC62" s="5">
        <f t="shared" si="250"/>
        <v>2.8288776154868756</v>
      </c>
      <c r="BD62" s="5">
        <f t="shared" si="251"/>
        <v>1.8104651030097059</v>
      </c>
      <c r="BE62" s="5">
        <f t="shared" si="252"/>
        <v>2.3480347335777974E-2</v>
      </c>
      <c r="BF62" s="5">
        <f t="shared" si="253"/>
        <v>0.69668583875732282</v>
      </c>
      <c r="BG62" s="5">
        <f t="shared" si="254"/>
        <v>0.16743121708552774</v>
      </c>
      <c r="BH62" s="5">
        <f t="shared" si="255"/>
        <v>0</v>
      </c>
      <c r="BI62" s="5">
        <f t="shared" si="256"/>
        <v>9.0088525051373568E-3</v>
      </c>
      <c r="BJ62" s="5">
        <f t="shared" si="257"/>
        <v>1.9909911474948627</v>
      </c>
      <c r="BK62" s="5">
        <f t="shared" si="258"/>
        <v>15.825544163459213</v>
      </c>
      <c r="BL62" s="11">
        <f t="shared" si="259"/>
        <v>1</v>
      </c>
      <c r="BM62" s="11">
        <f t="shared" si="260"/>
        <v>1</v>
      </c>
      <c r="BN62" s="11">
        <f t="shared" si="261"/>
        <v>1</v>
      </c>
      <c r="BO62" s="11">
        <f t="shared" si="262"/>
        <v>1</v>
      </c>
      <c r="BP62" s="11">
        <f>1</f>
        <v>1</v>
      </c>
      <c r="BQ62" s="11">
        <f t="shared" si="263"/>
        <v>0.96268655252337776</v>
      </c>
      <c r="BR62" s="11">
        <f t="shared" si="264"/>
        <v>0.95796984294163612</v>
      </c>
      <c r="BS62" s="11">
        <f t="shared" si="265"/>
        <v>0.98091683296486243</v>
      </c>
      <c r="BT62" s="11">
        <f t="shared" si="266"/>
        <v>0.6584588451788923</v>
      </c>
      <c r="BU62" s="11">
        <f t="shared" si="267"/>
        <v>0.96466340830583808</v>
      </c>
      <c r="BV62" s="5">
        <f t="shared" si="268"/>
        <v>1</v>
      </c>
      <c r="BW62" s="11">
        <f t="shared" si="269"/>
        <v>0.98091683296486243</v>
      </c>
      <c r="BX62" s="11">
        <f t="shared" si="270"/>
        <v>0.99045841648243127</v>
      </c>
      <c r="BY62" s="11">
        <f t="shared" si="271"/>
        <v>6.1179276563118812</v>
      </c>
      <c r="BZ62" s="11">
        <f t="shared" si="272"/>
        <v>0.35957917128653238</v>
      </c>
      <c r="CA62" s="11">
        <f t="shared" si="273"/>
        <v>2.1128586895553862</v>
      </c>
      <c r="CB62" s="11">
        <f t="shared" si="274"/>
        <v>0</v>
      </c>
      <c r="CC62" s="11">
        <f t="shared" si="275"/>
        <v>1.6099735340511501</v>
      </c>
      <c r="CD62" s="11">
        <f t="shared" si="276"/>
        <v>2.8018856434577271</v>
      </c>
      <c r="CE62" s="11">
        <f t="shared" si="277"/>
        <v>1.793190399023695</v>
      </c>
      <c r="CF62" s="11">
        <f t="shared" si="278"/>
        <v>2.3256307640652125E-2</v>
      </c>
      <c r="CG62" s="11">
        <f t="shared" si="279"/>
        <v>0.69003835264131241</v>
      </c>
      <c r="CH62" s="11">
        <f t="shared" si="280"/>
        <v>0.16583365814425799</v>
      </c>
      <c r="CI62" s="11">
        <f t="shared" si="281"/>
        <v>15.674543412112595</v>
      </c>
      <c r="CJ62" s="11">
        <f t="shared" si="282"/>
        <v>0.43891284180816159</v>
      </c>
      <c r="CK62" s="11">
        <f t="shared" si="283"/>
        <v>1.1710606922429885</v>
      </c>
      <c r="CL62" s="13">
        <f t="shared" si="284"/>
        <v>2.5481002303328282E-2</v>
      </c>
      <c r="CN62" s="32">
        <f t="shared" si="285"/>
        <v>16166</v>
      </c>
      <c r="CO62" s="12">
        <f t="shared" si="286"/>
        <v>0.52948191407797029</v>
      </c>
      <c r="CP62" s="12">
        <f t="shared" si="287"/>
        <v>0.47051808592202971</v>
      </c>
      <c r="CQ62" s="12">
        <f t="shared" si="288"/>
        <v>0.11539317293363371</v>
      </c>
      <c r="CR62" s="12">
        <f t="shared" si="289"/>
        <v>0.16583365814425799</v>
      </c>
      <c r="CS62" s="14">
        <f t="shared" si="290"/>
        <v>0.32545658788740628</v>
      </c>
      <c r="CT62" s="14">
        <f t="shared" si="291"/>
        <v>0.50870975396833584</v>
      </c>
      <c r="CU62" s="14">
        <f t="shared" si="292"/>
        <v>9.0664299336488341E-2</v>
      </c>
      <c r="CV62" s="12">
        <f t="shared" si="293"/>
        <v>0.89659519951184752</v>
      </c>
      <c r="CW62" s="2" t="str">
        <f t="shared" si="377"/>
        <v>26dHP01.5</v>
      </c>
      <c r="CY62" s="5">
        <f t="shared" si="294"/>
        <v>13.150962004606656</v>
      </c>
      <c r="CZ62" s="5">
        <f t="shared" si="295"/>
        <v>6.1059595049112145</v>
      </c>
      <c r="DA62" s="5">
        <f t="shared" si="296"/>
        <v>0.3588757471527011</v>
      </c>
      <c r="DB62" s="5">
        <f t="shared" si="297"/>
        <v>2.1087254251388439</v>
      </c>
      <c r="DC62" s="5">
        <f t="shared" si="298"/>
        <v>0</v>
      </c>
      <c r="DD62" s="5">
        <f t="shared" si="299"/>
        <v>1.6068240350558958</v>
      </c>
      <c r="DE62" s="5">
        <f t="shared" si="300"/>
        <v>2.7964044750830626</v>
      </c>
      <c r="DF62" s="5">
        <f t="shared" si="301"/>
        <v>1.7896824833713096</v>
      </c>
      <c r="DG62" s="5">
        <f t="shared" si="302"/>
        <v>2.3210812658282294E-2</v>
      </c>
      <c r="DH62" s="5">
        <f t="shared" si="303"/>
        <v>0.68868847014177703</v>
      </c>
      <c r="DI62" s="5">
        <f t="shared" si="304"/>
        <v>0.16550924725882538</v>
      </c>
      <c r="DJ62" s="5">
        <f t="shared" si="305"/>
        <v>0</v>
      </c>
      <c r="DK62" s="5">
        <f t="shared" si="306"/>
        <v>8.9054384406069571E-3</v>
      </c>
      <c r="DL62" s="5">
        <f t="shared" si="307"/>
        <v>1.968136240403302</v>
      </c>
      <c r="DM62" s="5">
        <f t="shared" si="308"/>
        <v>13</v>
      </c>
      <c r="DN62" s="5">
        <f t="shared" si="309"/>
        <v>14.961427107616363</v>
      </c>
      <c r="DO62" s="5">
        <f t="shared" si="310"/>
        <v>6.1927896475564088</v>
      </c>
      <c r="DP62" s="5">
        <f t="shared" si="311"/>
        <v>0.36397916002206354</v>
      </c>
      <c r="DQ62" s="5">
        <f t="shared" si="312"/>
        <v>2.13871267436922</v>
      </c>
      <c r="DR62" s="5">
        <f t="shared" si="313"/>
        <v>0</v>
      </c>
      <c r="DS62" s="5">
        <f t="shared" si="314"/>
        <v>1.6296739671685165</v>
      </c>
      <c r="DT62" s="5">
        <f t="shared" si="315"/>
        <v>2.8361709031554772</v>
      </c>
      <c r="DU62" s="5">
        <f t="shared" si="316"/>
        <v>1.8151327643952415</v>
      </c>
      <c r="DV62" s="5">
        <f t="shared" si="317"/>
        <v>2.3540883333072801E-2</v>
      </c>
      <c r="DW62" s="5">
        <f t="shared" si="318"/>
        <v>0.69848200350085254</v>
      </c>
      <c r="DX62" s="5">
        <f t="shared" si="319"/>
        <v>0.16786288087480716</v>
      </c>
      <c r="DY62" s="5">
        <f t="shared" si="320"/>
        <v>0</v>
      </c>
      <c r="DZ62" s="5">
        <f t="shared" si="321"/>
        <v>9.0320787318656764E-3</v>
      </c>
      <c r="EA62" s="5">
        <f t="shared" si="322"/>
        <v>1.9961242331769096</v>
      </c>
      <c r="EB62" s="5">
        <f t="shared" si="323"/>
        <v>15</v>
      </c>
      <c r="EC62" s="5">
        <f t="shared" si="324"/>
        <v>45.471958613409889</v>
      </c>
      <c r="ED62" s="1">
        <f t="shared" si="325"/>
        <v>6.1059595049112145</v>
      </c>
      <c r="EE62" s="5">
        <f t="shared" si="326"/>
        <v>0.3588757471527011</v>
      </c>
      <c r="EF62" s="5">
        <f t="shared" si="327"/>
        <v>2.1087254251388439</v>
      </c>
      <c r="EG62" s="5">
        <f t="shared" si="328"/>
        <v>0</v>
      </c>
      <c r="EH62" s="5">
        <f t="shared" si="329"/>
        <v>0.52804138659011102</v>
      </c>
      <c r="EI62" s="5">
        <f t="shared" si="330"/>
        <v>1.0787826484657848</v>
      </c>
      <c r="EJ62" s="5">
        <f t="shared" si="331"/>
        <v>2.7964044750830626</v>
      </c>
      <c r="EK62" s="5">
        <f t="shared" si="332"/>
        <v>1.7896824833713096</v>
      </c>
      <c r="EL62" s="5">
        <f t="shared" si="333"/>
        <v>2.3210812658282294E-2</v>
      </c>
      <c r="EM62" s="5">
        <f t="shared" si="334"/>
        <v>0.68868847014177703</v>
      </c>
      <c r="EN62" s="5">
        <f t="shared" si="335"/>
        <v>0.16550924725882538</v>
      </c>
      <c r="EO62" s="5">
        <f t="shared" si="336"/>
        <v>4.7806747498379014</v>
      </c>
      <c r="EP62" s="5">
        <f t="shared" si="337"/>
        <v>8.7883082156696108</v>
      </c>
      <c r="EQ62" s="5">
        <f t="shared" si="338"/>
        <v>2.0154072764343849</v>
      </c>
      <c r="ER62" s="5">
        <f t="shared" si="339"/>
        <v>100.31079024194189</v>
      </c>
      <c r="ES62" s="5">
        <f t="shared" si="340"/>
        <v>6.1059595049112145</v>
      </c>
      <c r="ET62" s="5">
        <f t="shared" si="341"/>
        <v>1.8940404950887855</v>
      </c>
      <c r="EU62" s="5">
        <f t="shared" si="342"/>
        <v>0</v>
      </c>
      <c r="EV62" s="44">
        <f t="shared" si="343"/>
        <v>8</v>
      </c>
      <c r="EW62" s="5">
        <f t="shared" si="344"/>
        <v>0.2146849300500584</v>
      </c>
      <c r="EX62" s="5">
        <f t="shared" si="345"/>
        <v>0.3588757471527011</v>
      </c>
      <c r="EY62" s="5">
        <f t="shared" si="346"/>
        <v>0</v>
      </c>
      <c r="EZ62" s="5">
        <f t="shared" si="347"/>
        <v>0.52804138659011102</v>
      </c>
      <c r="FA62" s="5">
        <f t="shared" si="348"/>
        <v>2.7964044750830626</v>
      </c>
      <c r="FB62" s="5">
        <f t="shared" si="349"/>
        <v>1.0787826484657848</v>
      </c>
      <c r="FC62" s="5">
        <f t="shared" si="350"/>
        <v>2.3210812658282294E-2</v>
      </c>
      <c r="FD62" s="44">
        <f t="shared" si="351"/>
        <v>5</v>
      </c>
      <c r="FE62" s="5">
        <f t="shared" si="352"/>
        <v>0</v>
      </c>
      <c r="FF62" s="5">
        <f t="shared" si="353"/>
        <v>1.7896824833713096</v>
      </c>
      <c r="FG62" s="5">
        <f t="shared" si="354"/>
        <v>0.21031751662869036</v>
      </c>
      <c r="FH62" s="44">
        <f t="shared" si="355"/>
        <v>2</v>
      </c>
      <c r="FI62" s="5">
        <f t="shared" si="356"/>
        <v>0.47837095351308667</v>
      </c>
      <c r="FJ62" s="5">
        <f t="shared" si="357"/>
        <v>0.16550924725882538</v>
      </c>
      <c r="FK62" s="44">
        <f t="shared" si="358"/>
        <v>0.64388020077191199</v>
      </c>
      <c r="FL62" s="1" t="str">
        <f t="shared" si="359"/>
        <v>Pass</v>
      </c>
      <c r="FM62" s="5">
        <f t="shared" si="360"/>
        <v>0.10180791083121833</v>
      </c>
      <c r="FN62" s="1" t="str">
        <f t="shared" si="361"/>
        <v>Mg-Hst</v>
      </c>
      <c r="FO62" s="5">
        <f t="shared" si="362"/>
        <v>7.06130260764707</v>
      </c>
      <c r="FP62" s="5">
        <f t="shared" si="363"/>
        <v>2.1087254251388439</v>
      </c>
      <c r="FQ62" s="5">
        <f t="shared" si="364"/>
        <v>2.5632536459581048</v>
      </c>
      <c r="FR62" s="5">
        <f t="shared" si="365"/>
        <v>-1.313967534194586</v>
      </c>
      <c r="FS62" s="1" t="str">
        <f t="shared" si="366"/>
        <v>YES</v>
      </c>
      <c r="FT62" s="32">
        <f t="shared" si="367"/>
        <v>971.30445187536839</v>
      </c>
      <c r="FU62" s="32">
        <f t="shared" si="368"/>
        <v>398.50740512498072</v>
      </c>
      <c r="FV62" s="46">
        <f t="shared" si="369"/>
        <v>0.20398899395512426</v>
      </c>
      <c r="FW62" s="47">
        <f t="shared" si="370"/>
        <v>-10.418500322827992</v>
      </c>
      <c r="FX62" s="46">
        <f t="shared" si="371"/>
        <v>5.4276593091752332</v>
      </c>
      <c r="FY62" s="50">
        <f t="shared" si="189"/>
        <v>519.93440082752284</v>
      </c>
      <c r="FZ62" s="32">
        <f t="shared" si="190"/>
        <v>370.1471129404199</v>
      </c>
      <c r="GA62" s="32">
        <f t="shared" si="191"/>
        <v>416.06261904872321</v>
      </c>
      <c r="GB62" s="32">
        <f t="shared" si="192"/>
        <v>604.59392609838619</v>
      </c>
      <c r="GC62" s="32">
        <f t="shared" si="193"/>
        <v>764.84879465617632</v>
      </c>
      <c r="GD62" s="32">
        <f t="shared" si="194"/>
        <v>234.44681315796629</v>
      </c>
      <c r="GE62" s="4">
        <f t="shared" si="195"/>
        <v>-0.47104864274964298</v>
      </c>
      <c r="GF62" s="32">
        <f t="shared" si="196"/>
        <v>416.06261904872321</v>
      </c>
      <c r="GG62" s="1">
        <f t="shared" si="197"/>
        <v>431.03184874381355</v>
      </c>
      <c r="GH62" s="32">
        <f t="shared" si="198"/>
        <v>467.99850993812299</v>
      </c>
      <c r="GI62" s="32">
        <f t="shared" si="199"/>
        <v>963.53070936775157</v>
      </c>
      <c r="GJ62" s="46">
        <f t="shared" si="200"/>
        <v>1.5184103911581848</v>
      </c>
      <c r="GK62" s="46">
        <f t="shared" si="201"/>
        <v>62.419786737054174</v>
      </c>
      <c r="GL62" s="46">
        <f t="shared" si="202"/>
        <v>0.56629603284294538</v>
      </c>
      <c r="GM62" s="46">
        <f t="shared" si="203"/>
        <v>17.775552716667171</v>
      </c>
      <c r="GN62" s="46">
        <f t="shared" si="204"/>
        <v>4.3474311498706815</v>
      </c>
      <c r="GO62" s="46">
        <f t="shared" si="205"/>
        <v>1.4854295552583296</v>
      </c>
      <c r="GP62" s="46">
        <f t="shared" si="206"/>
        <v>3.477603787034341</v>
      </c>
      <c r="GQ62" s="46">
        <f t="shared" si="207"/>
        <v>3.0012502016611613</v>
      </c>
      <c r="GR62" s="46">
        <f t="shared" si="208"/>
        <v>5.7166279120031804</v>
      </c>
      <c r="GS62" s="46">
        <f t="shared" si="209"/>
        <v>98.789978092391991</v>
      </c>
      <c r="GU62" s="32">
        <f t="shared" si="372"/>
        <v>16166</v>
      </c>
      <c r="GV62" s="32">
        <f t="shared" si="373"/>
        <v>398.50740512498072</v>
      </c>
      <c r="GW62" s="32">
        <f t="shared" si="374"/>
        <v>971.30445187536839</v>
      </c>
      <c r="GX62" s="32">
        <f t="shared" si="375"/>
        <v>467.99850993812299</v>
      </c>
      <c r="GY62" s="32">
        <f t="shared" si="376"/>
        <v>963.53070936775157</v>
      </c>
    </row>
    <row r="63" spans="1:207">
      <c r="A63" s="35">
        <v>16168</v>
      </c>
      <c r="B63" s="2" t="s">
        <v>205</v>
      </c>
      <c r="C63" s="36">
        <v>48.27</v>
      </c>
      <c r="D63" s="36">
        <v>1.1737</v>
      </c>
      <c r="E63" s="36">
        <v>6.27</v>
      </c>
      <c r="F63" s="36"/>
      <c r="G63" s="36">
        <v>13.8</v>
      </c>
      <c r="H63" s="36">
        <v>14.16</v>
      </c>
      <c r="I63" s="36">
        <v>11.55</v>
      </c>
      <c r="J63" s="36">
        <v>0.4168</v>
      </c>
      <c r="K63" s="36">
        <v>1.3019000000000001</v>
      </c>
      <c r="L63" s="36">
        <v>0.65969999999999995</v>
      </c>
      <c r="M63" s="36"/>
      <c r="N63" s="36">
        <v>7.6999999999999999E-2</v>
      </c>
      <c r="O63" s="4">
        <f t="shared" si="210"/>
        <v>97.679099999999991</v>
      </c>
      <c r="P63" s="5">
        <f t="shared" si="211"/>
        <v>0.80337126337495823</v>
      </c>
      <c r="Q63" s="5">
        <f t="shared" si="212"/>
        <v>1.4695902376236136E-2</v>
      </c>
      <c r="R63" s="5">
        <f t="shared" si="213"/>
        <v>6.1493934226558716E-2</v>
      </c>
      <c r="S63" s="5">
        <f t="shared" si="214"/>
        <v>0</v>
      </c>
      <c r="T63" s="5">
        <f t="shared" si="215"/>
        <v>0.19208177672859683</v>
      </c>
      <c r="U63" s="5">
        <f t="shared" si="216"/>
        <v>0.35132640604995979</v>
      </c>
      <c r="V63" s="5">
        <f t="shared" si="217"/>
        <v>0.20596532649516561</v>
      </c>
      <c r="W63" s="5">
        <f t="shared" si="218"/>
        <v>5.875598937875536E-3</v>
      </c>
      <c r="X63" s="5">
        <f t="shared" si="219"/>
        <v>2.100552219834673E-2</v>
      </c>
      <c r="Y63" s="5">
        <f t="shared" si="220"/>
        <v>7.0034821011507918E-3</v>
      </c>
      <c r="Z63" s="5">
        <f t="shared" si="221"/>
        <v>0</v>
      </c>
      <c r="AA63" s="5">
        <f t="shared" si="222"/>
        <v>2.1719079223867293E-3</v>
      </c>
      <c r="AB63" s="5">
        <f t="shared" si="223"/>
        <v>1.6067425267499165</v>
      </c>
      <c r="AC63" s="5">
        <f t="shared" si="224"/>
        <v>2.9391804752472273E-2</v>
      </c>
      <c r="AD63" s="5">
        <f t="shared" si="225"/>
        <v>0.18448180267967615</v>
      </c>
      <c r="AE63" s="5">
        <f t="shared" si="226"/>
        <v>0</v>
      </c>
      <c r="AF63" s="5">
        <f t="shared" si="227"/>
        <v>0.19208177672859683</v>
      </c>
      <c r="AG63" s="5">
        <f t="shared" si="228"/>
        <v>0.35132640604995979</v>
      </c>
      <c r="AH63" s="5">
        <f t="shared" si="229"/>
        <v>0.20596532649516561</v>
      </c>
      <c r="AI63" s="5">
        <f t="shared" si="230"/>
        <v>5.875598937875536E-3</v>
      </c>
      <c r="AJ63" s="5">
        <f t="shared" si="231"/>
        <v>2.100552219834673E-2</v>
      </c>
      <c r="AK63" s="5">
        <f t="shared" si="232"/>
        <v>7.0034821011507918E-3</v>
      </c>
      <c r="AL63" s="5">
        <f t="shared" si="233"/>
        <v>2.6038742466931599</v>
      </c>
      <c r="AM63" s="4">
        <f t="shared" si="234"/>
        <v>14.192343644160193</v>
      </c>
      <c r="AN63" s="4">
        <f t="shared" si="235"/>
        <v>0.25961757184141132</v>
      </c>
      <c r="AO63" s="4">
        <f t="shared" si="236"/>
        <v>1.6295262595807516</v>
      </c>
      <c r="AP63" s="4">
        <f t="shared" si="237"/>
        <v>0</v>
      </c>
      <c r="AQ63" s="4">
        <f t="shared" si="238"/>
        <v>1.6966567684166389</v>
      </c>
      <c r="AR63" s="4">
        <f t="shared" si="239"/>
        <v>3.1032632814011931</v>
      </c>
      <c r="AS63" s="4">
        <f t="shared" si="240"/>
        <v>1.81929005035666</v>
      </c>
      <c r="AT63" s="4">
        <f t="shared" si="241"/>
        <v>5.1899117533329195E-2</v>
      </c>
      <c r="AU63" s="4">
        <f t="shared" si="242"/>
        <v>0.18554160638730199</v>
      </c>
      <c r="AV63" s="4">
        <f t="shared" si="243"/>
        <v>6.1861700322523243E-2</v>
      </c>
      <c r="AW63" s="4">
        <f t="shared" si="244"/>
        <v>23.000000000000004</v>
      </c>
      <c r="AX63" s="5">
        <f t="shared" si="245"/>
        <v>7.0961718220800964</v>
      </c>
      <c r="AY63" s="5">
        <f t="shared" si="246"/>
        <v>0.12980878592070566</v>
      </c>
      <c r="AZ63" s="5">
        <f t="shared" si="247"/>
        <v>1.0863508397205011</v>
      </c>
      <c r="BA63" s="5">
        <f t="shared" si="248"/>
        <v>0</v>
      </c>
      <c r="BB63" s="5">
        <f t="shared" si="249"/>
        <v>1.6966567684166389</v>
      </c>
      <c r="BC63" s="5">
        <f t="shared" si="250"/>
        <v>3.1032632814011931</v>
      </c>
      <c r="BD63" s="5">
        <f t="shared" si="251"/>
        <v>1.81929005035666</v>
      </c>
      <c r="BE63" s="5">
        <f t="shared" si="252"/>
        <v>5.1899117533329195E-2</v>
      </c>
      <c r="BF63" s="5">
        <f t="shared" si="253"/>
        <v>0.37108321277460399</v>
      </c>
      <c r="BG63" s="5">
        <f t="shared" si="254"/>
        <v>0.12372340064504649</v>
      </c>
      <c r="BH63" s="5">
        <f t="shared" si="255"/>
        <v>0</v>
      </c>
      <c r="BI63" s="5">
        <f t="shared" si="256"/>
        <v>1.9184444977838184E-2</v>
      </c>
      <c r="BJ63" s="5">
        <f t="shared" si="257"/>
        <v>1.9808155550221618</v>
      </c>
      <c r="BK63" s="5">
        <f t="shared" si="258"/>
        <v>15.478247278848777</v>
      </c>
      <c r="BL63" s="11">
        <f t="shared" si="259"/>
        <v>1</v>
      </c>
      <c r="BM63" s="11">
        <f t="shared" si="260"/>
        <v>1</v>
      </c>
      <c r="BN63" s="11">
        <f t="shared" si="261"/>
        <v>1</v>
      </c>
      <c r="BO63" s="11">
        <f t="shared" si="262"/>
        <v>1</v>
      </c>
      <c r="BP63" s="11">
        <f>1</f>
        <v>1</v>
      </c>
      <c r="BQ63" s="11">
        <f t="shared" si="263"/>
        <v>0.97769359531960864</v>
      </c>
      <c r="BR63" s="11">
        <f t="shared" si="264"/>
        <v>0.97691078661794328</v>
      </c>
      <c r="BS63" s="11">
        <f t="shared" si="265"/>
        <v>0.97993409352442196</v>
      </c>
      <c r="BT63" s="11">
        <f t="shared" si="266"/>
        <v>0.66283289706780568</v>
      </c>
      <c r="BU63" s="11">
        <f t="shared" si="267"/>
        <v>0.96311615720833399</v>
      </c>
      <c r="BV63" s="5">
        <f t="shared" si="268"/>
        <v>1</v>
      </c>
      <c r="BW63" s="11">
        <f t="shared" si="269"/>
        <v>0.97993409352442196</v>
      </c>
      <c r="BX63" s="11">
        <f t="shared" si="270"/>
        <v>0.98996704676221103</v>
      </c>
      <c r="BY63" s="11">
        <f t="shared" si="271"/>
        <v>7.024976262021851</v>
      </c>
      <c r="BZ63" s="11">
        <f t="shared" si="272"/>
        <v>0.12850642044170907</v>
      </c>
      <c r="CA63" s="11">
        <f t="shared" si="273"/>
        <v>1.0754515325457525</v>
      </c>
      <c r="CB63" s="11">
        <f t="shared" si="274"/>
        <v>0</v>
      </c>
      <c r="CC63" s="11">
        <f t="shared" si="275"/>
        <v>1.6796342903985366</v>
      </c>
      <c r="CD63" s="11">
        <f t="shared" si="276"/>
        <v>3.0721283860143473</v>
      </c>
      <c r="CE63" s="11">
        <f t="shared" si="277"/>
        <v>1.8010371983554569</v>
      </c>
      <c r="CF63" s="11">
        <f t="shared" si="278"/>
        <v>5.1378416114034792E-2</v>
      </c>
      <c r="CG63" s="11">
        <f t="shared" si="279"/>
        <v>0.36736015225350788</v>
      </c>
      <c r="CH63" s="11">
        <f t="shared" si="280"/>
        <v>0.1224820895519545</v>
      </c>
      <c r="CI63" s="11">
        <f t="shared" si="281"/>
        <v>15.322954747697153</v>
      </c>
      <c r="CJ63" s="11">
        <f t="shared" si="282"/>
        <v>0.46151584893829245</v>
      </c>
      <c r="CK63" s="11">
        <f t="shared" si="283"/>
        <v>1.2181184414602442</v>
      </c>
      <c r="CL63" s="13">
        <f t="shared" si="284"/>
        <v>3.207530753623189E-2</v>
      </c>
      <c r="CN63" s="32">
        <f t="shared" si="285"/>
        <v>16168</v>
      </c>
      <c r="CO63" s="12">
        <f t="shared" si="286"/>
        <v>0.75624406550546275</v>
      </c>
      <c r="CP63" s="12">
        <f t="shared" si="287"/>
        <v>0.24375593449453725</v>
      </c>
      <c r="CQ63" s="12">
        <f t="shared" si="288"/>
        <v>5.0213897283802211E-2</v>
      </c>
      <c r="CR63" s="12">
        <f t="shared" si="289"/>
        <v>0.1224820895519545</v>
      </c>
      <c r="CS63" s="14">
        <f t="shared" si="290"/>
        <v>0.67704525230284873</v>
      </c>
      <c r="CT63" s="14">
        <f t="shared" si="291"/>
        <v>0.20047265814519655</v>
      </c>
      <c r="CU63" s="14">
        <f t="shared" si="292"/>
        <v>8.3443747054155581E-2</v>
      </c>
      <c r="CV63" s="12">
        <f t="shared" si="293"/>
        <v>0.90051859917772847</v>
      </c>
      <c r="CW63" s="2" t="str">
        <f t="shared" si="377"/>
        <v>26dHP02.1</v>
      </c>
      <c r="CY63" s="5">
        <f t="shared" si="294"/>
        <v>13.164150615072467</v>
      </c>
      <c r="CZ63" s="5">
        <f t="shared" si="295"/>
        <v>7.0076859787230132</v>
      </c>
      <c r="DA63" s="5">
        <f t="shared" si="296"/>
        <v>0.12819013290815984</v>
      </c>
      <c r="DB63" s="5">
        <f t="shared" si="297"/>
        <v>1.0728045682033371</v>
      </c>
      <c r="DC63" s="5">
        <f t="shared" si="298"/>
        <v>0</v>
      </c>
      <c r="DD63" s="5">
        <f t="shared" si="299"/>
        <v>1.6755002760422981</v>
      </c>
      <c r="DE63" s="5">
        <f t="shared" si="300"/>
        <v>3.0645670835781025</v>
      </c>
      <c r="DF63" s="5">
        <f t="shared" si="301"/>
        <v>1.7966043800469222</v>
      </c>
      <c r="DG63" s="5">
        <f t="shared" si="302"/>
        <v>5.1251960545087204E-2</v>
      </c>
      <c r="DH63" s="5">
        <f t="shared" si="303"/>
        <v>0.36645598391638395</v>
      </c>
      <c r="DI63" s="5">
        <f t="shared" si="304"/>
        <v>0.12218062945466765</v>
      </c>
      <c r="DJ63" s="5">
        <f t="shared" si="305"/>
        <v>0</v>
      </c>
      <c r="DK63" s="5">
        <f t="shared" si="306"/>
        <v>1.8945224192918692E-2</v>
      </c>
      <c r="DL63" s="5">
        <f t="shared" si="307"/>
        <v>1.9561157394997148</v>
      </c>
      <c r="DM63" s="5">
        <f t="shared" si="308"/>
        <v>12.999999999999998</v>
      </c>
      <c r="DN63" s="5">
        <f t="shared" si="309"/>
        <v>14.983440665429127</v>
      </c>
      <c r="DO63" s="5">
        <f t="shared" si="310"/>
        <v>7.1040143387622194</v>
      </c>
      <c r="DP63" s="5">
        <f t="shared" si="311"/>
        <v>0.129952247436942</v>
      </c>
      <c r="DQ63" s="5">
        <f t="shared" si="312"/>
        <v>1.0875514482735009</v>
      </c>
      <c r="DR63" s="5">
        <f t="shared" si="313"/>
        <v>0</v>
      </c>
      <c r="DS63" s="5">
        <f t="shared" si="314"/>
        <v>1.6985318722534348</v>
      </c>
      <c r="DT63" s="5">
        <f t="shared" si="315"/>
        <v>3.1066929325798305</v>
      </c>
      <c r="DU63" s="5">
        <f t="shared" si="316"/>
        <v>1.8213006855170359</v>
      </c>
      <c r="DV63" s="5">
        <f t="shared" si="317"/>
        <v>5.1956475177034514E-2</v>
      </c>
      <c r="DW63" s="5">
        <f t="shared" si="318"/>
        <v>0.37149332492515613</v>
      </c>
      <c r="DX63" s="5">
        <f t="shared" si="319"/>
        <v>0.12386013674133274</v>
      </c>
      <c r="DY63" s="5">
        <f t="shared" si="320"/>
        <v>0</v>
      </c>
      <c r="DZ63" s="5">
        <f t="shared" si="321"/>
        <v>1.920564716030336E-2</v>
      </c>
      <c r="EA63" s="5">
        <f t="shared" si="322"/>
        <v>1.9830047042457097</v>
      </c>
      <c r="EB63" s="5">
        <f t="shared" si="323"/>
        <v>14.999999999999998</v>
      </c>
      <c r="EC63" s="5">
        <f t="shared" si="324"/>
        <v>45.426402164930572</v>
      </c>
      <c r="ED63" s="1">
        <f t="shared" si="325"/>
        <v>7.0076859787230132</v>
      </c>
      <c r="EE63" s="5">
        <f t="shared" si="326"/>
        <v>0.12819013290815984</v>
      </c>
      <c r="EF63" s="5">
        <f t="shared" si="327"/>
        <v>1.0728045682033371</v>
      </c>
      <c r="EG63" s="5">
        <f t="shared" si="328"/>
        <v>0</v>
      </c>
      <c r="EH63" s="5">
        <f t="shared" si="329"/>
        <v>0.57359783506942819</v>
      </c>
      <c r="EI63" s="5">
        <f t="shared" si="330"/>
        <v>1.1019024409728699</v>
      </c>
      <c r="EJ63" s="5">
        <f t="shared" si="331"/>
        <v>3.0645670835781025</v>
      </c>
      <c r="EK63" s="5">
        <f t="shared" si="332"/>
        <v>1.7966043800469222</v>
      </c>
      <c r="EL63" s="5">
        <f t="shared" si="333"/>
        <v>5.1251960545087204E-2</v>
      </c>
      <c r="EM63" s="5">
        <f t="shared" si="334"/>
        <v>0.36645598391638395</v>
      </c>
      <c r="EN63" s="5">
        <f t="shared" si="335"/>
        <v>0.12218062945466765</v>
      </c>
      <c r="EO63" s="5">
        <f t="shared" si="336"/>
        <v>5.2503951964321498</v>
      </c>
      <c r="EP63" s="5">
        <f t="shared" si="337"/>
        <v>9.0756497643463963</v>
      </c>
      <c r="EQ63" s="5">
        <f t="shared" si="338"/>
        <v>2.0222131749999046</v>
      </c>
      <c r="ER63" s="5">
        <f t="shared" si="339"/>
        <v>100.22735813577845</v>
      </c>
      <c r="ES63" s="5">
        <f t="shared" si="340"/>
        <v>7.0076859787230132</v>
      </c>
      <c r="ET63" s="5">
        <f t="shared" si="341"/>
        <v>0.99231402127698676</v>
      </c>
      <c r="EU63" s="5">
        <f t="shared" si="342"/>
        <v>0</v>
      </c>
      <c r="EV63" s="44">
        <f t="shared" si="343"/>
        <v>8</v>
      </c>
      <c r="EW63" s="5">
        <f t="shared" si="344"/>
        <v>8.0490546926350381E-2</v>
      </c>
      <c r="EX63" s="5">
        <f t="shared" si="345"/>
        <v>0.12819013290815984</v>
      </c>
      <c r="EY63" s="5">
        <f t="shared" si="346"/>
        <v>0</v>
      </c>
      <c r="EZ63" s="5">
        <f t="shared" si="347"/>
        <v>0.57359783506942819</v>
      </c>
      <c r="FA63" s="5">
        <f t="shared" si="348"/>
        <v>3.0645670835781025</v>
      </c>
      <c r="FB63" s="5">
        <f t="shared" si="349"/>
        <v>1.1019024409728699</v>
      </c>
      <c r="FC63" s="5">
        <f t="shared" si="350"/>
        <v>5.1251960545087204E-2</v>
      </c>
      <c r="FD63" s="44">
        <f t="shared" si="351"/>
        <v>4.9999999999999982</v>
      </c>
      <c r="FE63" s="5">
        <f t="shared" si="352"/>
        <v>0</v>
      </c>
      <c r="FF63" s="5">
        <f t="shared" si="353"/>
        <v>1.7966043800469222</v>
      </c>
      <c r="FG63" s="5">
        <f t="shared" si="354"/>
        <v>0.20339561995307776</v>
      </c>
      <c r="FH63" s="44">
        <f t="shared" si="355"/>
        <v>2</v>
      </c>
      <c r="FI63" s="5">
        <f t="shared" si="356"/>
        <v>0.1630603639633062</v>
      </c>
      <c r="FJ63" s="5">
        <f t="shared" si="357"/>
        <v>0.12218062945466765</v>
      </c>
      <c r="FK63" s="44">
        <f t="shared" si="358"/>
        <v>0.28524099341797382</v>
      </c>
      <c r="FL63" s="1" t="str">
        <f t="shared" si="359"/>
        <v>Pass</v>
      </c>
      <c r="FM63" s="5">
        <f t="shared" si="360"/>
        <v>7.5028154532517211E-2</v>
      </c>
      <c r="FN63" s="1" t="str">
        <f t="shared" si="361"/>
        <v>Mg-Hbl</v>
      </c>
      <c r="FO63" s="5">
        <f t="shared" si="362"/>
        <v>8.2935622607203925</v>
      </c>
      <c r="FP63" s="5">
        <f t="shared" si="363"/>
        <v>1.0728045682033371</v>
      </c>
      <c r="FQ63" s="5">
        <f t="shared" si="364"/>
        <v>3.3321787027434602</v>
      </c>
      <c r="FR63" s="5">
        <f t="shared" si="365"/>
        <v>-1.5575112760258081</v>
      </c>
      <c r="FS63" s="1" t="str">
        <f t="shared" si="366"/>
        <v>YES</v>
      </c>
      <c r="FT63" s="32">
        <f t="shared" si="367"/>
        <v>784.63313381025</v>
      </c>
      <c r="FU63" s="32">
        <f t="shared" si="368"/>
        <v>89.84373543178765</v>
      </c>
      <c r="FV63" s="46">
        <f t="shared" si="369"/>
        <v>1.468101787310248</v>
      </c>
      <c r="FW63" s="47">
        <f t="shared" si="370"/>
        <v>-12.727327084305095</v>
      </c>
      <c r="FX63" s="46">
        <f t="shared" si="371"/>
        <v>4.1575786955254106</v>
      </c>
      <c r="FY63" s="50">
        <f t="shared" si="189"/>
        <v>89.693718542438802</v>
      </c>
      <c r="FZ63" s="32">
        <f t="shared" si="190"/>
        <v>98.982873895354032</v>
      </c>
      <c r="GA63" s="32">
        <f t="shared" si="191"/>
        <v>14.410087382424532</v>
      </c>
      <c r="GB63" s="32">
        <f t="shared" si="192"/>
        <v>-679.10159123099515</v>
      </c>
      <c r="GC63" s="32">
        <f t="shared" si="193"/>
        <v>281.95561236406826</v>
      </c>
      <c r="GD63" s="32">
        <f t="shared" si="194"/>
        <v>-778.08446512634919</v>
      </c>
      <c r="GE63" s="4">
        <f t="shared" si="195"/>
        <v>-2.1435379973755939</v>
      </c>
      <c r="GF63" s="32">
        <f t="shared" si="196"/>
        <v>98.982873895354032</v>
      </c>
      <c r="GG63" s="1">
        <f t="shared" si="197"/>
        <v>15.229603016899759</v>
      </c>
      <c r="GH63" s="32">
        <f t="shared" si="198"/>
        <v>98.982873895354032</v>
      </c>
      <c r="GI63" s="32">
        <f t="shared" si="199"/>
        <v>763.17742643315023</v>
      </c>
      <c r="GJ63" s="46">
        <f t="shared" si="200"/>
        <v>1.1991574390393711</v>
      </c>
      <c r="GK63" s="46">
        <f t="shared" si="201"/>
        <v>75.016980265516793</v>
      </c>
      <c r="GL63" s="46">
        <f t="shared" si="202"/>
        <v>0.16895565831943296</v>
      </c>
      <c r="GM63" s="46">
        <f t="shared" si="203"/>
        <v>17.523849801190046</v>
      </c>
      <c r="GN63" s="46">
        <f t="shared" si="204"/>
        <v>0.58352922152874942</v>
      </c>
      <c r="GO63" s="46">
        <f t="shared" si="205"/>
        <v>-0.57718833114862833</v>
      </c>
      <c r="GP63" s="46">
        <f t="shared" si="206"/>
        <v>0.61525284716613626</v>
      </c>
      <c r="GQ63" s="46">
        <f t="shared" si="207"/>
        <v>6.2222068005865845</v>
      </c>
      <c r="GR63" s="46">
        <f t="shared" si="208"/>
        <v>5.3297350755081725</v>
      </c>
      <c r="GS63" s="46">
        <f t="shared" si="209"/>
        <v>104.88332133866729</v>
      </c>
      <c r="GU63" s="32">
        <f t="shared" si="372"/>
        <v>16168</v>
      </c>
      <c r="GV63" s="32">
        <f t="shared" si="373"/>
        <v>89.84373543178765</v>
      </c>
      <c r="GW63" s="32">
        <f t="shared" si="374"/>
        <v>784.63313381025</v>
      </c>
      <c r="GX63" s="32">
        <f t="shared" si="375"/>
        <v>98.982873895354032</v>
      </c>
      <c r="GY63" s="32">
        <f t="shared" si="376"/>
        <v>763.17742643315023</v>
      </c>
    </row>
    <row r="65" spans="148:148">
      <c r="ER65" s="5"/>
    </row>
  </sheetData>
  <conditionalFormatting sqref="FL7:FN63 FS7:FS6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FS7:FS63">
    <cfRule type="cellIs" dxfId="1" priority="1" operator="equal">
      <formula>"yes"</formula>
    </cfRule>
    <cfRule type="cellIs" dxfId="0" priority="2" operator="equal">
      <formula>"no"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5"/>
  <sheetViews>
    <sheetView workbookViewId="0">
      <pane xSplit="2" ySplit="6" topLeftCell="V7" activePane="bottomRight" state="frozen"/>
      <selection pane="topRight" activeCell="C1" sqref="C1"/>
      <selection pane="bottomLeft" activeCell="A9" sqref="A9"/>
      <selection pane="bottomRight" activeCell="AL54" sqref="AL54"/>
    </sheetView>
  </sheetViews>
  <sheetFormatPr baseColWidth="10" defaultRowHeight="12" x14ac:dyDescent="0"/>
  <cols>
    <col min="1" max="1" width="7.5" style="15" customWidth="1"/>
    <col min="2" max="2" width="15.83203125" style="15" bestFit="1" customWidth="1"/>
    <col min="3" max="3" width="6.6640625" style="15" customWidth="1"/>
    <col min="4" max="4" width="7.1640625" style="15" bestFit="1" customWidth="1"/>
    <col min="5" max="5" width="5.5" style="15" bestFit="1" customWidth="1"/>
    <col min="6" max="7" width="6.33203125" style="15" bestFit="1" customWidth="1"/>
    <col min="8" max="8" width="7.1640625" style="15" bestFit="1" customWidth="1"/>
    <col min="9" max="10" width="5.83203125" style="15" bestFit="1" customWidth="1"/>
    <col min="11" max="11" width="7.1640625" style="16" bestFit="1" customWidth="1"/>
    <col min="12" max="12" width="5.83203125" style="16" customWidth="1"/>
    <col min="13" max="19" width="7.1640625" style="16" bestFit="1" customWidth="1"/>
    <col min="20" max="20" width="7.33203125" style="16" customWidth="1"/>
    <col min="21" max="27" width="7.1640625" style="16" bestFit="1" customWidth="1"/>
    <col min="28" max="28" width="7.1640625" style="16" customWidth="1"/>
    <col min="29" max="29" width="6.5" style="16" customWidth="1"/>
    <col min="30" max="37" width="5.83203125" style="16" bestFit="1" customWidth="1"/>
    <col min="38" max="38" width="5.83203125" style="16" customWidth="1"/>
    <col min="39" max="45" width="5.5" style="16" bestFit="1" customWidth="1"/>
    <col min="46" max="46" width="6.33203125" style="16" bestFit="1" customWidth="1"/>
    <col min="47" max="47" width="6.33203125" style="16" customWidth="1"/>
    <col min="48" max="48" width="8.5" style="16" customWidth="1"/>
    <col min="49" max="50" width="5" style="16" customWidth="1"/>
    <col min="51" max="51" width="5.5" style="16" bestFit="1" customWidth="1"/>
    <col min="52" max="52" width="7.1640625" style="16" customWidth="1"/>
    <col min="53" max="16384" width="10.83203125" style="15"/>
  </cols>
  <sheetData>
    <row r="1" spans="1:53">
      <c r="A1" s="17" t="s">
        <v>70</v>
      </c>
      <c r="B1" s="16"/>
      <c r="C1" s="16" t="s">
        <v>69</v>
      </c>
      <c r="D1" s="16"/>
      <c r="E1" s="16"/>
      <c r="F1" s="16"/>
      <c r="G1" s="16"/>
      <c r="H1" s="16"/>
      <c r="I1" s="16"/>
      <c r="J1" s="16"/>
    </row>
    <row r="2" spans="1:53" ht="13" thickBot="1">
      <c r="B2" s="16"/>
      <c r="C2" s="24" t="s">
        <v>8</v>
      </c>
      <c r="D2" s="24" t="s">
        <v>12</v>
      </c>
      <c r="E2" s="24" t="s">
        <v>0</v>
      </c>
      <c r="F2" s="24" t="s">
        <v>60</v>
      </c>
      <c r="G2" s="24" t="s">
        <v>61</v>
      </c>
      <c r="H2" s="24" t="s">
        <v>2</v>
      </c>
      <c r="I2" s="24" t="s">
        <v>9</v>
      </c>
      <c r="J2" s="24" t="s">
        <v>10</v>
      </c>
      <c r="AC2" s="17" t="s">
        <v>20</v>
      </c>
    </row>
    <row r="3" spans="1:53" ht="13" thickBot="1">
      <c r="A3" s="16"/>
      <c r="B3" s="16"/>
      <c r="C3" s="26">
        <f>28.0855+2*15.9994</f>
        <v>60.084299999999999</v>
      </c>
      <c r="D3" s="26">
        <f>26.981538*2+3*15.9994</f>
        <v>101.961276</v>
      </c>
      <c r="E3" s="26">
        <f>55.845+15.9994</f>
        <v>71.844399999999993</v>
      </c>
      <c r="F3" s="26">
        <f>87.62+15.9994</f>
        <v>103.6194</v>
      </c>
      <c r="G3" s="26">
        <f>137.327+15.9994</f>
        <v>153.32640000000001</v>
      </c>
      <c r="H3" s="26">
        <f>40.078+15.9994</f>
        <v>56.077400000000004</v>
      </c>
      <c r="I3" s="26">
        <f>2*22.98977+15.9994</f>
        <v>61.978940000000001</v>
      </c>
      <c r="J3" s="26">
        <f>2*39.0983+15.9994</f>
        <v>94.195999999999998</v>
      </c>
      <c r="AC3" s="18">
        <v>8</v>
      </c>
    </row>
    <row r="4" spans="1:53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53">
      <c r="A5" s="16"/>
      <c r="B5" s="16"/>
      <c r="C5" s="22" t="s">
        <v>15</v>
      </c>
      <c r="D5" s="19"/>
      <c r="E5" s="19"/>
      <c r="F5" s="19"/>
      <c r="G5" s="19"/>
      <c r="H5" s="19"/>
      <c r="I5" s="19"/>
      <c r="J5" s="19"/>
      <c r="K5" s="19"/>
      <c r="L5" s="20" t="s">
        <v>17</v>
      </c>
      <c r="M5" s="21"/>
      <c r="N5" s="21"/>
      <c r="O5" s="21"/>
      <c r="P5" s="21"/>
      <c r="Q5" s="21"/>
      <c r="R5" s="21"/>
      <c r="S5" s="21"/>
      <c r="T5" s="22" t="s">
        <v>18</v>
      </c>
      <c r="U5" s="19"/>
      <c r="V5" s="19"/>
      <c r="W5" s="19"/>
      <c r="X5" s="19"/>
      <c r="Y5" s="19"/>
      <c r="Z5" s="19"/>
      <c r="AA5" s="19"/>
      <c r="AB5" s="19"/>
      <c r="AC5" s="20" t="s">
        <v>19</v>
      </c>
      <c r="AD5" s="21"/>
      <c r="AE5" s="21"/>
      <c r="AF5" s="21"/>
      <c r="AG5" s="21"/>
      <c r="AH5" s="21"/>
      <c r="AI5" s="21"/>
      <c r="AJ5" s="21"/>
      <c r="AK5" s="21"/>
      <c r="AL5" s="22" t="s">
        <v>21</v>
      </c>
      <c r="AM5" s="19"/>
      <c r="AN5" s="19"/>
      <c r="AO5" s="19"/>
      <c r="AP5" s="19"/>
      <c r="AQ5" s="19"/>
      <c r="AR5" s="19"/>
      <c r="AS5" s="19"/>
      <c r="AT5" s="19"/>
      <c r="AU5" s="23"/>
      <c r="AV5" s="17" t="s">
        <v>83</v>
      </c>
      <c r="BA5" s="15" t="s">
        <v>82</v>
      </c>
    </row>
    <row r="6" spans="1:53">
      <c r="A6" s="16" t="s">
        <v>6</v>
      </c>
      <c r="B6" s="16" t="s">
        <v>7</v>
      </c>
      <c r="C6" s="16" t="s">
        <v>8</v>
      </c>
      <c r="D6" s="16" t="s">
        <v>12</v>
      </c>
      <c r="E6" s="16" t="s">
        <v>0</v>
      </c>
      <c r="F6" s="24" t="s">
        <v>60</v>
      </c>
      <c r="G6" s="24" t="s">
        <v>61</v>
      </c>
      <c r="H6" s="16" t="s">
        <v>2</v>
      </c>
      <c r="I6" s="16" t="s">
        <v>9</v>
      </c>
      <c r="J6" s="16" t="s">
        <v>10</v>
      </c>
      <c r="K6" s="16" t="s">
        <v>14</v>
      </c>
      <c r="L6" s="16" t="s">
        <v>8</v>
      </c>
      <c r="M6" s="16" t="s">
        <v>12</v>
      </c>
      <c r="N6" s="16" t="s">
        <v>0</v>
      </c>
      <c r="O6" s="24" t="s">
        <v>60</v>
      </c>
      <c r="P6" s="24" t="s">
        <v>61</v>
      </c>
      <c r="Q6" s="16" t="s">
        <v>2</v>
      </c>
      <c r="R6" s="16" t="s">
        <v>9</v>
      </c>
      <c r="S6" s="16" t="s">
        <v>10</v>
      </c>
      <c r="T6" s="16" t="s">
        <v>8</v>
      </c>
      <c r="U6" s="16" t="s">
        <v>12</v>
      </c>
      <c r="V6" s="16" t="s">
        <v>0</v>
      </c>
      <c r="W6" s="24" t="s">
        <v>60</v>
      </c>
      <c r="X6" s="24" t="s">
        <v>61</v>
      </c>
      <c r="Y6" s="16" t="s">
        <v>2</v>
      </c>
      <c r="Z6" s="16" t="s">
        <v>9</v>
      </c>
      <c r="AA6" s="16" t="s">
        <v>10</v>
      </c>
      <c r="AB6" s="16" t="s">
        <v>14</v>
      </c>
      <c r="AC6" s="16" t="s">
        <v>8</v>
      </c>
      <c r="AD6" s="16" t="s">
        <v>12</v>
      </c>
      <c r="AE6" s="16" t="s">
        <v>0</v>
      </c>
      <c r="AF6" s="24" t="s">
        <v>60</v>
      </c>
      <c r="AG6" s="24" t="s">
        <v>61</v>
      </c>
      <c r="AH6" s="16" t="s">
        <v>2</v>
      </c>
      <c r="AI6" s="16" t="s">
        <v>9</v>
      </c>
      <c r="AJ6" s="16" t="s">
        <v>10</v>
      </c>
      <c r="AK6" s="16" t="s">
        <v>14</v>
      </c>
      <c r="AL6" s="24" t="s">
        <v>22</v>
      </c>
      <c r="AM6" s="24" t="s">
        <v>24</v>
      </c>
      <c r="AN6" s="24" t="s">
        <v>26</v>
      </c>
      <c r="AO6" s="24" t="s">
        <v>62</v>
      </c>
      <c r="AP6" s="24" t="s">
        <v>63</v>
      </c>
      <c r="AQ6" s="24" t="s">
        <v>28</v>
      </c>
      <c r="AR6" s="24" t="s">
        <v>30</v>
      </c>
      <c r="AS6" s="24" t="s">
        <v>31</v>
      </c>
      <c r="AT6" s="25" t="s">
        <v>32</v>
      </c>
      <c r="AU6" s="25"/>
      <c r="AV6" s="16" t="s">
        <v>6</v>
      </c>
      <c r="AW6" s="24" t="s">
        <v>64</v>
      </c>
      <c r="AX6" s="24" t="s">
        <v>65</v>
      </c>
      <c r="AY6" s="24" t="s">
        <v>68</v>
      </c>
      <c r="AZ6" s="16" t="s">
        <v>67</v>
      </c>
      <c r="BA6" s="38"/>
    </row>
    <row r="7" spans="1:53">
      <c r="A7" s="37">
        <v>15205</v>
      </c>
      <c r="B7" s="38" t="s">
        <v>206</v>
      </c>
      <c r="C7" s="39">
        <v>59.3</v>
      </c>
      <c r="D7" s="39">
        <v>25.39</v>
      </c>
      <c r="E7" s="39">
        <v>0.32129999999999997</v>
      </c>
      <c r="F7" s="39">
        <v>0.27739999999999998</v>
      </c>
      <c r="G7" s="39">
        <v>4.6100000000000002E-2</v>
      </c>
      <c r="H7" s="39">
        <v>6.8</v>
      </c>
      <c r="I7" s="39">
        <v>7.34</v>
      </c>
      <c r="J7" s="39">
        <v>0.69789999999999996</v>
      </c>
      <c r="K7" s="26">
        <f>SUM(C7:J7)</f>
        <v>100.17269999999999</v>
      </c>
      <c r="L7" s="27">
        <f>C7/C$3</f>
        <v>0.98694667325740659</v>
      </c>
      <c r="M7" s="27">
        <f>D7/D$3</f>
        <v>0.24901610686002007</v>
      </c>
      <c r="N7" s="27">
        <f t="shared" ref="N7:S7" si="0">E7/E$3</f>
        <v>4.4721648451375474E-3</v>
      </c>
      <c r="O7" s="27">
        <f t="shared" si="0"/>
        <v>2.6771048664632298E-3</v>
      </c>
      <c r="P7" s="27">
        <f t="shared" si="0"/>
        <v>3.0066576923478279E-4</v>
      </c>
      <c r="Q7" s="27">
        <f>H7/H$3</f>
        <v>0.12126097144304121</v>
      </c>
      <c r="R7" s="27">
        <f t="shared" si="0"/>
        <v>0.11842732386194407</v>
      </c>
      <c r="S7" s="27">
        <f t="shared" si="0"/>
        <v>7.4090194912735143E-3</v>
      </c>
      <c r="T7" s="27">
        <f>L7*2</f>
        <v>1.9738933465148132</v>
      </c>
      <c r="U7" s="27">
        <f>M7*3</f>
        <v>0.74704832058006021</v>
      </c>
      <c r="V7" s="27">
        <f>N7</f>
        <v>4.4721648451375474E-3</v>
      </c>
      <c r="W7" s="27">
        <f t="shared" ref="W7:Y7" si="1">O7</f>
        <v>2.6771048664632298E-3</v>
      </c>
      <c r="X7" s="27">
        <f t="shared" si="1"/>
        <v>3.0066576923478279E-4</v>
      </c>
      <c r="Y7" s="27">
        <f t="shared" si="1"/>
        <v>0.12126097144304121</v>
      </c>
      <c r="Z7" s="27">
        <f>R7</f>
        <v>0.11842732386194407</v>
      </c>
      <c r="AA7" s="27">
        <f t="shared" ref="AA7" si="2">S7</f>
        <v>7.4090194912735143E-3</v>
      </c>
      <c r="AB7" s="27">
        <f>SUM(T7:AA7)</f>
        <v>2.9754889173719672</v>
      </c>
      <c r="AC7" s="26">
        <f t="shared" ref="AC7:AC28" si="3">T7*$AC$3/$AB7</f>
        <v>5.3070763194324639</v>
      </c>
      <c r="AD7" s="26">
        <f t="shared" ref="AD7:AD28" si="4">U7*$AC$3/$AB7</f>
        <v>2.0085393461720531</v>
      </c>
      <c r="AE7" s="26">
        <f t="shared" ref="AE7:AE28" si="5">V7*$AC$3/$AB7</f>
        <v>1.2024013449426618E-2</v>
      </c>
      <c r="AF7" s="26">
        <f t="shared" ref="AF7:AF28" si="6">W7*$AC$3/$AB7</f>
        <v>7.1977545628440021E-3</v>
      </c>
      <c r="AG7" s="26">
        <f t="shared" ref="AG7:AG28" si="7">X7*$AC$3/$AB7</f>
        <v>8.0838014211214468E-4</v>
      </c>
      <c r="AH7" s="26">
        <f t="shared" ref="AH7:AH28" si="8">Y7*$AC$3/$AB7</f>
        <v>0.32602634339540326</v>
      </c>
      <c r="AI7" s="26">
        <f t="shared" ref="AI7:AI28" si="9">Z7*$AC$3/$AB7</f>
        <v>0.31840770280278458</v>
      </c>
      <c r="AJ7" s="26">
        <f t="shared" ref="AJ7:AJ28" si="10">AA7*$AC$3/$AB7</f>
        <v>1.9920140042913988E-2</v>
      </c>
      <c r="AK7" s="26">
        <f>SUM(AC7:AJ7)</f>
        <v>8</v>
      </c>
      <c r="AL7" s="26">
        <f>AC7/2</f>
        <v>2.653538159716232</v>
      </c>
      <c r="AM7" s="26">
        <f>AD7*2/3</f>
        <v>1.3390262307813687</v>
      </c>
      <c r="AN7" s="26">
        <f>AE7</f>
        <v>1.2024013449426618E-2</v>
      </c>
      <c r="AO7" s="26">
        <f t="shared" ref="AO7:AQ7" si="11">AF7</f>
        <v>7.1977545628440021E-3</v>
      </c>
      <c r="AP7" s="26">
        <f t="shared" si="11"/>
        <v>8.0838014211214468E-4</v>
      </c>
      <c r="AQ7" s="26">
        <f t="shared" si="11"/>
        <v>0.32602634339540326</v>
      </c>
      <c r="AR7" s="26">
        <f>AI7*2</f>
        <v>0.63681540560556915</v>
      </c>
      <c r="AS7" s="26">
        <f>AJ7*2</f>
        <v>3.9840280085827975E-2</v>
      </c>
      <c r="AT7" s="26">
        <f>SUM(AL7:AS7)</f>
        <v>5.0152765677387832</v>
      </c>
      <c r="AU7" s="26"/>
      <c r="AV7" s="33">
        <f t="shared" ref="AV7:AV28" si="12">A7</f>
        <v>15205</v>
      </c>
      <c r="AW7" s="26">
        <f t="shared" ref="AW7:AW25" si="13">AQ7/($AQ7+$AR7+$AS7)</f>
        <v>0.32515427018506954</v>
      </c>
      <c r="AX7" s="26">
        <f t="shared" ref="AX7:AX25" si="14">AR7/($AQ7+$AR7+$AS7)</f>
        <v>0.63511201670339423</v>
      </c>
      <c r="AY7" s="26">
        <f>IF(AX7&gt;0.5,0,12*(1-AX7)^2-3)</f>
        <v>0</v>
      </c>
      <c r="AZ7" s="26">
        <f>IF(AX7&gt;0.5,3,12*(2*AX7-1)+3)</f>
        <v>3</v>
      </c>
      <c r="BA7" s="38" t="str">
        <f>B7</f>
        <v>26eHP01.1</v>
      </c>
    </row>
    <row r="8" spans="1:53">
      <c r="A8" s="37">
        <v>15206</v>
      </c>
      <c r="B8" s="38" t="s">
        <v>207</v>
      </c>
      <c r="C8" s="39">
        <v>53.22</v>
      </c>
      <c r="D8" s="39">
        <v>28.95</v>
      </c>
      <c r="E8" s="39">
        <v>0.4899</v>
      </c>
      <c r="F8" s="39">
        <v>0.38350000000000001</v>
      </c>
      <c r="G8" s="39">
        <v>3.2099999999999997E-2</v>
      </c>
      <c r="H8" s="39">
        <v>11.51</v>
      </c>
      <c r="I8" s="39">
        <v>4.92</v>
      </c>
      <c r="J8" s="39">
        <v>0.30049999999999999</v>
      </c>
      <c r="K8" s="26">
        <f t="shared" ref="K8:K45" si="15">SUM(C8:J8)</f>
        <v>99.806000000000012</v>
      </c>
      <c r="L8" s="27">
        <f t="shared" ref="L8:L45" si="16">C8/C$3</f>
        <v>0.88575551350352755</v>
      </c>
      <c r="M8" s="27">
        <f t="shared" ref="M8:M45" si="17">D8/D$3</f>
        <v>0.28393132310348884</v>
      </c>
      <c r="N8" s="27">
        <f t="shared" ref="N8:N45" si="18">E8/E$3</f>
        <v>6.8189030738651868E-3</v>
      </c>
      <c r="O8" s="27">
        <f t="shared" ref="O8:O45" si="19">F8/F$3</f>
        <v>3.7010443990218049E-3</v>
      </c>
      <c r="P8" s="27">
        <f t="shared" ref="P8:P45" si="20">G8/G$3</f>
        <v>2.093572926775819E-4</v>
      </c>
      <c r="Q8" s="27">
        <f t="shared" ref="Q8:Q45" si="21">H8/H$3</f>
        <v>0.20525202666314771</v>
      </c>
      <c r="R8" s="27">
        <f t="shared" ref="R8:R45" si="22">I8/I$3</f>
        <v>7.9381802915635527E-2</v>
      </c>
      <c r="S8" s="27">
        <f t="shared" ref="S8:S45" si="23">J8/J$3</f>
        <v>3.1901566945517854E-3</v>
      </c>
      <c r="T8" s="27">
        <f t="shared" ref="T8:T45" si="24">L8*2</f>
        <v>1.7715110270070551</v>
      </c>
      <c r="U8" s="27">
        <f t="shared" ref="U8:U45" si="25">M8*3</f>
        <v>0.85179396931046658</v>
      </c>
      <c r="V8" s="27">
        <f t="shared" ref="V8:V45" si="26">N8</f>
        <v>6.8189030738651868E-3</v>
      </c>
      <c r="W8" s="27">
        <f t="shared" ref="W8:W45" si="27">O8</f>
        <v>3.7010443990218049E-3</v>
      </c>
      <c r="X8" s="27">
        <f t="shared" ref="X8:X45" si="28">P8</f>
        <v>2.093572926775819E-4</v>
      </c>
      <c r="Y8" s="27">
        <f t="shared" ref="Y8:Y45" si="29">Q8</f>
        <v>0.20525202666314771</v>
      </c>
      <c r="Z8" s="27">
        <f t="shared" ref="Z8:Z45" si="30">R8</f>
        <v>7.9381802915635527E-2</v>
      </c>
      <c r="AA8" s="27">
        <f t="shared" ref="AA8:AA45" si="31">S8</f>
        <v>3.1901566945517854E-3</v>
      </c>
      <c r="AB8" s="27">
        <f t="shared" ref="AB8:AB45" si="32">SUM(T8:AA8)</f>
        <v>2.9218582873564212</v>
      </c>
      <c r="AC8" s="26">
        <f t="shared" si="3"/>
        <v>4.8503680953256536</v>
      </c>
      <c r="AD8" s="26">
        <f t="shared" si="4"/>
        <v>2.3321978974719824</v>
      </c>
      <c r="AE8" s="26">
        <f t="shared" si="5"/>
        <v>1.8670044617488012E-2</v>
      </c>
      <c r="AF8" s="26">
        <f t="shared" si="6"/>
        <v>1.0133398775805406E-2</v>
      </c>
      <c r="AG8" s="26">
        <f t="shared" si="7"/>
        <v>5.7321682871074454E-4</v>
      </c>
      <c r="AH8" s="26">
        <f t="shared" si="8"/>
        <v>0.56197667779117766</v>
      </c>
      <c r="AI8" s="26">
        <f t="shared" si="9"/>
        <v>0.21734607255701496</v>
      </c>
      <c r="AJ8" s="26">
        <f t="shared" si="10"/>
        <v>8.7345966321675638E-3</v>
      </c>
      <c r="AK8" s="26">
        <f t="shared" ref="AK8:AK45" si="33">SUM(AC8:AJ8)</f>
        <v>7.9999999999999991</v>
      </c>
      <c r="AL8" s="26">
        <f t="shared" ref="AL8:AL45" si="34">AC8/2</f>
        <v>2.4251840476628268</v>
      </c>
      <c r="AM8" s="26">
        <f t="shared" ref="AM8:AM45" si="35">AD8*2/3</f>
        <v>1.5547985983146548</v>
      </c>
      <c r="AN8" s="26">
        <f t="shared" ref="AN8:AN45" si="36">AE8</f>
        <v>1.8670044617488012E-2</v>
      </c>
      <c r="AO8" s="26">
        <f t="shared" ref="AO8:AO45" si="37">AF8</f>
        <v>1.0133398775805406E-2</v>
      </c>
      <c r="AP8" s="26">
        <f t="shared" ref="AP8:AP45" si="38">AG8</f>
        <v>5.7321682871074454E-4</v>
      </c>
      <c r="AQ8" s="26">
        <f t="shared" ref="AQ8:AQ45" si="39">AH8</f>
        <v>0.56197667779117766</v>
      </c>
      <c r="AR8" s="26">
        <f t="shared" ref="AR8:AR45" si="40">AI8*2</f>
        <v>0.43469214511402993</v>
      </c>
      <c r="AS8" s="26">
        <f t="shared" ref="AS8:AS45" si="41">AJ8*2</f>
        <v>1.7469193264335128E-2</v>
      </c>
      <c r="AT8" s="26">
        <f t="shared" ref="AT8:AT45" si="42">SUM(AL8:AS8)</f>
        <v>5.0234973223690291</v>
      </c>
      <c r="AU8" s="26"/>
      <c r="AV8" s="33">
        <f t="shared" si="12"/>
        <v>15206</v>
      </c>
      <c r="AW8" s="26">
        <f t="shared" si="13"/>
        <v>0.55414220631802724</v>
      </c>
      <c r="AX8" s="26">
        <f t="shared" si="14"/>
        <v>0.42863213702991532</v>
      </c>
      <c r="AY8" s="26">
        <f t="shared" ref="AY8:AY45" si="43">IF(AX8&gt;0.5,0,12*(1-AX8)^2-3)</f>
        <v>0.91753481802001735</v>
      </c>
      <c r="AZ8" s="26">
        <f t="shared" ref="AZ8:AZ45" si="44">IF(AX8&gt;0.5,3,12*(2*AX8-1)+3)</f>
        <v>1.2871712887179676</v>
      </c>
      <c r="BA8" s="38" t="str">
        <f t="shared" ref="BA8:BA45" si="45">B8</f>
        <v>26eHP01.2</v>
      </c>
    </row>
    <row r="9" spans="1:53">
      <c r="A9" s="37">
        <v>15207</v>
      </c>
      <c r="B9" s="38" t="s">
        <v>208</v>
      </c>
      <c r="C9" s="39">
        <v>52.77</v>
      </c>
      <c r="D9" s="39">
        <v>29.42</v>
      </c>
      <c r="E9" s="39">
        <v>0.50690000000000002</v>
      </c>
      <c r="F9" s="39">
        <v>0.32779999999999998</v>
      </c>
      <c r="G9" s="39">
        <v>3.3599999999999998E-2</v>
      </c>
      <c r="H9" s="39">
        <v>11.92</v>
      </c>
      <c r="I9" s="39">
        <v>4.7699999999999996</v>
      </c>
      <c r="J9" s="39">
        <v>0.2596</v>
      </c>
      <c r="K9" s="26">
        <f t="shared" si="15"/>
        <v>100.00790000000001</v>
      </c>
      <c r="L9" s="27">
        <f t="shared" si="16"/>
        <v>0.87826603621911226</v>
      </c>
      <c r="M9" s="27">
        <f t="shared" si="17"/>
        <v>0.28854091625922768</v>
      </c>
      <c r="N9" s="27">
        <f t="shared" si="18"/>
        <v>7.0555255524438936E-3</v>
      </c>
      <c r="O9" s="27">
        <f t="shared" si="19"/>
        <v>3.1635002711847392E-3</v>
      </c>
      <c r="P9" s="27">
        <f t="shared" si="20"/>
        <v>2.1914034373728201E-4</v>
      </c>
      <c r="Q9" s="27">
        <f t="shared" si="21"/>
        <v>0.21256334994133108</v>
      </c>
      <c r="R9" s="27">
        <f t="shared" si="22"/>
        <v>7.6961625997475913E-2</v>
      </c>
      <c r="S9" s="27">
        <f t="shared" si="23"/>
        <v>2.7559556669072998E-3</v>
      </c>
      <c r="T9" s="27">
        <f t="shared" si="24"/>
        <v>1.7565320724382245</v>
      </c>
      <c r="U9" s="27">
        <f t="shared" si="25"/>
        <v>0.86562274877768308</v>
      </c>
      <c r="V9" s="27">
        <f t="shared" si="26"/>
        <v>7.0555255524438936E-3</v>
      </c>
      <c r="W9" s="27">
        <f t="shared" si="27"/>
        <v>3.1635002711847392E-3</v>
      </c>
      <c r="X9" s="27">
        <f t="shared" si="28"/>
        <v>2.1914034373728201E-4</v>
      </c>
      <c r="Y9" s="27">
        <f t="shared" si="29"/>
        <v>0.21256334994133108</v>
      </c>
      <c r="Z9" s="27">
        <f t="shared" si="30"/>
        <v>7.6961625997475913E-2</v>
      </c>
      <c r="AA9" s="27">
        <f t="shared" si="31"/>
        <v>2.7559556669072998E-3</v>
      </c>
      <c r="AB9" s="27">
        <f t="shared" si="32"/>
        <v>2.9248739189889883</v>
      </c>
      <c r="AC9" s="26">
        <f t="shared" si="3"/>
        <v>4.8043973753108302</v>
      </c>
      <c r="AD9" s="26">
        <f t="shared" si="4"/>
        <v>2.3676172655726484</v>
      </c>
      <c r="AE9" s="26">
        <f t="shared" si="5"/>
        <v>1.9297995736876634E-2</v>
      </c>
      <c r="AF9" s="26">
        <f t="shared" si="6"/>
        <v>8.6526814045461056E-3</v>
      </c>
      <c r="AG9" s="26">
        <f t="shared" si="7"/>
        <v>5.9938404131424587E-4</v>
      </c>
      <c r="AH9" s="26">
        <f t="shared" si="8"/>
        <v>0.58139490679941708</v>
      </c>
      <c r="AI9" s="26">
        <f t="shared" si="9"/>
        <v>0.21050240968767217</v>
      </c>
      <c r="AJ9" s="26">
        <f t="shared" si="10"/>
        <v>7.5379814466940802E-3</v>
      </c>
      <c r="AK9" s="26">
        <f t="shared" si="33"/>
        <v>7.9999999999999991</v>
      </c>
      <c r="AL9" s="26">
        <f t="shared" si="34"/>
        <v>2.4021986876554151</v>
      </c>
      <c r="AM9" s="26">
        <f t="shared" si="35"/>
        <v>1.5784115103817655</v>
      </c>
      <c r="AN9" s="26">
        <f t="shared" si="36"/>
        <v>1.9297995736876634E-2</v>
      </c>
      <c r="AO9" s="26">
        <f t="shared" si="37"/>
        <v>8.6526814045461056E-3</v>
      </c>
      <c r="AP9" s="26">
        <f t="shared" si="38"/>
        <v>5.9938404131424587E-4</v>
      </c>
      <c r="AQ9" s="26">
        <f t="shared" si="39"/>
        <v>0.58139490679941708</v>
      </c>
      <c r="AR9" s="26">
        <f t="shared" si="40"/>
        <v>0.42100481937534434</v>
      </c>
      <c r="AS9" s="26">
        <f t="shared" si="41"/>
        <v>1.507596289338816E-2</v>
      </c>
      <c r="AT9" s="26">
        <f t="shared" si="42"/>
        <v>5.0266359482880683</v>
      </c>
      <c r="AU9" s="26"/>
      <c r="AV9" s="33">
        <f t="shared" si="12"/>
        <v>15207</v>
      </c>
      <c r="AW9" s="26">
        <f t="shared" si="13"/>
        <v>0.57140913836662277</v>
      </c>
      <c r="AX9" s="26">
        <f t="shared" si="14"/>
        <v>0.41377383646475097</v>
      </c>
      <c r="AY9" s="26">
        <f t="shared" si="43"/>
        <v>1.1239333777590783</v>
      </c>
      <c r="AZ9" s="26">
        <f t="shared" si="44"/>
        <v>0.93057207515402318</v>
      </c>
      <c r="BA9" s="38" t="str">
        <f t="shared" si="45"/>
        <v>26eHP01.3</v>
      </c>
    </row>
    <row r="10" spans="1:53">
      <c r="A10" s="37">
        <v>15208</v>
      </c>
      <c r="B10" s="38" t="s">
        <v>209</v>
      </c>
      <c r="C10" s="39">
        <v>53.65</v>
      </c>
      <c r="D10" s="39">
        <v>29.21</v>
      </c>
      <c r="E10" s="39">
        <v>0.48809999999999998</v>
      </c>
      <c r="F10" s="39">
        <v>0.27639999999999998</v>
      </c>
      <c r="G10" s="39">
        <v>0.1115</v>
      </c>
      <c r="H10" s="39">
        <v>11.22</v>
      </c>
      <c r="I10" s="39">
        <v>4.95</v>
      </c>
      <c r="J10" s="39">
        <v>0.28649999999999998</v>
      </c>
      <c r="K10" s="26">
        <f t="shared" si="15"/>
        <v>100.19250000000001</v>
      </c>
      <c r="L10" s="27">
        <f t="shared" si="16"/>
        <v>0.89291212513085783</v>
      </c>
      <c r="M10" s="27">
        <f t="shared" si="17"/>
        <v>0.2864813108066635</v>
      </c>
      <c r="N10" s="27">
        <f t="shared" si="18"/>
        <v>6.7938489290745004E-3</v>
      </c>
      <c r="O10" s="27">
        <f t="shared" si="19"/>
        <v>2.6674541639885967E-3</v>
      </c>
      <c r="P10" s="27">
        <f t="shared" si="20"/>
        <v>7.2720679543770669E-4</v>
      </c>
      <c r="Q10" s="27">
        <f t="shared" si="21"/>
        <v>0.200080602881018</v>
      </c>
      <c r="R10" s="27">
        <f t="shared" si="22"/>
        <v>7.9865838299267466E-2</v>
      </c>
      <c r="S10" s="27">
        <f t="shared" si="23"/>
        <v>3.0415304259204211E-3</v>
      </c>
      <c r="T10" s="27">
        <f t="shared" si="24"/>
        <v>1.7858242502617157</v>
      </c>
      <c r="U10" s="27">
        <f t="shared" si="25"/>
        <v>0.85944393241999051</v>
      </c>
      <c r="V10" s="27">
        <f t="shared" si="26"/>
        <v>6.7938489290745004E-3</v>
      </c>
      <c r="W10" s="27">
        <f t="shared" si="27"/>
        <v>2.6674541639885967E-3</v>
      </c>
      <c r="X10" s="27">
        <f t="shared" si="28"/>
        <v>7.2720679543770669E-4</v>
      </c>
      <c r="Y10" s="27">
        <f t="shared" si="29"/>
        <v>0.200080602881018</v>
      </c>
      <c r="Z10" s="27">
        <f t="shared" si="30"/>
        <v>7.9865838299267466E-2</v>
      </c>
      <c r="AA10" s="27">
        <f t="shared" si="31"/>
        <v>3.0415304259204211E-3</v>
      </c>
      <c r="AB10" s="27">
        <f t="shared" si="32"/>
        <v>2.9384446641764126</v>
      </c>
      <c r="AC10" s="26">
        <f t="shared" si="3"/>
        <v>4.8619578160740939</v>
      </c>
      <c r="AD10" s="26">
        <f t="shared" si="4"/>
        <v>2.3398607920653167</v>
      </c>
      <c r="AE10" s="26">
        <f t="shared" si="5"/>
        <v>1.8496448851055509E-2</v>
      </c>
      <c r="AF10" s="26">
        <f t="shared" si="6"/>
        <v>7.2622205795016548E-3</v>
      </c>
      <c r="AG10" s="26">
        <f t="shared" si="7"/>
        <v>1.9798413883462479E-3</v>
      </c>
      <c r="AH10" s="26">
        <f t="shared" si="8"/>
        <v>0.54472518831549033</v>
      </c>
      <c r="AI10" s="26">
        <f t="shared" si="9"/>
        <v>0.21743703877888684</v>
      </c>
      <c r="AJ10" s="26">
        <f t="shared" si="10"/>
        <v>8.2806539473096429E-3</v>
      </c>
      <c r="AK10" s="26">
        <f t="shared" si="33"/>
        <v>8</v>
      </c>
      <c r="AL10" s="26">
        <f t="shared" si="34"/>
        <v>2.430978908037047</v>
      </c>
      <c r="AM10" s="26">
        <f t="shared" si="35"/>
        <v>1.5599071947102112</v>
      </c>
      <c r="AN10" s="26">
        <f t="shared" si="36"/>
        <v>1.8496448851055509E-2</v>
      </c>
      <c r="AO10" s="26">
        <f t="shared" si="37"/>
        <v>7.2622205795016548E-3</v>
      </c>
      <c r="AP10" s="26">
        <f t="shared" si="38"/>
        <v>1.9798413883462479E-3</v>
      </c>
      <c r="AQ10" s="26">
        <f t="shared" si="39"/>
        <v>0.54472518831549033</v>
      </c>
      <c r="AR10" s="26">
        <f t="shared" si="40"/>
        <v>0.43487407755777369</v>
      </c>
      <c r="AS10" s="26">
        <f t="shared" si="41"/>
        <v>1.6561307894619286E-2</v>
      </c>
      <c r="AT10" s="26">
        <f t="shared" si="42"/>
        <v>5.014785187334045</v>
      </c>
      <c r="AU10" s="26"/>
      <c r="AV10" s="33">
        <f t="shared" si="12"/>
        <v>15208</v>
      </c>
      <c r="AW10" s="26">
        <f t="shared" si="13"/>
        <v>0.54682468134140139</v>
      </c>
      <c r="AX10" s="26">
        <f t="shared" si="14"/>
        <v>0.43655017976961641</v>
      </c>
      <c r="AY10" s="26">
        <f t="shared" si="43"/>
        <v>0.80970839901181879</v>
      </c>
      <c r="AZ10" s="26">
        <f t="shared" si="44"/>
        <v>1.4772043144707938</v>
      </c>
      <c r="BA10" s="38" t="str">
        <f t="shared" si="45"/>
        <v>26eHP01.4</v>
      </c>
    </row>
    <row r="11" spans="1:53">
      <c r="A11" s="37">
        <v>15209</v>
      </c>
      <c r="B11" s="38" t="s">
        <v>210</v>
      </c>
      <c r="C11" s="39">
        <v>54.15</v>
      </c>
      <c r="D11" s="39">
        <v>28.32</v>
      </c>
      <c r="E11" s="39">
        <v>0.50680000000000003</v>
      </c>
      <c r="F11" s="39">
        <v>0.35709999999999997</v>
      </c>
      <c r="G11" s="39">
        <v>1.41E-2</v>
      </c>
      <c r="H11" s="39">
        <v>10.73</v>
      </c>
      <c r="I11" s="39">
        <v>5.41</v>
      </c>
      <c r="J11" s="39">
        <v>0.33379999999999999</v>
      </c>
      <c r="K11" s="26">
        <f t="shared" si="15"/>
        <v>99.821799999999996</v>
      </c>
      <c r="L11" s="27">
        <f t="shared" si="16"/>
        <v>0.90123376655798604</v>
      </c>
      <c r="M11" s="27">
        <f t="shared" si="17"/>
        <v>0.27775250674579632</v>
      </c>
      <c r="N11" s="27">
        <f t="shared" si="18"/>
        <v>7.0541336555110775E-3</v>
      </c>
      <c r="O11" s="27">
        <f t="shared" si="19"/>
        <v>3.4462658536914899E-3</v>
      </c>
      <c r="P11" s="27">
        <f t="shared" si="20"/>
        <v>9.1960679961180847E-5</v>
      </c>
      <c r="Q11" s="27">
        <f t="shared" si="21"/>
        <v>0.19134267993879886</v>
      </c>
      <c r="R11" s="27">
        <f t="shared" si="22"/>
        <v>8.7287714181623635E-2</v>
      </c>
      <c r="S11" s="27">
        <f t="shared" si="23"/>
        <v>3.5436748906535307E-3</v>
      </c>
      <c r="T11" s="27">
        <f t="shared" si="24"/>
        <v>1.8024675331159721</v>
      </c>
      <c r="U11" s="27">
        <f t="shared" si="25"/>
        <v>0.83325752023738897</v>
      </c>
      <c r="V11" s="27">
        <f t="shared" si="26"/>
        <v>7.0541336555110775E-3</v>
      </c>
      <c r="W11" s="27">
        <f t="shared" si="27"/>
        <v>3.4462658536914899E-3</v>
      </c>
      <c r="X11" s="27">
        <f t="shared" si="28"/>
        <v>9.1960679961180847E-5</v>
      </c>
      <c r="Y11" s="27">
        <f t="shared" si="29"/>
        <v>0.19134267993879886</v>
      </c>
      <c r="Z11" s="27">
        <f t="shared" si="30"/>
        <v>8.7287714181623635E-2</v>
      </c>
      <c r="AA11" s="27">
        <f t="shared" si="31"/>
        <v>3.5436748906535307E-3</v>
      </c>
      <c r="AB11" s="27">
        <f t="shared" si="32"/>
        <v>2.9284914825536008</v>
      </c>
      <c r="AC11" s="26">
        <f t="shared" si="3"/>
        <v>4.9239481660892448</v>
      </c>
      <c r="AD11" s="26">
        <f t="shared" si="4"/>
        <v>2.2762778043275738</v>
      </c>
      <c r="AE11" s="26">
        <f t="shared" si="5"/>
        <v>1.9270354576848496E-2</v>
      </c>
      <c r="AF11" s="26">
        <f t="shared" si="6"/>
        <v>9.4144466507005784E-3</v>
      </c>
      <c r="AG11" s="26">
        <f t="shared" si="7"/>
        <v>2.5121652020238764E-4</v>
      </c>
      <c r="AH11" s="26">
        <f t="shared" si="8"/>
        <v>0.52270646803302534</v>
      </c>
      <c r="AI11" s="26">
        <f t="shared" si="9"/>
        <v>0.23845099690851088</v>
      </c>
      <c r="AJ11" s="26">
        <f t="shared" si="10"/>
        <v>9.6805468938936413E-3</v>
      </c>
      <c r="AK11" s="26">
        <f t="shared" si="33"/>
        <v>8</v>
      </c>
      <c r="AL11" s="26">
        <f t="shared" si="34"/>
        <v>2.4619740830446224</v>
      </c>
      <c r="AM11" s="26">
        <f t="shared" si="35"/>
        <v>1.5175185362183825</v>
      </c>
      <c r="AN11" s="26">
        <f t="shared" si="36"/>
        <v>1.9270354576848496E-2</v>
      </c>
      <c r="AO11" s="26">
        <f t="shared" si="37"/>
        <v>9.4144466507005784E-3</v>
      </c>
      <c r="AP11" s="26">
        <f t="shared" si="38"/>
        <v>2.5121652020238764E-4</v>
      </c>
      <c r="AQ11" s="26">
        <f t="shared" si="39"/>
        <v>0.52270646803302534</v>
      </c>
      <c r="AR11" s="26">
        <f t="shared" si="40"/>
        <v>0.47690199381702175</v>
      </c>
      <c r="AS11" s="26">
        <f t="shared" si="41"/>
        <v>1.9361093787787283E-2</v>
      </c>
      <c r="AT11" s="26">
        <f t="shared" si="42"/>
        <v>5.0273981926485902</v>
      </c>
      <c r="AU11" s="26"/>
      <c r="AV11" s="33">
        <f t="shared" si="12"/>
        <v>15209</v>
      </c>
      <c r="AW11" s="26">
        <f t="shared" si="13"/>
        <v>0.51297554980024096</v>
      </c>
      <c r="AX11" s="26">
        <f t="shared" si="14"/>
        <v>0.4680237904836127</v>
      </c>
      <c r="AY11" s="26">
        <f t="shared" si="43"/>
        <v>0.39598424989707937</v>
      </c>
      <c r="AZ11" s="26">
        <f t="shared" si="44"/>
        <v>2.2325709716067048</v>
      </c>
      <c r="BA11" s="38" t="str">
        <f t="shared" si="45"/>
        <v>26eHP01.5</v>
      </c>
    </row>
    <row r="12" spans="1:53">
      <c r="A12" s="37">
        <v>15210</v>
      </c>
      <c r="B12" s="38" t="s">
        <v>211</v>
      </c>
      <c r="C12" s="39">
        <v>61.1</v>
      </c>
      <c r="D12" s="39">
        <v>24.26</v>
      </c>
      <c r="E12" s="39">
        <v>0.315</v>
      </c>
      <c r="F12" s="39">
        <v>0.3085</v>
      </c>
      <c r="G12" s="39">
        <v>0.13639999999999999</v>
      </c>
      <c r="H12" s="39">
        <v>5.74</v>
      </c>
      <c r="I12" s="39">
        <v>7.88</v>
      </c>
      <c r="J12" s="39">
        <v>0.87749999999999995</v>
      </c>
      <c r="K12" s="26">
        <f t="shared" si="15"/>
        <v>100.61739999999998</v>
      </c>
      <c r="L12" s="27">
        <f t="shared" si="16"/>
        <v>1.0169045823950682</v>
      </c>
      <c r="M12" s="27">
        <f t="shared" si="17"/>
        <v>0.23793346799622242</v>
      </c>
      <c r="N12" s="27">
        <f t="shared" si="18"/>
        <v>4.3844753383701449E-3</v>
      </c>
      <c r="O12" s="27">
        <f t="shared" si="19"/>
        <v>2.9772417134243203E-3</v>
      </c>
      <c r="P12" s="27">
        <f t="shared" si="20"/>
        <v>8.896054430287282E-4</v>
      </c>
      <c r="Q12" s="27">
        <f t="shared" si="21"/>
        <v>0.10235852589456715</v>
      </c>
      <c r="R12" s="27">
        <f t="shared" si="22"/>
        <v>0.1271399607673187</v>
      </c>
      <c r="S12" s="27">
        <f t="shared" si="23"/>
        <v>9.3156821945730179E-3</v>
      </c>
      <c r="T12" s="27">
        <f t="shared" si="24"/>
        <v>2.0338091647901364</v>
      </c>
      <c r="U12" s="27">
        <f t="shared" si="25"/>
        <v>0.71380040398866729</v>
      </c>
      <c r="V12" s="27">
        <f t="shared" si="26"/>
        <v>4.3844753383701449E-3</v>
      </c>
      <c r="W12" s="27">
        <f t="shared" si="27"/>
        <v>2.9772417134243203E-3</v>
      </c>
      <c r="X12" s="27">
        <f t="shared" si="28"/>
        <v>8.896054430287282E-4</v>
      </c>
      <c r="Y12" s="27">
        <f t="shared" si="29"/>
        <v>0.10235852589456715</v>
      </c>
      <c r="Z12" s="27">
        <f t="shared" si="30"/>
        <v>0.1271399607673187</v>
      </c>
      <c r="AA12" s="27">
        <f t="shared" si="31"/>
        <v>9.3156821945730179E-3</v>
      </c>
      <c r="AB12" s="27">
        <f t="shared" si="32"/>
        <v>2.9946750601300858</v>
      </c>
      <c r="AC12" s="26">
        <f t="shared" si="3"/>
        <v>5.433134811499154</v>
      </c>
      <c r="AD12" s="26">
        <f t="shared" si="4"/>
        <v>1.9068523687044978</v>
      </c>
      <c r="AE12" s="26">
        <f t="shared" si="5"/>
        <v>1.1712724086144257E-2</v>
      </c>
      <c r="AF12" s="26">
        <f t="shared" si="6"/>
        <v>7.9534284118157154E-3</v>
      </c>
      <c r="AG12" s="26">
        <f t="shared" si="7"/>
        <v>2.3764994202478437E-3</v>
      </c>
      <c r="AH12" s="26">
        <f t="shared" si="8"/>
        <v>0.27344142209571354</v>
      </c>
      <c r="AI12" s="26">
        <f t="shared" si="9"/>
        <v>0.33964275446110237</v>
      </c>
      <c r="AJ12" s="26">
        <f t="shared" si="10"/>
        <v>2.4885991321324467E-2</v>
      </c>
      <c r="AK12" s="26">
        <f t="shared" si="33"/>
        <v>8</v>
      </c>
      <c r="AL12" s="26">
        <f t="shared" si="34"/>
        <v>2.716567405749577</v>
      </c>
      <c r="AM12" s="26">
        <f t="shared" si="35"/>
        <v>1.2712349124696651</v>
      </c>
      <c r="AN12" s="26">
        <f t="shared" si="36"/>
        <v>1.1712724086144257E-2</v>
      </c>
      <c r="AO12" s="26">
        <f t="shared" si="37"/>
        <v>7.9534284118157154E-3</v>
      </c>
      <c r="AP12" s="26">
        <f t="shared" si="38"/>
        <v>2.3764994202478437E-3</v>
      </c>
      <c r="AQ12" s="26">
        <f t="shared" si="39"/>
        <v>0.27344142209571354</v>
      </c>
      <c r="AR12" s="26">
        <f t="shared" si="40"/>
        <v>0.67928550892220474</v>
      </c>
      <c r="AS12" s="26">
        <f t="shared" si="41"/>
        <v>4.9771982642648933E-2</v>
      </c>
      <c r="AT12" s="26">
        <f t="shared" si="42"/>
        <v>5.0123438837980174</v>
      </c>
      <c r="AU12" s="26"/>
      <c r="AV12" s="33">
        <f t="shared" si="12"/>
        <v>15210</v>
      </c>
      <c r="AW12" s="26">
        <f t="shared" si="13"/>
        <v>0.27275981885831463</v>
      </c>
      <c r="AX12" s="26">
        <f t="shared" si="14"/>
        <v>0.67759226435650954</v>
      </c>
      <c r="AY12" s="26">
        <f t="shared" si="43"/>
        <v>0</v>
      </c>
      <c r="AZ12" s="26">
        <f t="shared" si="44"/>
        <v>3</v>
      </c>
      <c r="BA12" s="38" t="str">
        <f t="shared" si="45"/>
        <v>26eHP01.6</v>
      </c>
    </row>
    <row r="13" spans="1:53">
      <c r="A13" s="37">
        <v>15217</v>
      </c>
      <c r="B13" s="38" t="s">
        <v>212</v>
      </c>
      <c r="C13" s="39">
        <v>60.22</v>
      </c>
      <c r="D13" s="39">
        <v>24.72</v>
      </c>
      <c r="E13" s="39">
        <v>0.36940000000000001</v>
      </c>
      <c r="F13" s="39">
        <v>0.3417</v>
      </c>
      <c r="G13" s="39">
        <v>0.1229</v>
      </c>
      <c r="H13" s="39">
        <v>6.3</v>
      </c>
      <c r="I13" s="39">
        <v>7.5</v>
      </c>
      <c r="J13" s="39">
        <v>0.78200000000000003</v>
      </c>
      <c r="K13" s="26">
        <f t="shared" si="15"/>
        <v>100.35599999999999</v>
      </c>
      <c r="L13" s="27">
        <f t="shared" si="16"/>
        <v>1.0022584934833225</v>
      </c>
      <c r="M13" s="27">
        <f t="shared" si="17"/>
        <v>0.24244498470183914</v>
      </c>
      <c r="N13" s="27">
        <f t="shared" si="18"/>
        <v>5.141667269822005E-3</v>
      </c>
      <c r="O13" s="27">
        <f t="shared" si="19"/>
        <v>3.2976450355821402E-3</v>
      </c>
      <c r="P13" s="27">
        <f t="shared" si="20"/>
        <v>8.0155798349142735E-4</v>
      </c>
      <c r="Q13" s="27">
        <f t="shared" si="21"/>
        <v>0.11234472354281759</v>
      </c>
      <c r="R13" s="27">
        <f t="shared" si="22"/>
        <v>0.121008845907981</v>
      </c>
      <c r="S13" s="27">
        <f t="shared" si="23"/>
        <v>8.3018387192662114E-3</v>
      </c>
      <c r="T13" s="27">
        <f t="shared" si="24"/>
        <v>2.004516986966645</v>
      </c>
      <c r="U13" s="27">
        <f t="shared" si="25"/>
        <v>0.72733495410551741</v>
      </c>
      <c r="V13" s="27">
        <f t="shared" si="26"/>
        <v>5.141667269822005E-3</v>
      </c>
      <c r="W13" s="27">
        <f t="shared" si="27"/>
        <v>3.2976450355821402E-3</v>
      </c>
      <c r="X13" s="27">
        <f t="shared" si="28"/>
        <v>8.0155798349142735E-4</v>
      </c>
      <c r="Y13" s="27">
        <f t="shared" si="29"/>
        <v>0.11234472354281759</v>
      </c>
      <c r="Z13" s="27">
        <f t="shared" si="30"/>
        <v>0.121008845907981</v>
      </c>
      <c r="AA13" s="27">
        <f t="shared" si="31"/>
        <v>8.3018387192662114E-3</v>
      </c>
      <c r="AB13" s="27">
        <f t="shared" si="32"/>
        <v>2.9827482195311226</v>
      </c>
      <c r="AC13" s="26">
        <f t="shared" si="3"/>
        <v>5.3762955219378137</v>
      </c>
      <c r="AD13" s="26">
        <f t="shared" si="4"/>
        <v>1.9507780089325859</v>
      </c>
      <c r="AE13" s="26">
        <f t="shared" si="5"/>
        <v>1.3790415794814239E-2</v>
      </c>
      <c r="AF13" s="26">
        <f t="shared" si="6"/>
        <v>8.8445816887635746E-3</v>
      </c>
      <c r="AG13" s="26">
        <f t="shared" si="7"/>
        <v>2.149850874419241E-3</v>
      </c>
      <c r="AH13" s="26">
        <f t="shared" si="8"/>
        <v>0.30131869074883638</v>
      </c>
      <c r="AI13" s="26">
        <f t="shared" si="9"/>
        <v>0.3245566491079912</v>
      </c>
      <c r="AJ13" s="26">
        <f t="shared" si="10"/>
        <v>2.2266280914776591E-2</v>
      </c>
      <c r="AK13" s="26">
        <f t="shared" si="33"/>
        <v>8</v>
      </c>
      <c r="AL13" s="26">
        <f t="shared" si="34"/>
        <v>2.6881477609689068</v>
      </c>
      <c r="AM13" s="26">
        <f t="shared" si="35"/>
        <v>1.3005186726217239</v>
      </c>
      <c r="AN13" s="26">
        <f t="shared" si="36"/>
        <v>1.3790415794814239E-2</v>
      </c>
      <c r="AO13" s="26">
        <f t="shared" si="37"/>
        <v>8.8445816887635746E-3</v>
      </c>
      <c r="AP13" s="26">
        <f t="shared" si="38"/>
        <v>2.149850874419241E-3</v>
      </c>
      <c r="AQ13" s="26">
        <f t="shared" si="39"/>
        <v>0.30131869074883638</v>
      </c>
      <c r="AR13" s="26">
        <f t="shared" si="40"/>
        <v>0.6491132982159824</v>
      </c>
      <c r="AS13" s="26">
        <f t="shared" si="41"/>
        <v>4.4532561829553181E-2</v>
      </c>
      <c r="AT13" s="26">
        <f t="shared" si="42"/>
        <v>5.0084158327429993</v>
      </c>
      <c r="AU13" s="26"/>
      <c r="AV13" s="33">
        <f t="shared" si="12"/>
        <v>15217</v>
      </c>
      <c r="AW13" s="26">
        <f t="shared" si="13"/>
        <v>0.30284364453815554</v>
      </c>
      <c r="AX13" s="26">
        <f t="shared" si="14"/>
        <v>0.65239841730816983</v>
      </c>
      <c r="AY13" s="26">
        <f t="shared" si="43"/>
        <v>0</v>
      </c>
      <c r="AZ13" s="26">
        <f t="shared" si="44"/>
        <v>3</v>
      </c>
      <c r="BA13" s="38" t="str">
        <f t="shared" si="45"/>
        <v>26hHP01.1</v>
      </c>
    </row>
    <row r="14" spans="1:53">
      <c r="A14" s="37">
        <v>15219</v>
      </c>
      <c r="B14" s="38" t="s">
        <v>213</v>
      </c>
      <c r="C14" s="39">
        <v>60.83</v>
      </c>
      <c r="D14" s="39">
        <v>24.08</v>
      </c>
      <c r="E14" s="39">
        <v>0.42809999999999998</v>
      </c>
      <c r="F14" s="39">
        <v>0.16070000000000001</v>
      </c>
      <c r="G14" s="39">
        <v>6.8199999999999997E-2</v>
      </c>
      <c r="H14" s="39">
        <v>5.77</v>
      </c>
      <c r="I14" s="39">
        <v>7.76</v>
      </c>
      <c r="J14" s="39">
        <v>0.88549999999999995</v>
      </c>
      <c r="K14" s="26">
        <f t="shared" si="15"/>
        <v>99.982500000000002</v>
      </c>
      <c r="L14" s="27">
        <f t="shared" si="16"/>
        <v>1.0124108960244189</v>
      </c>
      <c r="M14" s="27">
        <f t="shared" si="17"/>
        <v>0.23616809189402455</v>
      </c>
      <c r="N14" s="27">
        <f t="shared" si="18"/>
        <v>5.9587107693849489E-3</v>
      </c>
      <c r="O14" s="27">
        <f t="shared" si="19"/>
        <v>1.5508678876735439E-3</v>
      </c>
      <c r="P14" s="27">
        <f t="shared" si="20"/>
        <v>4.448027215143641E-4</v>
      </c>
      <c r="Q14" s="27">
        <f t="shared" si="21"/>
        <v>0.10289350076858056</v>
      </c>
      <c r="R14" s="27">
        <f t="shared" si="22"/>
        <v>0.125203819232791</v>
      </c>
      <c r="S14" s="27">
        <f t="shared" si="23"/>
        <v>9.4006114909337968E-3</v>
      </c>
      <c r="T14" s="27">
        <f t="shared" si="24"/>
        <v>2.0248217920488378</v>
      </c>
      <c r="U14" s="27">
        <f t="shared" si="25"/>
        <v>0.70850427568207364</v>
      </c>
      <c r="V14" s="27">
        <f t="shared" si="26"/>
        <v>5.9587107693849489E-3</v>
      </c>
      <c r="W14" s="27">
        <f t="shared" si="27"/>
        <v>1.5508678876735439E-3</v>
      </c>
      <c r="X14" s="27">
        <f t="shared" si="28"/>
        <v>4.448027215143641E-4</v>
      </c>
      <c r="Y14" s="27">
        <f t="shared" si="29"/>
        <v>0.10289350076858056</v>
      </c>
      <c r="Z14" s="27">
        <f t="shared" si="30"/>
        <v>0.125203819232791</v>
      </c>
      <c r="AA14" s="27">
        <f t="shared" si="31"/>
        <v>9.4006114909337968E-3</v>
      </c>
      <c r="AB14" s="27">
        <f t="shared" si="32"/>
        <v>2.9787783806017898</v>
      </c>
      <c r="AC14" s="26">
        <f t="shared" si="3"/>
        <v>5.4379924474670638</v>
      </c>
      <c r="AD14" s="26">
        <f t="shared" si="4"/>
        <v>1.9028049358648496</v>
      </c>
      <c r="AE14" s="26">
        <f t="shared" si="5"/>
        <v>1.6003099279057173E-2</v>
      </c>
      <c r="AF14" s="26">
        <f t="shared" si="6"/>
        <v>4.1651111684521593E-3</v>
      </c>
      <c r="AG14" s="26">
        <f t="shared" si="7"/>
        <v>1.1945909757126746E-3</v>
      </c>
      <c r="AH14" s="26">
        <f t="shared" si="8"/>
        <v>0.27633744474214539</v>
      </c>
      <c r="AI14" s="26">
        <f t="shared" si="9"/>
        <v>0.33625547989238896</v>
      </c>
      <c r="AJ14" s="26">
        <f t="shared" si="10"/>
        <v>2.524689061033035E-2</v>
      </c>
      <c r="AK14" s="26">
        <f t="shared" si="33"/>
        <v>8</v>
      </c>
      <c r="AL14" s="26">
        <f t="shared" si="34"/>
        <v>2.7189962237335319</v>
      </c>
      <c r="AM14" s="26">
        <f t="shared" si="35"/>
        <v>1.2685366239098996</v>
      </c>
      <c r="AN14" s="26">
        <f t="shared" si="36"/>
        <v>1.6003099279057173E-2</v>
      </c>
      <c r="AO14" s="26">
        <f t="shared" si="37"/>
        <v>4.1651111684521593E-3</v>
      </c>
      <c r="AP14" s="26">
        <f t="shared" si="38"/>
        <v>1.1945909757126746E-3</v>
      </c>
      <c r="AQ14" s="26">
        <f t="shared" si="39"/>
        <v>0.27633744474214539</v>
      </c>
      <c r="AR14" s="26">
        <f t="shared" si="40"/>
        <v>0.67251095978477793</v>
      </c>
      <c r="AS14" s="26">
        <f t="shared" si="41"/>
        <v>5.04937812206607E-2</v>
      </c>
      <c r="AT14" s="26">
        <f t="shared" si="42"/>
        <v>5.0082378348142376</v>
      </c>
      <c r="AU14" s="26"/>
      <c r="AV14" s="33">
        <f t="shared" si="12"/>
        <v>15219</v>
      </c>
      <c r="AW14" s="26">
        <f t="shared" si="13"/>
        <v>0.27651934310710996</v>
      </c>
      <c r="AX14" s="26">
        <f t="shared" si="14"/>
        <v>0.67295363827925314</v>
      </c>
      <c r="AY14" s="26">
        <f t="shared" si="43"/>
        <v>0</v>
      </c>
      <c r="AZ14" s="26">
        <f t="shared" si="44"/>
        <v>3</v>
      </c>
      <c r="BA14" s="38" t="str">
        <f t="shared" si="45"/>
        <v>26hHP02.1</v>
      </c>
    </row>
    <row r="15" spans="1:53">
      <c r="A15" s="37">
        <v>15220</v>
      </c>
      <c r="B15" s="38" t="s">
        <v>214</v>
      </c>
      <c r="C15" s="39">
        <v>62</v>
      </c>
      <c r="D15" s="39">
        <v>23.4</v>
      </c>
      <c r="E15" s="39">
        <v>0.28599999999999998</v>
      </c>
      <c r="F15" s="39">
        <v>0.24199999999999999</v>
      </c>
      <c r="G15" s="39">
        <v>7.3800000000000004E-2</v>
      </c>
      <c r="H15" s="39">
        <v>4.8</v>
      </c>
      <c r="I15" s="39">
        <v>8.31</v>
      </c>
      <c r="J15" s="39">
        <v>1.0817000000000001</v>
      </c>
      <c r="K15" s="26">
        <f t="shared" si="15"/>
        <v>100.19350000000001</v>
      </c>
      <c r="L15" s="27">
        <f t="shared" si="16"/>
        <v>1.031883536963899</v>
      </c>
      <c r="M15" s="27">
        <f t="shared" si="17"/>
        <v>0.22949889328572151</v>
      </c>
      <c r="N15" s="27">
        <f t="shared" si="18"/>
        <v>3.980825227853528E-3</v>
      </c>
      <c r="O15" s="27">
        <f t="shared" si="19"/>
        <v>2.335469998861217E-3</v>
      </c>
      <c r="P15" s="27">
        <f t="shared" si="20"/>
        <v>4.813261121372445E-4</v>
      </c>
      <c r="Q15" s="27">
        <f t="shared" si="21"/>
        <v>8.5595979842146744E-2</v>
      </c>
      <c r="R15" s="27">
        <f t="shared" si="22"/>
        <v>0.13407780126604296</v>
      </c>
      <c r="S15" s="27">
        <f t="shared" si="23"/>
        <v>1.148350248418192E-2</v>
      </c>
      <c r="T15" s="27">
        <f t="shared" si="24"/>
        <v>2.063767073927798</v>
      </c>
      <c r="U15" s="27">
        <f t="shared" si="25"/>
        <v>0.68849667985716456</v>
      </c>
      <c r="V15" s="27">
        <f t="shared" si="26"/>
        <v>3.980825227853528E-3</v>
      </c>
      <c r="W15" s="27">
        <f t="shared" si="27"/>
        <v>2.335469998861217E-3</v>
      </c>
      <c r="X15" s="27">
        <f t="shared" si="28"/>
        <v>4.813261121372445E-4</v>
      </c>
      <c r="Y15" s="27">
        <f t="shared" si="29"/>
        <v>8.5595979842146744E-2</v>
      </c>
      <c r="Z15" s="27">
        <f t="shared" si="30"/>
        <v>0.13407780126604296</v>
      </c>
      <c r="AA15" s="27">
        <f t="shared" si="31"/>
        <v>1.148350248418192E-2</v>
      </c>
      <c r="AB15" s="27">
        <f t="shared" si="32"/>
        <v>2.9902186587161856</v>
      </c>
      <c r="AC15" s="26">
        <f t="shared" si="3"/>
        <v>5.5213810345597976</v>
      </c>
      <c r="AD15" s="26">
        <f t="shared" si="4"/>
        <v>1.8419968796603319</v>
      </c>
      <c r="AE15" s="26">
        <f t="shared" si="5"/>
        <v>1.0650258545474122E-2</v>
      </c>
      <c r="AF15" s="26">
        <f t="shared" si="6"/>
        <v>6.2482922231885821E-3</v>
      </c>
      <c r="AG15" s="26">
        <f t="shared" si="7"/>
        <v>1.287734890515053E-3</v>
      </c>
      <c r="AH15" s="26">
        <f t="shared" si="8"/>
        <v>0.22900259709809007</v>
      </c>
      <c r="AI15" s="26">
        <f t="shared" si="9"/>
        <v>0.35871035952563457</v>
      </c>
      <c r="AJ15" s="26">
        <f t="shared" si="10"/>
        <v>3.0722843496969479E-2</v>
      </c>
      <c r="AK15" s="26">
        <f t="shared" si="33"/>
        <v>8.0000000000000018</v>
      </c>
      <c r="AL15" s="26">
        <f t="shared" si="34"/>
        <v>2.7606905172798988</v>
      </c>
      <c r="AM15" s="26">
        <f t="shared" si="35"/>
        <v>1.2279979197735547</v>
      </c>
      <c r="AN15" s="26">
        <f t="shared" si="36"/>
        <v>1.0650258545474122E-2</v>
      </c>
      <c r="AO15" s="26">
        <f t="shared" si="37"/>
        <v>6.2482922231885821E-3</v>
      </c>
      <c r="AP15" s="26">
        <f t="shared" si="38"/>
        <v>1.287734890515053E-3</v>
      </c>
      <c r="AQ15" s="26">
        <f t="shared" si="39"/>
        <v>0.22900259709809007</v>
      </c>
      <c r="AR15" s="26">
        <f t="shared" si="40"/>
        <v>0.71742071905126914</v>
      </c>
      <c r="AS15" s="26">
        <f t="shared" si="41"/>
        <v>6.1445686993938958E-2</v>
      </c>
      <c r="AT15" s="26">
        <f t="shared" si="42"/>
        <v>5.0147437258559302</v>
      </c>
      <c r="AU15" s="26"/>
      <c r="AV15" s="33">
        <f t="shared" si="12"/>
        <v>15220</v>
      </c>
      <c r="AW15" s="26">
        <f t="shared" si="13"/>
        <v>0.22721464434751609</v>
      </c>
      <c r="AX15" s="26">
        <f t="shared" si="14"/>
        <v>0.7118194098774826</v>
      </c>
      <c r="AY15" s="26">
        <f t="shared" si="43"/>
        <v>0</v>
      </c>
      <c r="AZ15" s="26">
        <f t="shared" si="44"/>
        <v>3</v>
      </c>
      <c r="BA15" s="38" t="str">
        <f t="shared" si="45"/>
        <v>26hHP02.2</v>
      </c>
    </row>
    <row r="16" spans="1:53">
      <c r="A16" s="37">
        <v>15221</v>
      </c>
      <c r="B16" s="38" t="s">
        <v>215</v>
      </c>
      <c r="C16" s="39">
        <v>61.52</v>
      </c>
      <c r="D16" s="39">
        <v>23.73</v>
      </c>
      <c r="E16" s="39">
        <v>0.25790000000000002</v>
      </c>
      <c r="F16" s="39">
        <v>0.1298</v>
      </c>
      <c r="G16" s="39">
        <v>4.1000000000000002E-2</v>
      </c>
      <c r="H16" s="39">
        <v>4.92</v>
      </c>
      <c r="I16" s="39">
        <v>8.2200000000000006</v>
      </c>
      <c r="J16" s="39">
        <v>1.0246999999999999</v>
      </c>
      <c r="K16" s="26">
        <f t="shared" si="15"/>
        <v>99.843400000000003</v>
      </c>
      <c r="L16" s="27">
        <f t="shared" si="16"/>
        <v>1.023894761193856</v>
      </c>
      <c r="M16" s="27">
        <f t="shared" si="17"/>
        <v>0.23273541613975093</v>
      </c>
      <c r="N16" s="27">
        <f t="shared" si="18"/>
        <v>3.5897021897322553E-3</v>
      </c>
      <c r="O16" s="27">
        <f t="shared" si="19"/>
        <v>1.25266118120738E-3</v>
      </c>
      <c r="P16" s="27">
        <f t="shared" si="20"/>
        <v>2.6740339563180248E-4</v>
      </c>
      <c r="Q16" s="27">
        <f t="shared" si="21"/>
        <v>8.7735879338200401E-2</v>
      </c>
      <c r="R16" s="27">
        <f t="shared" si="22"/>
        <v>0.13262569511514719</v>
      </c>
      <c r="S16" s="27">
        <f t="shared" si="23"/>
        <v>1.0878381247611363E-2</v>
      </c>
      <c r="T16" s="27">
        <f t="shared" si="24"/>
        <v>2.0477895223877121</v>
      </c>
      <c r="U16" s="27">
        <f t="shared" si="25"/>
        <v>0.69820624841925283</v>
      </c>
      <c r="V16" s="27">
        <f t="shared" si="26"/>
        <v>3.5897021897322553E-3</v>
      </c>
      <c r="W16" s="27">
        <f t="shared" si="27"/>
        <v>1.25266118120738E-3</v>
      </c>
      <c r="X16" s="27">
        <f t="shared" si="28"/>
        <v>2.6740339563180248E-4</v>
      </c>
      <c r="Y16" s="27">
        <f t="shared" si="29"/>
        <v>8.7735879338200401E-2</v>
      </c>
      <c r="Z16" s="27">
        <f t="shared" si="30"/>
        <v>0.13262569511514719</v>
      </c>
      <c r="AA16" s="27">
        <f t="shared" si="31"/>
        <v>1.0878381247611363E-2</v>
      </c>
      <c r="AB16" s="27">
        <f t="shared" si="32"/>
        <v>2.9823454932744951</v>
      </c>
      <c r="AC16" s="26">
        <f t="shared" si="3"/>
        <v>5.4930980384551535</v>
      </c>
      <c r="AD16" s="26">
        <f t="shared" si="4"/>
        <v>1.8729050674880743</v>
      </c>
      <c r="AE16" s="26">
        <f t="shared" si="5"/>
        <v>9.6292054634915074E-3</v>
      </c>
      <c r="AF16" s="26">
        <f t="shared" si="6"/>
        <v>3.3602040649743999E-3</v>
      </c>
      <c r="AG16" s="26">
        <f t="shared" si="7"/>
        <v>7.172968959762052E-4</v>
      </c>
      <c r="AH16" s="26">
        <f t="shared" si="8"/>
        <v>0.23534732521380666</v>
      </c>
      <c r="AI16" s="26">
        <f t="shared" si="9"/>
        <v>0.35576212189830364</v>
      </c>
      <c r="AJ16" s="26">
        <f t="shared" si="10"/>
        <v>2.9180740520220114E-2</v>
      </c>
      <c r="AK16" s="26">
        <f t="shared" si="33"/>
        <v>8</v>
      </c>
      <c r="AL16" s="26">
        <f t="shared" si="34"/>
        <v>2.7465490192275768</v>
      </c>
      <c r="AM16" s="26">
        <f t="shared" si="35"/>
        <v>1.2486033783253829</v>
      </c>
      <c r="AN16" s="26">
        <f t="shared" si="36"/>
        <v>9.6292054634915074E-3</v>
      </c>
      <c r="AO16" s="26">
        <f t="shared" si="37"/>
        <v>3.3602040649743999E-3</v>
      </c>
      <c r="AP16" s="26">
        <f t="shared" si="38"/>
        <v>7.172968959762052E-4</v>
      </c>
      <c r="AQ16" s="26">
        <f t="shared" si="39"/>
        <v>0.23534732521380666</v>
      </c>
      <c r="AR16" s="26">
        <f t="shared" si="40"/>
        <v>0.71152424379660728</v>
      </c>
      <c r="AS16" s="26">
        <f t="shared" si="41"/>
        <v>5.8361481040440227E-2</v>
      </c>
      <c r="AT16" s="26">
        <f t="shared" si="42"/>
        <v>5.0140921540282566</v>
      </c>
      <c r="AU16" s="26"/>
      <c r="AV16" s="33">
        <f t="shared" si="12"/>
        <v>15221</v>
      </c>
      <c r="AW16" s="26">
        <f t="shared" si="13"/>
        <v>0.23412215227294861</v>
      </c>
      <c r="AX16" s="26">
        <f t="shared" si="14"/>
        <v>0.70782018533971969</v>
      </c>
      <c r="AY16" s="26">
        <f t="shared" si="43"/>
        <v>0</v>
      </c>
      <c r="AZ16" s="26">
        <f t="shared" si="44"/>
        <v>3</v>
      </c>
      <c r="BA16" s="38" t="str">
        <f t="shared" si="45"/>
        <v>26hHP02.3</v>
      </c>
    </row>
    <row r="17" spans="1:53">
      <c r="A17" s="37">
        <v>15222</v>
      </c>
      <c r="B17" s="38" t="s">
        <v>216</v>
      </c>
      <c r="C17" s="39">
        <v>51.73</v>
      </c>
      <c r="D17" s="39">
        <v>30.36</v>
      </c>
      <c r="E17" s="39">
        <v>0.36499999999999999</v>
      </c>
      <c r="F17" s="39">
        <v>0.32879999999999998</v>
      </c>
      <c r="G17" s="39">
        <v>6.6900000000000001E-2</v>
      </c>
      <c r="H17" s="39">
        <v>12.78</v>
      </c>
      <c r="I17" s="39">
        <v>4.17</v>
      </c>
      <c r="J17" s="39">
        <v>0.1963</v>
      </c>
      <c r="K17" s="26">
        <f t="shared" si="15"/>
        <v>99.997</v>
      </c>
      <c r="L17" s="27">
        <f t="shared" si="16"/>
        <v>0.86095702205068547</v>
      </c>
      <c r="M17" s="27">
        <f t="shared" si="17"/>
        <v>0.2977601025707054</v>
      </c>
      <c r="N17" s="27">
        <f t="shared" si="18"/>
        <v>5.0804238047781041E-3</v>
      </c>
      <c r="O17" s="27">
        <f t="shared" si="19"/>
        <v>3.1731509736593723E-3</v>
      </c>
      <c r="P17" s="27">
        <f t="shared" si="20"/>
        <v>4.3632407726262401E-4</v>
      </c>
      <c r="Q17" s="27">
        <f t="shared" si="21"/>
        <v>0.22789929632971567</v>
      </c>
      <c r="R17" s="27">
        <f t="shared" si="22"/>
        <v>6.728091832483743E-2</v>
      </c>
      <c r="S17" s="27">
        <f t="shared" si="23"/>
        <v>2.0839526094526307E-3</v>
      </c>
      <c r="T17" s="27">
        <f t="shared" si="24"/>
        <v>1.7219140441013709</v>
      </c>
      <c r="U17" s="27">
        <f t="shared" si="25"/>
        <v>0.89328030771211619</v>
      </c>
      <c r="V17" s="27">
        <f t="shared" si="26"/>
        <v>5.0804238047781041E-3</v>
      </c>
      <c r="W17" s="27">
        <f t="shared" si="27"/>
        <v>3.1731509736593723E-3</v>
      </c>
      <c r="X17" s="27">
        <f t="shared" si="28"/>
        <v>4.3632407726262401E-4</v>
      </c>
      <c r="Y17" s="27">
        <f t="shared" si="29"/>
        <v>0.22789929632971567</v>
      </c>
      <c r="Z17" s="27">
        <f t="shared" si="30"/>
        <v>6.728091832483743E-2</v>
      </c>
      <c r="AA17" s="27">
        <f t="shared" si="31"/>
        <v>2.0839526094526307E-3</v>
      </c>
      <c r="AB17" s="27">
        <f t="shared" si="32"/>
        <v>2.9211484179331921</v>
      </c>
      <c r="AC17" s="26">
        <f t="shared" si="3"/>
        <v>4.7157180608294631</v>
      </c>
      <c r="AD17" s="26">
        <f t="shared" si="4"/>
        <v>2.4463811622256184</v>
      </c>
      <c r="AE17" s="26">
        <f t="shared" si="5"/>
        <v>1.3913497235782822E-2</v>
      </c>
      <c r="AF17" s="26">
        <f t="shared" si="6"/>
        <v>8.6901465305333041E-3</v>
      </c>
      <c r="AG17" s="26">
        <f t="shared" si="7"/>
        <v>1.1949384689500645E-3</v>
      </c>
      <c r="AH17" s="26">
        <f t="shared" si="8"/>
        <v>0.62413616488808699</v>
      </c>
      <c r="AI17" s="26">
        <f t="shared" si="9"/>
        <v>0.18425881522977425</v>
      </c>
      <c r="AJ17" s="26">
        <f t="shared" si="10"/>
        <v>5.7072145917928955E-3</v>
      </c>
      <c r="AK17" s="26">
        <f t="shared" si="33"/>
        <v>8.0000000000000018</v>
      </c>
      <c r="AL17" s="26">
        <f t="shared" si="34"/>
        <v>2.3578590304147315</v>
      </c>
      <c r="AM17" s="26">
        <f t="shared" si="35"/>
        <v>1.6309207748170789</v>
      </c>
      <c r="AN17" s="26">
        <f t="shared" si="36"/>
        <v>1.3913497235782822E-2</v>
      </c>
      <c r="AO17" s="26">
        <f t="shared" si="37"/>
        <v>8.6901465305333041E-3</v>
      </c>
      <c r="AP17" s="26">
        <f t="shared" si="38"/>
        <v>1.1949384689500645E-3</v>
      </c>
      <c r="AQ17" s="26">
        <f t="shared" si="39"/>
        <v>0.62413616488808699</v>
      </c>
      <c r="AR17" s="26">
        <f t="shared" si="40"/>
        <v>0.3685176304595485</v>
      </c>
      <c r="AS17" s="26">
        <f t="shared" si="41"/>
        <v>1.1414429183585791E-2</v>
      </c>
      <c r="AT17" s="26">
        <f t="shared" si="42"/>
        <v>5.016646611998298</v>
      </c>
      <c r="AU17" s="26"/>
      <c r="AV17" s="33">
        <f t="shared" si="12"/>
        <v>15222</v>
      </c>
      <c r="AW17" s="26">
        <f t="shared" si="13"/>
        <v>0.62160732671276719</v>
      </c>
      <c r="AX17" s="26">
        <f t="shared" si="14"/>
        <v>0.36702449241594287</v>
      </c>
      <c r="AY17" s="26">
        <f t="shared" si="43"/>
        <v>1.8078959184155359</v>
      </c>
      <c r="AZ17" s="26">
        <f>IF(AX17&gt;0.5,3,12*(2*AX17-1)+3)</f>
        <v>-0.19141218201737109</v>
      </c>
      <c r="BA17" s="38" t="str">
        <f t="shared" si="45"/>
        <v>26hHP02.4</v>
      </c>
    </row>
    <row r="18" spans="1:53">
      <c r="A18" s="37">
        <v>15229</v>
      </c>
      <c r="B18" s="38" t="s">
        <v>143</v>
      </c>
      <c r="C18" s="39">
        <v>53.13</v>
      </c>
      <c r="D18" s="39">
        <v>29.23</v>
      </c>
      <c r="E18" s="39">
        <v>0.53110000000000002</v>
      </c>
      <c r="F18" s="39">
        <v>0.308</v>
      </c>
      <c r="G18" s="39">
        <v>2.92E-2</v>
      </c>
      <c r="H18" s="39">
        <v>11.59</v>
      </c>
      <c r="I18" s="39">
        <v>4.87</v>
      </c>
      <c r="J18" s="39">
        <v>0.27050000000000002</v>
      </c>
      <c r="K18" s="26">
        <f t="shared" si="15"/>
        <v>99.958800000000011</v>
      </c>
      <c r="L18" s="27">
        <f t="shared" si="16"/>
        <v>0.88425761804664449</v>
      </c>
      <c r="M18" s="27">
        <f t="shared" si="17"/>
        <v>0.28667746370690772</v>
      </c>
      <c r="N18" s="27">
        <f t="shared" si="18"/>
        <v>7.3923646101853461E-3</v>
      </c>
      <c r="O18" s="27">
        <f t="shared" si="19"/>
        <v>2.9724163621870038E-3</v>
      </c>
      <c r="P18" s="27">
        <f t="shared" si="20"/>
        <v>1.9044339396216177E-4</v>
      </c>
      <c r="Q18" s="27">
        <f t="shared" si="21"/>
        <v>0.20667862632718348</v>
      </c>
      <c r="R18" s="27">
        <f t="shared" si="22"/>
        <v>7.8575077276249003E-2</v>
      </c>
      <c r="S18" s="27">
        <f t="shared" si="23"/>
        <v>2.871671833198862E-3</v>
      </c>
      <c r="T18" s="27">
        <f t="shared" si="24"/>
        <v>1.768515236093289</v>
      </c>
      <c r="U18" s="27">
        <f t="shared" si="25"/>
        <v>0.86003239112072316</v>
      </c>
      <c r="V18" s="27">
        <f t="shared" si="26"/>
        <v>7.3923646101853461E-3</v>
      </c>
      <c r="W18" s="27">
        <f t="shared" si="27"/>
        <v>2.9724163621870038E-3</v>
      </c>
      <c r="X18" s="27">
        <f t="shared" si="28"/>
        <v>1.9044339396216177E-4</v>
      </c>
      <c r="Y18" s="27">
        <f t="shared" si="29"/>
        <v>0.20667862632718348</v>
      </c>
      <c r="Z18" s="27">
        <f t="shared" si="30"/>
        <v>7.8575077276249003E-2</v>
      </c>
      <c r="AA18" s="27">
        <f t="shared" si="31"/>
        <v>2.871671833198862E-3</v>
      </c>
      <c r="AB18" s="27">
        <f t="shared" si="32"/>
        <v>2.927228227016978</v>
      </c>
      <c r="AC18" s="26">
        <f t="shared" si="3"/>
        <v>4.8332828162032655</v>
      </c>
      <c r="AD18" s="26">
        <f t="shared" si="4"/>
        <v>2.3504348125179102</v>
      </c>
      <c r="AE18" s="26">
        <f t="shared" si="5"/>
        <v>2.0203042706290409E-2</v>
      </c>
      <c r="AF18" s="26">
        <f t="shared" si="6"/>
        <v>8.12349740208969E-3</v>
      </c>
      <c r="AG18" s="26">
        <f t="shared" si="7"/>
        <v>5.2047433050680871E-4</v>
      </c>
      <c r="AH18" s="26">
        <f t="shared" si="8"/>
        <v>0.56484458415543892</v>
      </c>
      <c r="AI18" s="26">
        <f t="shared" si="9"/>
        <v>0.2147426061310477</v>
      </c>
      <c r="AJ18" s="26">
        <f t="shared" si="10"/>
        <v>7.8481665534505148E-3</v>
      </c>
      <c r="AK18" s="26">
        <f t="shared" si="33"/>
        <v>8</v>
      </c>
      <c r="AL18" s="26">
        <f t="shared" si="34"/>
        <v>2.4166414081016327</v>
      </c>
      <c r="AM18" s="26">
        <f t="shared" si="35"/>
        <v>1.5669565416786069</v>
      </c>
      <c r="AN18" s="26">
        <f t="shared" si="36"/>
        <v>2.0203042706290409E-2</v>
      </c>
      <c r="AO18" s="26">
        <f t="shared" si="37"/>
        <v>8.12349740208969E-3</v>
      </c>
      <c r="AP18" s="26">
        <f t="shared" si="38"/>
        <v>5.2047433050680871E-4</v>
      </c>
      <c r="AQ18" s="26">
        <f t="shared" si="39"/>
        <v>0.56484458415543892</v>
      </c>
      <c r="AR18" s="26">
        <f t="shared" si="40"/>
        <v>0.42948521226209541</v>
      </c>
      <c r="AS18" s="26">
        <f t="shared" si="41"/>
        <v>1.569633310690103E-2</v>
      </c>
      <c r="AT18" s="26">
        <f t="shared" si="42"/>
        <v>5.0224710937435626</v>
      </c>
      <c r="AU18" s="26"/>
      <c r="AV18" s="33">
        <f t="shared" si="12"/>
        <v>15229</v>
      </c>
      <c r="AW18" s="26">
        <f t="shared" si="13"/>
        <v>0.55923759558714825</v>
      </c>
      <c r="AX18" s="26">
        <f t="shared" si="14"/>
        <v>0.42522188259061755</v>
      </c>
      <c r="AY18" s="26">
        <f t="shared" si="43"/>
        <v>0.96443861103208572</v>
      </c>
      <c r="AZ18" s="26">
        <f t="shared" si="44"/>
        <v>1.2053251821748212</v>
      </c>
      <c r="BA18" s="38" t="str">
        <f t="shared" si="45"/>
        <v>26hHP04.3</v>
      </c>
    </row>
    <row r="19" spans="1:53">
      <c r="A19" s="37">
        <v>15230</v>
      </c>
      <c r="B19" s="38" t="s">
        <v>144</v>
      </c>
      <c r="C19" s="39">
        <v>52.64</v>
      </c>
      <c r="D19" s="39">
        <v>29.47</v>
      </c>
      <c r="E19" s="39">
        <v>0.52370000000000005</v>
      </c>
      <c r="F19" s="39">
        <v>0.36299999999999999</v>
      </c>
      <c r="G19" s="39">
        <v>5.3400000000000003E-2</v>
      </c>
      <c r="H19" s="39">
        <v>11.97</v>
      </c>
      <c r="I19" s="39">
        <v>4.71</v>
      </c>
      <c r="J19" s="39">
        <v>0.25659999999999999</v>
      </c>
      <c r="K19" s="26">
        <f t="shared" si="15"/>
        <v>99.986699999999999</v>
      </c>
      <c r="L19" s="27">
        <f t="shared" si="16"/>
        <v>0.87610240944805884</v>
      </c>
      <c r="M19" s="27">
        <f t="shared" si="17"/>
        <v>0.28903129850983816</v>
      </c>
      <c r="N19" s="27">
        <f t="shared" si="18"/>
        <v>7.2893642371569681E-3</v>
      </c>
      <c r="O19" s="27">
        <f t="shared" si="19"/>
        <v>3.5032049982918257E-3</v>
      </c>
      <c r="P19" s="27">
        <f t="shared" si="20"/>
        <v>3.4827661772532322E-4</v>
      </c>
      <c r="Q19" s="27">
        <f t="shared" si="21"/>
        <v>0.21345497473135344</v>
      </c>
      <c r="R19" s="27">
        <f t="shared" si="22"/>
        <v>7.5993555230212062E-2</v>
      </c>
      <c r="S19" s="27">
        <f t="shared" si="23"/>
        <v>2.7241071807720075E-3</v>
      </c>
      <c r="T19" s="27">
        <f t="shared" si="24"/>
        <v>1.7522048188961177</v>
      </c>
      <c r="U19" s="27">
        <f t="shared" si="25"/>
        <v>0.86709389552951444</v>
      </c>
      <c r="V19" s="27">
        <f t="shared" si="26"/>
        <v>7.2893642371569681E-3</v>
      </c>
      <c r="W19" s="27">
        <f t="shared" si="27"/>
        <v>3.5032049982918257E-3</v>
      </c>
      <c r="X19" s="27">
        <f t="shared" si="28"/>
        <v>3.4827661772532322E-4</v>
      </c>
      <c r="Y19" s="27">
        <f t="shared" si="29"/>
        <v>0.21345497473135344</v>
      </c>
      <c r="Z19" s="27">
        <f t="shared" si="30"/>
        <v>7.5993555230212062E-2</v>
      </c>
      <c r="AA19" s="27">
        <f t="shared" si="31"/>
        <v>2.7241071807720075E-3</v>
      </c>
      <c r="AB19" s="27">
        <f t="shared" si="32"/>
        <v>2.9226121974211439</v>
      </c>
      <c r="AC19" s="26">
        <f t="shared" si="3"/>
        <v>4.7962704609040614</v>
      </c>
      <c r="AD19" s="26">
        <f t="shared" si="4"/>
        <v>2.3734764298722113</v>
      </c>
      <c r="AE19" s="26">
        <f t="shared" si="5"/>
        <v>1.9953011196186646E-2</v>
      </c>
      <c r="AF19" s="26">
        <f t="shared" si="6"/>
        <v>9.5892434894591511E-3</v>
      </c>
      <c r="AG19" s="26">
        <f t="shared" si="7"/>
        <v>9.5332967687642095E-4</v>
      </c>
      <c r="AH19" s="26">
        <f t="shared" si="8"/>
        <v>0.58428545509993279</v>
      </c>
      <c r="AI19" s="26">
        <f t="shared" si="9"/>
        <v>0.20801543303560369</v>
      </c>
      <c r="AJ19" s="26">
        <f t="shared" si="10"/>
        <v>7.4566367256681037E-3</v>
      </c>
      <c r="AK19" s="26">
        <f t="shared" si="33"/>
        <v>7.9999999999999973</v>
      </c>
      <c r="AL19" s="26">
        <f t="shared" si="34"/>
        <v>2.3981352304520307</v>
      </c>
      <c r="AM19" s="26">
        <f t="shared" si="35"/>
        <v>1.5823176199148075</v>
      </c>
      <c r="AN19" s="26">
        <f t="shared" si="36"/>
        <v>1.9953011196186646E-2</v>
      </c>
      <c r="AO19" s="26">
        <f t="shared" si="37"/>
        <v>9.5892434894591511E-3</v>
      </c>
      <c r="AP19" s="26">
        <f t="shared" si="38"/>
        <v>9.5332967687642095E-4</v>
      </c>
      <c r="AQ19" s="26">
        <f t="shared" si="39"/>
        <v>0.58428545509993279</v>
      </c>
      <c r="AR19" s="26">
        <f t="shared" si="40"/>
        <v>0.41603086607120737</v>
      </c>
      <c r="AS19" s="26">
        <f t="shared" si="41"/>
        <v>1.4913273451336207E-2</v>
      </c>
      <c r="AT19" s="26">
        <f t="shared" si="42"/>
        <v>5.0261780293518354</v>
      </c>
      <c r="AU19" s="26"/>
      <c r="AV19" s="33">
        <f t="shared" si="12"/>
        <v>15230</v>
      </c>
      <c r="AW19" s="26">
        <f t="shared" si="13"/>
        <v>0.5755205110201751</v>
      </c>
      <c r="AX19" s="26">
        <f t="shared" si="14"/>
        <v>0.40978993153357862</v>
      </c>
      <c r="AY19" s="26">
        <f t="shared" si="43"/>
        <v>1.1801750990296531</v>
      </c>
      <c r="AZ19" s="26">
        <f t="shared" si="44"/>
        <v>0.83495835680588693</v>
      </c>
      <c r="BA19" s="38" t="str">
        <f t="shared" si="45"/>
        <v>26hHP04.4</v>
      </c>
    </row>
    <row r="20" spans="1:53">
      <c r="A20" s="37">
        <v>15231</v>
      </c>
      <c r="B20" s="38" t="s">
        <v>145</v>
      </c>
      <c r="C20" s="39">
        <v>56.74</v>
      </c>
      <c r="D20" s="39">
        <v>26.77</v>
      </c>
      <c r="E20" s="39">
        <v>0.4582</v>
      </c>
      <c r="F20" s="39">
        <v>0.30869999999999997</v>
      </c>
      <c r="G20" s="39">
        <v>2.98E-2</v>
      </c>
      <c r="H20" s="39">
        <v>8.9600000000000009</v>
      </c>
      <c r="I20" s="39">
        <v>6</v>
      </c>
      <c r="J20" s="39">
        <v>0.57509999999999994</v>
      </c>
      <c r="K20" s="26">
        <f t="shared" si="15"/>
        <v>99.841800000000021</v>
      </c>
      <c r="L20" s="27">
        <f t="shared" si="16"/>
        <v>0.94433986915051027</v>
      </c>
      <c r="M20" s="27">
        <f t="shared" si="17"/>
        <v>0.2625506569768703</v>
      </c>
      <c r="N20" s="27">
        <f t="shared" si="18"/>
        <v>6.3776717461625403E-3</v>
      </c>
      <c r="O20" s="27">
        <f t="shared" si="19"/>
        <v>2.9791718539192466E-3</v>
      </c>
      <c r="P20" s="27">
        <f t="shared" si="20"/>
        <v>1.9435661438604179E-4</v>
      </c>
      <c r="Q20" s="27">
        <f t="shared" si="21"/>
        <v>0.15977916237200726</v>
      </c>
      <c r="R20" s="27">
        <f t="shared" si="22"/>
        <v>9.6807076726384805E-2</v>
      </c>
      <c r="S20" s="27">
        <f t="shared" si="23"/>
        <v>6.1053547921355467E-3</v>
      </c>
      <c r="T20" s="27">
        <f t="shared" si="24"/>
        <v>1.8886797383010205</v>
      </c>
      <c r="U20" s="27">
        <f t="shared" si="25"/>
        <v>0.7876519709306109</v>
      </c>
      <c r="V20" s="27">
        <f t="shared" si="26"/>
        <v>6.3776717461625403E-3</v>
      </c>
      <c r="W20" s="27">
        <f t="shared" si="27"/>
        <v>2.9791718539192466E-3</v>
      </c>
      <c r="X20" s="27">
        <f t="shared" si="28"/>
        <v>1.9435661438604179E-4</v>
      </c>
      <c r="Y20" s="27">
        <f t="shared" si="29"/>
        <v>0.15977916237200726</v>
      </c>
      <c r="Z20" s="27">
        <f t="shared" si="30"/>
        <v>9.6807076726384805E-2</v>
      </c>
      <c r="AA20" s="27">
        <f t="shared" si="31"/>
        <v>6.1053547921355467E-3</v>
      </c>
      <c r="AB20" s="27">
        <f t="shared" si="32"/>
        <v>2.9485745033366269</v>
      </c>
      <c r="AC20" s="26">
        <f t="shared" si="3"/>
        <v>5.1243195277277964</v>
      </c>
      <c r="AD20" s="26">
        <f t="shared" si="4"/>
        <v>2.1370380027075417</v>
      </c>
      <c r="AE20" s="26">
        <f t="shared" si="5"/>
        <v>1.730374250729096E-2</v>
      </c>
      <c r="AF20" s="26">
        <f t="shared" si="6"/>
        <v>8.083015980903302E-3</v>
      </c>
      <c r="AG20" s="26">
        <f t="shared" si="7"/>
        <v>5.2732359766689027E-4</v>
      </c>
      <c r="AH20" s="26">
        <f t="shared" si="8"/>
        <v>0.43350890321055163</v>
      </c>
      <c r="AI20" s="26">
        <f t="shared" si="9"/>
        <v>0.26265458543940406</v>
      </c>
      <c r="AJ20" s="26">
        <f t="shared" si="10"/>
        <v>1.6564898828845424E-2</v>
      </c>
      <c r="AK20" s="26">
        <f t="shared" si="33"/>
        <v>8</v>
      </c>
      <c r="AL20" s="26">
        <f t="shared" si="34"/>
        <v>2.5621597638638982</v>
      </c>
      <c r="AM20" s="26">
        <f t="shared" si="35"/>
        <v>1.4246920018050278</v>
      </c>
      <c r="AN20" s="26">
        <f t="shared" si="36"/>
        <v>1.730374250729096E-2</v>
      </c>
      <c r="AO20" s="26">
        <f t="shared" si="37"/>
        <v>8.083015980903302E-3</v>
      </c>
      <c r="AP20" s="26">
        <f t="shared" si="38"/>
        <v>5.2732359766689027E-4</v>
      </c>
      <c r="AQ20" s="26">
        <f t="shared" si="39"/>
        <v>0.43350890321055163</v>
      </c>
      <c r="AR20" s="26">
        <f t="shared" si="40"/>
        <v>0.52530917087880813</v>
      </c>
      <c r="AS20" s="26">
        <f t="shared" si="41"/>
        <v>3.3129797657690849E-2</v>
      </c>
      <c r="AT20" s="26">
        <f t="shared" si="42"/>
        <v>5.0047137195018374</v>
      </c>
      <c r="AU20" s="26"/>
      <c r="AV20" s="33">
        <f t="shared" si="12"/>
        <v>15231</v>
      </c>
      <c r="AW20" s="26">
        <f t="shared" si="13"/>
        <v>0.43702790797569008</v>
      </c>
      <c r="AX20" s="26">
        <f t="shared" si="14"/>
        <v>0.52957336352122686</v>
      </c>
      <c r="AY20" s="26">
        <f t="shared" si="43"/>
        <v>0</v>
      </c>
      <c r="AZ20" s="26">
        <f t="shared" si="44"/>
        <v>3</v>
      </c>
      <c r="BA20" s="38" t="str">
        <f t="shared" si="45"/>
        <v>26hHP04.5</v>
      </c>
    </row>
    <row r="21" spans="1:53">
      <c r="A21" s="37">
        <v>15232</v>
      </c>
      <c r="B21" s="38" t="s">
        <v>146</v>
      </c>
      <c r="C21" s="39">
        <v>58.01</v>
      </c>
      <c r="D21" s="39">
        <v>25.77</v>
      </c>
      <c r="E21" s="39">
        <v>0.32050000000000001</v>
      </c>
      <c r="F21" s="39">
        <v>0.33150000000000002</v>
      </c>
      <c r="G21" s="39">
        <v>0</v>
      </c>
      <c r="H21" s="39">
        <v>7.77</v>
      </c>
      <c r="I21" s="39">
        <v>6.88</v>
      </c>
      <c r="J21" s="39">
        <v>0.50760000000000005</v>
      </c>
      <c r="K21" s="26">
        <f t="shared" si="15"/>
        <v>99.58959999999999</v>
      </c>
      <c r="L21" s="27">
        <f t="shared" si="16"/>
        <v>0.96547683837541587</v>
      </c>
      <c r="M21" s="27">
        <f t="shared" si="17"/>
        <v>0.25274301196465998</v>
      </c>
      <c r="N21" s="27">
        <f t="shared" si="18"/>
        <v>4.4610296696750203E-3</v>
      </c>
      <c r="O21" s="27">
        <f t="shared" si="19"/>
        <v>3.1992078703408822E-3</v>
      </c>
      <c r="P21" s="27">
        <f t="shared" si="20"/>
        <v>0</v>
      </c>
      <c r="Q21" s="27">
        <f t="shared" si="21"/>
        <v>0.13855849236947504</v>
      </c>
      <c r="R21" s="27">
        <f t="shared" si="22"/>
        <v>0.1110054479795879</v>
      </c>
      <c r="S21" s="27">
        <f t="shared" si="23"/>
        <v>5.3887638540914698E-3</v>
      </c>
      <c r="T21" s="27">
        <f t="shared" si="24"/>
        <v>1.9309536767508317</v>
      </c>
      <c r="U21" s="27">
        <f t="shared" si="25"/>
        <v>0.75822903589397994</v>
      </c>
      <c r="V21" s="27">
        <f t="shared" si="26"/>
        <v>4.4610296696750203E-3</v>
      </c>
      <c r="W21" s="27">
        <f t="shared" si="27"/>
        <v>3.1992078703408822E-3</v>
      </c>
      <c r="X21" s="27">
        <f t="shared" si="28"/>
        <v>0</v>
      </c>
      <c r="Y21" s="27">
        <f t="shared" si="29"/>
        <v>0.13855849236947504</v>
      </c>
      <c r="Z21" s="27">
        <f t="shared" si="30"/>
        <v>0.1110054479795879</v>
      </c>
      <c r="AA21" s="27">
        <f t="shared" si="31"/>
        <v>5.3887638540914698E-3</v>
      </c>
      <c r="AB21" s="27">
        <f t="shared" si="32"/>
        <v>2.9517956543879826</v>
      </c>
      <c r="AC21" s="26">
        <f t="shared" si="3"/>
        <v>5.2332990568107345</v>
      </c>
      <c r="AD21" s="26">
        <f t="shared" si="4"/>
        <v>2.0549634857462764</v>
      </c>
      <c r="AE21" s="26">
        <f t="shared" si="5"/>
        <v>1.2090348227306293E-2</v>
      </c>
      <c r="AF21" s="26">
        <f t="shared" si="6"/>
        <v>8.6705402268212155E-3</v>
      </c>
      <c r="AG21" s="26">
        <f t="shared" si="7"/>
        <v>0</v>
      </c>
      <c r="AH21" s="26">
        <f t="shared" si="8"/>
        <v>0.3755232640538686</v>
      </c>
      <c r="AI21" s="26">
        <f t="shared" si="9"/>
        <v>0.30084859787518992</v>
      </c>
      <c r="AJ21" s="26">
        <f t="shared" si="10"/>
        <v>1.4604707059801568E-2</v>
      </c>
      <c r="AK21" s="26">
        <f t="shared" si="33"/>
        <v>7.9999999999999973</v>
      </c>
      <c r="AL21" s="26">
        <f t="shared" si="34"/>
        <v>2.6166495284053672</v>
      </c>
      <c r="AM21" s="26">
        <f t="shared" si="35"/>
        <v>1.3699756571641843</v>
      </c>
      <c r="AN21" s="26">
        <f t="shared" si="36"/>
        <v>1.2090348227306293E-2</v>
      </c>
      <c r="AO21" s="26">
        <f t="shared" si="37"/>
        <v>8.6705402268212155E-3</v>
      </c>
      <c r="AP21" s="26">
        <f t="shared" si="38"/>
        <v>0</v>
      </c>
      <c r="AQ21" s="26">
        <f t="shared" si="39"/>
        <v>0.3755232640538686</v>
      </c>
      <c r="AR21" s="26">
        <f t="shared" si="40"/>
        <v>0.60169719575037983</v>
      </c>
      <c r="AS21" s="26">
        <f t="shared" si="41"/>
        <v>2.9209414119603136E-2</v>
      </c>
      <c r="AT21" s="26">
        <f t="shared" si="42"/>
        <v>5.0138159479475313</v>
      </c>
      <c r="AU21" s="26"/>
      <c r="AV21" s="33">
        <f t="shared" si="12"/>
        <v>15232</v>
      </c>
      <c r="AW21" s="26">
        <f t="shared" si="13"/>
        <v>0.37312412298512654</v>
      </c>
      <c r="AX21" s="26">
        <f t="shared" si="14"/>
        <v>0.59785307584769232</v>
      </c>
      <c r="AY21" s="26">
        <f t="shared" si="43"/>
        <v>0</v>
      </c>
      <c r="AZ21" s="26">
        <f t="shared" si="44"/>
        <v>3</v>
      </c>
      <c r="BA21" s="38" t="str">
        <f t="shared" si="45"/>
        <v>26hHP04.6</v>
      </c>
    </row>
    <row r="22" spans="1:53">
      <c r="A22" s="37">
        <v>15239</v>
      </c>
      <c r="B22" s="38" t="s">
        <v>150</v>
      </c>
      <c r="C22" s="39">
        <v>61.51</v>
      </c>
      <c r="D22" s="39">
        <v>24.05</v>
      </c>
      <c r="E22" s="39">
        <v>0.28699999999999998</v>
      </c>
      <c r="F22" s="39">
        <v>0.1515</v>
      </c>
      <c r="G22" s="39">
        <v>9.0399999999999994E-2</v>
      </c>
      <c r="H22" s="39">
        <v>5.39</v>
      </c>
      <c r="I22" s="39">
        <v>7.81</v>
      </c>
      <c r="J22" s="39">
        <v>0.86219999999999997</v>
      </c>
      <c r="K22" s="26">
        <f t="shared" si="15"/>
        <v>100.15110000000001</v>
      </c>
      <c r="L22" s="27">
        <f t="shared" si="16"/>
        <v>1.0237283283653134</v>
      </c>
      <c r="M22" s="27">
        <f t="shared" si="17"/>
        <v>0.23587386254365825</v>
      </c>
      <c r="N22" s="27">
        <f t="shared" si="18"/>
        <v>3.9947441971816874E-3</v>
      </c>
      <c r="O22" s="27">
        <f t="shared" si="19"/>
        <v>1.462081424906919E-3</v>
      </c>
      <c r="P22" s="27">
        <f t="shared" si="20"/>
        <v>5.895918771979254E-4</v>
      </c>
      <c r="Q22" s="27">
        <f t="shared" si="21"/>
        <v>9.611715236441061E-2</v>
      </c>
      <c r="R22" s="27">
        <f t="shared" si="22"/>
        <v>0.12601054487217753</v>
      </c>
      <c r="S22" s="27">
        <f t="shared" si="23"/>
        <v>9.153254915283026E-3</v>
      </c>
      <c r="T22" s="27">
        <f t="shared" si="24"/>
        <v>2.0474566567306267</v>
      </c>
      <c r="U22" s="27">
        <f t="shared" si="25"/>
        <v>0.70762158763097471</v>
      </c>
      <c r="V22" s="27">
        <f t="shared" si="26"/>
        <v>3.9947441971816874E-3</v>
      </c>
      <c r="W22" s="27">
        <f t="shared" si="27"/>
        <v>1.462081424906919E-3</v>
      </c>
      <c r="X22" s="27">
        <f t="shared" si="28"/>
        <v>5.895918771979254E-4</v>
      </c>
      <c r="Y22" s="27">
        <f t="shared" si="29"/>
        <v>9.611715236441061E-2</v>
      </c>
      <c r="Z22" s="27">
        <f t="shared" si="30"/>
        <v>0.12601054487217753</v>
      </c>
      <c r="AA22" s="27">
        <f t="shared" si="31"/>
        <v>9.153254915283026E-3</v>
      </c>
      <c r="AB22" s="27">
        <f t="shared" si="32"/>
        <v>2.9924056140127591</v>
      </c>
      <c r="AC22" s="26">
        <f t="shared" si="3"/>
        <v>5.4737409852270025</v>
      </c>
      <c r="AD22" s="26">
        <f t="shared" si="4"/>
        <v>1.8917798691924457</v>
      </c>
      <c r="AE22" s="26">
        <f t="shared" si="5"/>
        <v>1.067968641276491E-2</v>
      </c>
      <c r="AF22" s="26">
        <f t="shared" si="6"/>
        <v>3.9087787245427486E-3</v>
      </c>
      <c r="AG22" s="26">
        <f t="shared" si="7"/>
        <v>1.5762351853291544E-3</v>
      </c>
      <c r="AH22" s="26">
        <f t="shared" si="8"/>
        <v>0.2569628981159926</v>
      </c>
      <c r="AI22" s="26">
        <f t="shared" si="9"/>
        <v>0.33688092090750965</v>
      </c>
      <c r="AJ22" s="26">
        <f t="shared" si="10"/>
        <v>2.4470626234412613E-2</v>
      </c>
      <c r="AK22" s="26">
        <f t="shared" si="33"/>
        <v>8</v>
      </c>
      <c r="AL22" s="26">
        <f t="shared" si="34"/>
        <v>2.7368704926135012</v>
      </c>
      <c r="AM22" s="26">
        <f t="shared" si="35"/>
        <v>1.2611865794616304</v>
      </c>
      <c r="AN22" s="26">
        <f t="shared" si="36"/>
        <v>1.067968641276491E-2</v>
      </c>
      <c r="AO22" s="26">
        <f t="shared" si="37"/>
        <v>3.9087787245427486E-3</v>
      </c>
      <c r="AP22" s="26">
        <f t="shared" si="38"/>
        <v>1.5762351853291544E-3</v>
      </c>
      <c r="AQ22" s="26">
        <f t="shared" si="39"/>
        <v>0.2569628981159926</v>
      </c>
      <c r="AR22" s="26">
        <f t="shared" si="40"/>
        <v>0.6737618418150193</v>
      </c>
      <c r="AS22" s="26">
        <f t="shared" si="41"/>
        <v>4.8941252468825226E-2</v>
      </c>
      <c r="AT22" s="26">
        <f t="shared" si="42"/>
        <v>4.9938877647976057</v>
      </c>
      <c r="AU22" s="26"/>
      <c r="AV22" s="33">
        <f t="shared" si="12"/>
        <v>15239</v>
      </c>
      <c r="AW22" s="26">
        <f t="shared" si="13"/>
        <v>0.26229643583577283</v>
      </c>
      <c r="AX22" s="26">
        <f t="shared" si="14"/>
        <v>0.68774648404864991</v>
      </c>
      <c r="AY22" s="26">
        <f t="shared" si="43"/>
        <v>0</v>
      </c>
      <c r="AZ22" s="26">
        <f t="shared" si="44"/>
        <v>3</v>
      </c>
      <c r="BA22" s="38" t="str">
        <f t="shared" si="45"/>
        <v>26hHP06.1</v>
      </c>
    </row>
    <row r="23" spans="1:53">
      <c r="A23" s="37">
        <v>15242</v>
      </c>
      <c r="B23" s="38" t="s">
        <v>152</v>
      </c>
      <c r="C23" s="39">
        <v>61.54</v>
      </c>
      <c r="D23" s="39">
        <v>23.47</v>
      </c>
      <c r="E23" s="39">
        <v>0.20730000000000001</v>
      </c>
      <c r="F23" s="39">
        <v>0.15909999999999999</v>
      </c>
      <c r="G23" s="39">
        <v>0</v>
      </c>
      <c r="H23" s="39">
        <v>5.0999999999999996</v>
      </c>
      <c r="I23" s="39">
        <v>8.0299999999999994</v>
      </c>
      <c r="J23" s="39">
        <v>0.94269999999999998</v>
      </c>
      <c r="K23" s="26">
        <f t="shared" si="15"/>
        <v>99.449099999999987</v>
      </c>
      <c r="L23" s="27">
        <f t="shared" si="16"/>
        <v>1.0242276268509412</v>
      </c>
      <c r="M23" s="27">
        <f t="shared" si="17"/>
        <v>0.23018542843657624</v>
      </c>
      <c r="N23" s="27">
        <f t="shared" si="18"/>
        <v>2.8854023417274003E-3</v>
      </c>
      <c r="O23" s="27">
        <f t="shared" si="19"/>
        <v>1.5354267637141307E-3</v>
      </c>
      <c r="P23" s="27">
        <f t="shared" si="20"/>
        <v>0</v>
      </c>
      <c r="Q23" s="27">
        <f t="shared" si="21"/>
        <v>9.0945728582280908E-2</v>
      </c>
      <c r="R23" s="27">
        <f t="shared" si="22"/>
        <v>0.1295601376854783</v>
      </c>
      <c r="S23" s="27">
        <f t="shared" si="23"/>
        <v>1.0007855959913372E-2</v>
      </c>
      <c r="T23" s="27">
        <f t="shared" si="24"/>
        <v>2.0484552537018823</v>
      </c>
      <c r="U23" s="27">
        <f t="shared" si="25"/>
        <v>0.69055628530972868</v>
      </c>
      <c r="V23" s="27">
        <f t="shared" si="26"/>
        <v>2.8854023417274003E-3</v>
      </c>
      <c r="W23" s="27">
        <f t="shared" si="27"/>
        <v>1.5354267637141307E-3</v>
      </c>
      <c r="X23" s="27">
        <f t="shared" si="28"/>
        <v>0</v>
      </c>
      <c r="Y23" s="27">
        <f t="shared" si="29"/>
        <v>9.0945728582280908E-2</v>
      </c>
      <c r="Z23" s="27">
        <f t="shared" si="30"/>
        <v>0.1295601376854783</v>
      </c>
      <c r="AA23" s="27">
        <f t="shared" si="31"/>
        <v>1.0007855959913372E-2</v>
      </c>
      <c r="AB23" s="27">
        <f t="shared" si="32"/>
        <v>2.9739460903447252</v>
      </c>
      <c r="AC23" s="26">
        <f t="shared" si="3"/>
        <v>5.5104031921827756</v>
      </c>
      <c r="AD23" s="26">
        <f t="shared" si="4"/>
        <v>1.8576161485958416</v>
      </c>
      <c r="AE23" s="26">
        <f t="shared" si="5"/>
        <v>7.7618147849961563E-3</v>
      </c>
      <c r="AF23" s="26">
        <f t="shared" si="6"/>
        <v>4.1303418880364482E-3</v>
      </c>
      <c r="AG23" s="26">
        <f t="shared" si="7"/>
        <v>0</v>
      </c>
      <c r="AH23" s="26">
        <f t="shared" si="8"/>
        <v>0.24464660977560337</v>
      </c>
      <c r="AI23" s="26">
        <f t="shared" si="9"/>
        <v>0.3485204741433906</v>
      </c>
      <c r="AJ23" s="26">
        <f t="shared" si="10"/>
        <v>2.6921418629356018E-2</v>
      </c>
      <c r="AK23" s="26">
        <f t="shared" si="33"/>
        <v>8</v>
      </c>
      <c r="AL23" s="26">
        <f t="shared" si="34"/>
        <v>2.7552015960913878</v>
      </c>
      <c r="AM23" s="26">
        <f t="shared" si="35"/>
        <v>1.238410765730561</v>
      </c>
      <c r="AN23" s="26">
        <f t="shared" si="36"/>
        <v>7.7618147849961563E-3</v>
      </c>
      <c r="AO23" s="26">
        <f t="shared" si="37"/>
        <v>4.1303418880364482E-3</v>
      </c>
      <c r="AP23" s="26">
        <f t="shared" si="38"/>
        <v>0</v>
      </c>
      <c r="AQ23" s="26">
        <f t="shared" si="39"/>
        <v>0.24464660977560337</v>
      </c>
      <c r="AR23" s="26">
        <f t="shared" si="40"/>
        <v>0.6970409482867812</v>
      </c>
      <c r="AS23" s="26">
        <f t="shared" si="41"/>
        <v>5.3842837258712035E-2</v>
      </c>
      <c r="AT23" s="26">
        <f t="shared" si="42"/>
        <v>5.0010349138160777</v>
      </c>
      <c r="AU23" s="26"/>
      <c r="AV23" s="33">
        <f t="shared" si="12"/>
        <v>15242</v>
      </c>
      <c r="AW23" s="26">
        <f t="shared" si="13"/>
        <v>0.24574499274499345</v>
      </c>
      <c r="AX23" s="26">
        <f t="shared" si="14"/>
        <v>0.70017043333162998</v>
      </c>
      <c r="AY23" s="26">
        <f t="shared" si="43"/>
        <v>0</v>
      </c>
      <c r="AZ23" s="26">
        <f t="shared" si="44"/>
        <v>3</v>
      </c>
      <c r="BA23" s="38" t="str">
        <f t="shared" si="45"/>
        <v>26hHP06.4</v>
      </c>
    </row>
    <row r="24" spans="1:53">
      <c r="A24" s="37">
        <v>15243</v>
      </c>
      <c r="B24" s="38" t="s">
        <v>153</v>
      </c>
      <c r="C24" s="39">
        <v>61.76</v>
      </c>
      <c r="D24" s="39">
        <v>23.4</v>
      </c>
      <c r="E24" s="39">
        <v>0.20960000000000001</v>
      </c>
      <c r="F24" s="39">
        <v>0.21249999999999999</v>
      </c>
      <c r="G24" s="39">
        <v>3.49E-2</v>
      </c>
      <c r="H24" s="39">
        <v>4.84</v>
      </c>
      <c r="I24" s="39">
        <v>8.1300000000000008</v>
      </c>
      <c r="J24" s="39">
        <v>0.93049999999999999</v>
      </c>
      <c r="K24" s="26">
        <f t="shared" si="15"/>
        <v>99.517499999999984</v>
      </c>
      <c r="L24" s="27">
        <f t="shared" si="16"/>
        <v>1.0278891490788775</v>
      </c>
      <c r="M24" s="27">
        <f t="shared" si="17"/>
        <v>0.22949889328572151</v>
      </c>
      <c r="N24" s="27">
        <f t="shared" si="18"/>
        <v>2.9174159711821664E-3</v>
      </c>
      <c r="O24" s="27">
        <f t="shared" si="19"/>
        <v>2.0507742758595396E-3</v>
      </c>
      <c r="P24" s="27">
        <f t="shared" si="20"/>
        <v>2.276189879890221E-4</v>
      </c>
      <c r="Q24" s="27">
        <f t="shared" si="21"/>
        <v>8.630927967416463E-2</v>
      </c>
      <c r="R24" s="27">
        <f t="shared" si="22"/>
        <v>0.13117358896425141</v>
      </c>
      <c r="S24" s="27">
        <f t="shared" si="23"/>
        <v>9.8783387829631825E-3</v>
      </c>
      <c r="T24" s="27">
        <f t="shared" si="24"/>
        <v>2.055778298157755</v>
      </c>
      <c r="U24" s="27">
        <f t="shared" si="25"/>
        <v>0.68849667985716456</v>
      </c>
      <c r="V24" s="27">
        <f t="shared" si="26"/>
        <v>2.9174159711821664E-3</v>
      </c>
      <c r="W24" s="27">
        <f t="shared" si="27"/>
        <v>2.0507742758595396E-3</v>
      </c>
      <c r="X24" s="27">
        <f t="shared" si="28"/>
        <v>2.276189879890221E-4</v>
      </c>
      <c r="Y24" s="27">
        <f t="shared" si="29"/>
        <v>8.630927967416463E-2</v>
      </c>
      <c r="Z24" s="27">
        <f t="shared" si="30"/>
        <v>0.13117358896425141</v>
      </c>
      <c r="AA24" s="27">
        <f t="shared" si="31"/>
        <v>9.8783387829631825E-3</v>
      </c>
      <c r="AB24" s="27">
        <f t="shared" si="32"/>
        <v>2.9768319946713295</v>
      </c>
      <c r="AC24" s="26">
        <f t="shared" si="3"/>
        <v>5.5247412063232204</v>
      </c>
      <c r="AD24" s="26">
        <f t="shared" si="4"/>
        <v>1.8502802471610256</v>
      </c>
      <c r="AE24" s="26">
        <f t="shared" si="5"/>
        <v>7.8403241470247007E-3</v>
      </c>
      <c r="AF24" s="26">
        <f t="shared" si="6"/>
        <v>5.5112932930861339E-3</v>
      </c>
      <c r="AG24" s="26">
        <f t="shared" si="7"/>
        <v>6.1170798592993054E-4</v>
      </c>
      <c r="AH24" s="26">
        <f t="shared" si="8"/>
        <v>0.23194934703379252</v>
      </c>
      <c r="AI24" s="26">
        <f t="shared" si="9"/>
        <v>0.35251862167312997</v>
      </c>
      <c r="AJ24" s="26">
        <f t="shared" si="10"/>
        <v>2.6547252382790505E-2</v>
      </c>
      <c r="AK24" s="26">
        <f t="shared" si="33"/>
        <v>7.9999999999999982</v>
      </c>
      <c r="AL24" s="26">
        <f t="shared" si="34"/>
        <v>2.7623706031616102</v>
      </c>
      <c r="AM24" s="26">
        <f t="shared" si="35"/>
        <v>1.233520164774017</v>
      </c>
      <c r="AN24" s="26">
        <f t="shared" si="36"/>
        <v>7.8403241470247007E-3</v>
      </c>
      <c r="AO24" s="26">
        <f t="shared" si="37"/>
        <v>5.5112932930861339E-3</v>
      </c>
      <c r="AP24" s="26">
        <f t="shared" si="38"/>
        <v>6.1170798592993054E-4</v>
      </c>
      <c r="AQ24" s="26">
        <f t="shared" si="39"/>
        <v>0.23194934703379252</v>
      </c>
      <c r="AR24" s="26">
        <f t="shared" si="40"/>
        <v>0.70503724334625995</v>
      </c>
      <c r="AS24" s="26">
        <f t="shared" si="41"/>
        <v>5.3094504765581009E-2</v>
      </c>
      <c r="AT24" s="26">
        <f t="shared" si="42"/>
        <v>4.9999351885073002</v>
      </c>
      <c r="AU24" s="26"/>
      <c r="AV24" s="33">
        <f t="shared" si="12"/>
        <v>15243</v>
      </c>
      <c r="AW24" s="26">
        <f t="shared" si="13"/>
        <v>0.23427307941848391</v>
      </c>
      <c r="AX24" s="26">
        <f t="shared" si="14"/>
        <v>0.7121005004570401</v>
      </c>
      <c r="AY24" s="26">
        <f t="shared" si="43"/>
        <v>0</v>
      </c>
      <c r="AZ24" s="26">
        <f t="shared" si="44"/>
        <v>3</v>
      </c>
      <c r="BA24" s="38" t="str">
        <f t="shared" si="45"/>
        <v>26hHP06.5</v>
      </c>
    </row>
    <row r="25" spans="1:53">
      <c r="A25" s="37">
        <v>15249</v>
      </c>
      <c r="B25" s="38" t="s">
        <v>217</v>
      </c>
      <c r="C25" s="39">
        <v>62.48</v>
      </c>
      <c r="D25" s="39">
        <v>23.07</v>
      </c>
      <c r="E25" s="39">
        <v>0.30840000000000001</v>
      </c>
      <c r="F25" s="39">
        <v>0.1802</v>
      </c>
      <c r="G25" s="39">
        <v>4.7800000000000002E-2</v>
      </c>
      <c r="H25" s="39">
        <v>4.41</v>
      </c>
      <c r="I25" s="39">
        <v>8.36</v>
      </c>
      <c r="J25" s="39">
        <v>1.1162000000000001</v>
      </c>
      <c r="K25" s="26">
        <f t="shared" si="15"/>
        <v>99.9726</v>
      </c>
      <c r="L25" s="27">
        <f t="shared" si="16"/>
        <v>1.0398723127339422</v>
      </c>
      <c r="M25" s="27">
        <f t="shared" si="17"/>
        <v>0.22626237043169214</v>
      </c>
      <c r="N25" s="27">
        <f t="shared" si="18"/>
        <v>4.2926101408042941E-3</v>
      </c>
      <c r="O25" s="27">
        <f t="shared" si="19"/>
        <v>1.7390565859288897E-3</v>
      </c>
      <c r="P25" s="27">
        <f t="shared" si="20"/>
        <v>3.1175322710244287E-4</v>
      </c>
      <c r="Q25" s="27">
        <f t="shared" si="21"/>
        <v>7.864130647997232E-2</v>
      </c>
      <c r="R25" s="27">
        <f t="shared" si="22"/>
        <v>0.13488452690542949</v>
      </c>
      <c r="S25" s="27">
        <f t="shared" si="23"/>
        <v>1.1849760074737781E-2</v>
      </c>
      <c r="T25" s="27">
        <f t="shared" si="24"/>
        <v>2.0797446254678844</v>
      </c>
      <c r="U25" s="27">
        <f t="shared" si="25"/>
        <v>0.67878711129507641</v>
      </c>
      <c r="V25" s="27">
        <f t="shared" si="26"/>
        <v>4.2926101408042941E-3</v>
      </c>
      <c r="W25" s="27">
        <f t="shared" si="27"/>
        <v>1.7390565859288897E-3</v>
      </c>
      <c r="X25" s="27">
        <f t="shared" si="28"/>
        <v>3.1175322710244287E-4</v>
      </c>
      <c r="Y25" s="27">
        <f t="shared" si="29"/>
        <v>7.864130647997232E-2</v>
      </c>
      <c r="Z25" s="27">
        <f t="shared" si="30"/>
        <v>0.13488452690542949</v>
      </c>
      <c r="AA25" s="27">
        <f t="shared" si="31"/>
        <v>1.1849760074737781E-2</v>
      </c>
      <c r="AB25" s="27">
        <f t="shared" si="32"/>
        <v>2.9902507501769362</v>
      </c>
      <c r="AC25" s="26">
        <f t="shared" si="3"/>
        <v>5.5640674959310985</v>
      </c>
      <c r="AD25" s="26">
        <f t="shared" si="4"/>
        <v>1.8160005110070769</v>
      </c>
      <c r="AE25" s="26">
        <f t="shared" si="5"/>
        <v>1.148428141834004E-2</v>
      </c>
      <c r="AF25" s="26">
        <f t="shared" si="6"/>
        <v>4.6526040288119332E-3</v>
      </c>
      <c r="AG25" s="26">
        <f t="shared" si="7"/>
        <v>8.3405240067976536E-4</v>
      </c>
      <c r="AH25" s="26">
        <f t="shared" si="8"/>
        <v>0.21039387810622648</v>
      </c>
      <c r="AI25" s="26">
        <f t="shared" si="9"/>
        <v>0.36086479208460553</v>
      </c>
      <c r="AJ25" s="26">
        <f t="shared" si="10"/>
        <v>3.1702385023159994E-2</v>
      </c>
      <c r="AK25" s="26">
        <f t="shared" si="33"/>
        <v>8</v>
      </c>
      <c r="AL25" s="26">
        <f t="shared" si="34"/>
        <v>2.7820337479655493</v>
      </c>
      <c r="AM25" s="26">
        <f t="shared" si="35"/>
        <v>1.2106670073380512</v>
      </c>
      <c r="AN25" s="26">
        <f t="shared" si="36"/>
        <v>1.148428141834004E-2</v>
      </c>
      <c r="AO25" s="26">
        <f t="shared" si="37"/>
        <v>4.6526040288119332E-3</v>
      </c>
      <c r="AP25" s="26">
        <f t="shared" si="38"/>
        <v>8.3405240067976536E-4</v>
      </c>
      <c r="AQ25" s="26">
        <f t="shared" si="39"/>
        <v>0.21039387810622648</v>
      </c>
      <c r="AR25" s="26">
        <f t="shared" si="40"/>
        <v>0.72172958416921107</v>
      </c>
      <c r="AS25" s="26">
        <f t="shared" si="41"/>
        <v>6.3404770046319989E-2</v>
      </c>
      <c r="AT25" s="26">
        <f t="shared" si="42"/>
        <v>5.0051999254731907</v>
      </c>
      <c r="AU25" s="26"/>
      <c r="AV25" s="33">
        <f t="shared" si="12"/>
        <v>15249</v>
      </c>
      <c r="AW25" s="26">
        <f t="shared" si="13"/>
        <v>0.21133893673266174</v>
      </c>
      <c r="AX25" s="26">
        <f t="shared" si="14"/>
        <v>0.72497148823796098</v>
      </c>
      <c r="AY25" s="26">
        <f t="shared" si="43"/>
        <v>0</v>
      </c>
      <c r="AZ25" s="26">
        <f t="shared" si="44"/>
        <v>3</v>
      </c>
      <c r="BA25" s="38" t="str">
        <f t="shared" si="45"/>
        <v>26hHP08.1</v>
      </c>
    </row>
    <row r="26" spans="1:53">
      <c r="A26" s="37">
        <v>15251</v>
      </c>
      <c r="B26" s="38" t="s">
        <v>218</v>
      </c>
      <c r="C26" s="39">
        <v>60.66</v>
      </c>
      <c r="D26" s="39">
        <v>24.28</v>
      </c>
      <c r="E26" s="39">
        <v>0.216</v>
      </c>
      <c r="F26" s="39">
        <v>0.17699999999999999</v>
      </c>
      <c r="G26" s="39">
        <v>0</v>
      </c>
      <c r="H26" s="39">
        <v>5.67</v>
      </c>
      <c r="I26" s="39">
        <v>7.86</v>
      </c>
      <c r="J26" s="39">
        <v>0.84940000000000004</v>
      </c>
      <c r="K26" s="26">
        <f t="shared" si="15"/>
        <v>99.712400000000002</v>
      </c>
      <c r="L26" s="27">
        <f t="shared" si="16"/>
        <v>1.0095815379391955</v>
      </c>
      <c r="M26" s="27">
        <f t="shared" si="17"/>
        <v>0.23812962089646664</v>
      </c>
      <c r="N26" s="27">
        <f t="shared" si="18"/>
        <v>3.006497374882385E-3</v>
      </c>
      <c r="O26" s="27">
        <f t="shared" si="19"/>
        <v>1.7081743380100638E-3</v>
      </c>
      <c r="P26" s="27">
        <f t="shared" si="20"/>
        <v>0</v>
      </c>
      <c r="Q26" s="27">
        <f t="shared" si="21"/>
        <v>0.10111025118853584</v>
      </c>
      <c r="R26" s="27">
        <f t="shared" si="22"/>
        <v>0.12681727051156408</v>
      </c>
      <c r="S26" s="27">
        <f t="shared" si="23"/>
        <v>9.0173680411057798E-3</v>
      </c>
      <c r="T26" s="27">
        <f t="shared" si="24"/>
        <v>2.0191630758783909</v>
      </c>
      <c r="U26" s="27">
        <f t="shared" si="25"/>
        <v>0.71438886268939994</v>
      </c>
      <c r="V26" s="27">
        <f t="shared" si="26"/>
        <v>3.006497374882385E-3</v>
      </c>
      <c r="W26" s="27">
        <f t="shared" si="27"/>
        <v>1.7081743380100638E-3</v>
      </c>
      <c r="X26" s="27">
        <f t="shared" si="28"/>
        <v>0</v>
      </c>
      <c r="Y26" s="27">
        <f t="shared" si="29"/>
        <v>0.10111025118853584</v>
      </c>
      <c r="Z26" s="27">
        <f t="shared" si="30"/>
        <v>0.12681727051156408</v>
      </c>
      <c r="AA26" s="27">
        <f t="shared" si="31"/>
        <v>9.0173680411057798E-3</v>
      </c>
      <c r="AB26" s="27">
        <f t="shared" si="32"/>
        <v>2.9752115000218891</v>
      </c>
      <c r="AC26" s="26">
        <f t="shared" si="3"/>
        <v>5.429296238908826</v>
      </c>
      <c r="AD26" s="26">
        <f t="shared" si="4"/>
        <v>1.9209091190569654</v>
      </c>
      <c r="AE26" s="26">
        <f t="shared" si="5"/>
        <v>8.0841241030703628E-3</v>
      </c>
      <c r="AF26" s="26">
        <f t="shared" si="6"/>
        <v>4.5930834510353206E-3</v>
      </c>
      <c r="AG26" s="26">
        <f t="shared" si="7"/>
        <v>0</v>
      </c>
      <c r="AH26" s="26">
        <f t="shared" si="8"/>
        <v>0.27187378426788672</v>
      </c>
      <c r="AI26" s="26">
        <f t="shared" si="9"/>
        <v>0.34099698931825467</v>
      </c>
      <c r="AJ26" s="26">
        <f t="shared" si="10"/>
        <v>2.4246660893961824E-2</v>
      </c>
      <c r="AK26" s="26">
        <f t="shared" si="33"/>
        <v>7.9999999999999991</v>
      </c>
      <c r="AL26" s="26">
        <f t="shared" si="34"/>
        <v>2.714648119454413</v>
      </c>
      <c r="AM26" s="26">
        <f t="shared" si="35"/>
        <v>1.2806060793713103</v>
      </c>
      <c r="AN26" s="26">
        <f t="shared" si="36"/>
        <v>8.0841241030703628E-3</v>
      </c>
      <c r="AO26" s="26">
        <f t="shared" si="37"/>
        <v>4.5930834510353206E-3</v>
      </c>
      <c r="AP26" s="26">
        <f t="shared" si="38"/>
        <v>0</v>
      </c>
      <c r="AQ26" s="26">
        <f t="shared" si="39"/>
        <v>0.27187378426788672</v>
      </c>
      <c r="AR26" s="26">
        <f t="shared" si="40"/>
        <v>0.68199397863650935</v>
      </c>
      <c r="AS26" s="26">
        <f t="shared" si="41"/>
        <v>4.8493321787923649E-2</v>
      </c>
      <c r="AT26" s="26">
        <f t="shared" si="42"/>
        <v>5.010292491072148</v>
      </c>
      <c r="AU26" s="26"/>
      <c r="AV26" s="33">
        <f t="shared" si="12"/>
        <v>15251</v>
      </c>
      <c r="AW26" s="26">
        <f>AQ26/($AQ26+$AR26+$AS26)</f>
        <v>0.27123337928800362</v>
      </c>
      <c r="AX26" s="26">
        <f t="shared" ref="AX26:AX28" si="46">AR26/($AQ26+$AR26+$AS26)</f>
        <v>0.68038752606387454</v>
      </c>
      <c r="AY26" s="26">
        <f t="shared" si="43"/>
        <v>0</v>
      </c>
      <c r="AZ26" s="26">
        <f t="shared" si="44"/>
        <v>3</v>
      </c>
      <c r="BA26" s="38" t="str">
        <f t="shared" si="45"/>
        <v>26hHP08.3</v>
      </c>
    </row>
    <row r="27" spans="1:53">
      <c r="A27" s="37">
        <v>15252</v>
      </c>
      <c r="B27" s="38" t="s">
        <v>219</v>
      </c>
      <c r="C27" s="39">
        <v>62.91</v>
      </c>
      <c r="D27" s="39">
        <v>22.84</v>
      </c>
      <c r="E27" s="39">
        <v>0.29199999999999998</v>
      </c>
      <c r="F27" s="39">
        <v>0.21390000000000001</v>
      </c>
      <c r="G27" s="39">
        <v>0</v>
      </c>
      <c r="H27" s="39">
        <v>4.3600000000000003</v>
      </c>
      <c r="I27" s="39">
        <v>8.3800000000000008</v>
      </c>
      <c r="J27" s="39">
        <v>1.1123000000000001</v>
      </c>
      <c r="K27" s="26">
        <f t="shared" si="15"/>
        <v>100.1082</v>
      </c>
      <c r="L27" s="27">
        <f t="shared" si="16"/>
        <v>1.0470289243612725</v>
      </c>
      <c r="M27" s="27">
        <f t="shared" si="17"/>
        <v>0.22400661207888375</v>
      </c>
      <c r="N27" s="27">
        <f t="shared" si="18"/>
        <v>4.0643390438224831E-3</v>
      </c>
      <c r="O27" s="27">
        <f t="shared" si="19"/>
        <v>2.0642852593240261E-3</v>
      </c>
      <c r="P27" s="27">
        <f t="shared" si="20"/>
        <v>0</v>
      </c>
      <c r="Q27" s="27">
        <f t="shared" si="21"/>
        <v>7.7749681689949959E-2</v>
      </c>
      <c r="R27" s="27">
        <f t="shared" si="22"/>
        <v>0.13520721716118411</v>
      </c>
      <c r="S27" s="27">
        <f t="shared" si="23"/>
        <v>1.1808357042761902E-2</v>
      </c>
      <c r="T27" s="27">
        <f t="shared" si="24"/>
        <v>2.094057848722545</v>
      </c>
      <c r="U27" s="27">
        <f t="shared" si="25"/>
        <v>0.67201983623665129</v>
      </c>
      <c r="V27" s="27">
        <f t="shared" si="26"/>
        <v>4.0643390438224831E-3</v>
      </c>
      <c r="W27" s="27">
        <f t="shared" si="27"/>
        <v>2.0642852593240261E-3</v>
      </c>
      <c r="X27" s="27">
        <f t="shared" si="28"/>
        <v>0</v>
      </c>
      <c r="Y27" s="27">
        <f t="shared" si="29"/>
        <v>7.7749681689949959E-2</v>
      </c>
      <c r="Z27" s="27">
        <f t="shared" si="30"/>
        <v>0.13520721716118411</v>
      </c>
      <c r="AA27" s="27">
        <f t="shared" si="31"/>
        <v>1.1808357042761902E-2</v>
      </c>
      <c r="AB27" s="27">
        <f t="shared" si="32"/>
        <v>2.9969715651562385</v>
      </c>
      <c r="AC27" s="26">
        <f t="shared" si="3"/>
        <v>5.5897970419706065</v>
      </c>
      <c r="AD27" s="26">
        <f t="shared" si="4"/>
        <v>1.7938637631394876</v>
      </c>
      <c r="AE27" s="26">
        <f t="shared" si="5"/>
        <v>1.0849189471333807E-2</v>
      </c>
      <c r="AF27" s="26">
        <f t="shared" si="6"/>
        <v>5.5103232431674021E-3</v>
      </c>
      <c r="AG27" s="26">
        <f t="shared" si="7"/>
        <v>0</v>
      </c>
      <c r="AH27" s="26">
        <f t="shared" si="8"/>
        <v>0.20754199364156251</v>
      </c>
      <c r="AI27" s="26">
        <f t="shared" si="9"/>
        <v>0.36091691688542388</v>
      </c>
      <c r="AJ27" s="26">
        <f t="shared" si="10"/>
        <v>3.1520771648419176E-2</v>
      </c>
      <c r="AK27" s="26">
        <f t="shared" si="33"/>
        <v>8.0000000000000018</v>
      </c>
      <c r="AL27" s="26">
        <f t="shared" si="34"/>
        <v>2.7948985209853032</v>
      </c>
      <c r="AM27" s="26">
        <f t="shared" si="35"/>
        <v>1.1959091754263251</v>
      </c>
      <c r="AN27" s="26">
        <f t="shared" si="36"/>
        <v>1.0849189471333807E-2</v>
      </c>
      <c r="AO27" s="26">
        <f t="shared" si="37"/>
        <v>5.5103232431674021E-3</v>
      </c>
      <c r="AP27" s="26">
        <f t="shared" si="38"/>
        <v>0</v>
      </c>
      <c r="AQ27" s="26">
        <f t="shared" si="39"/>
        <v>0.20754199364156251</v>
      </c>
      <c r="AR27" s="26">
        <f t="shared" si="40"/>
        <v>0.72183383377084775</v>
      </c>
      <c r="AS27" s="26">
        <f t="shared" si="41"/>
        <v>6.3041543296838351E-2</v>
      </c>
      <c r="AT27" s="26">
        <f t="shared" si="42"/>
        <v>4.9995845798353793</v>
      </c>
      <c r="AU27" s="26"/>
      <c r="AV27" s="33">
        <f t="shared" si="12"/>
        <v>15252</v>
      </c>
      <c r="AW27" s="26">
        <f t="shared" ref="AW27:AW45" si="47">AQ27/($AQ27+$AR27+$AS27)</f>
        <v>0.20912773170550106</v>
      </c>
      <c r="AX27" s="26">
        <f t="shared" si="46"/>
        <v>0.72734905199712141</v>
      </c>
      <c r="AY27" s="26">
        <f t="shared" si="43"/>
        <v>0</v>
      </c>
      <c r="AZ27" s="26">
        <f t="shared" si="44"/>
        <v>3</v>
      </c>
      <c r="BA27" s="38" t="str">
        <f t="shared" si="45"/>
        <v>26hHP08.4</v>
      </c>
    </row>
    <row r="28" spans="1:53">
      <c r="A28" s="37">
        <v>15253</v>
      </c>
      <c r="B28" s="38" t="s">
        <v>220</v>
      </c>
      <c r="C28" s="39">
        <v>61.63</v>
      </c>
      <c r="D28" s="39">
        <v>23.88</v>
      </c>
      <c r="E28" s="39">
        <v>0.21240000000000001</v>
      </c>
      <c r="F28" s="39">
        <v>0.1961</v>
      </c>
      <c r="G28" s="39">
        <v>2.4799999999999999E-2</v>
      </c>
      <c r="H28" s="39">
        <v>5.32</v>
      </c>
      <c r="I28" s="39">
        <v>8.1999999999999993</v>
      </c>
      <c r="J28" s="39">
        <v>0.85560000000000003</v>
      </c>
      <c r="K28" s="26">
        <f t="shared" si="15"/>
        <v>100.31890000000001</v>
      </c>
      <c r="L28" s="27">
        <f t="shared" si="16"/>
        <v>1.0257255223078243</v>
      </c>
      <c r="M28" s="27">
        <f t="shared" si="17"/>
        <v>0.23420656289158248</v>
      </c>
      <c r="N28" s="27">
        <f t="shared" si="18"/>
        <v>2.9563890853010122E-3</v>
      </c>
      <c r="O28" s="27">
        <f t="shared" si="19"/>
        <v>1.8925027552755564E-3</v>
      </c>
      <c r="P28" s="27">
        <f t="shared" si="20"/>
        <v>1.617464441870415E-4</v>
      </c>
      <c r="Q28" s="27">
        <f t="shared" si="21"/>
        <v>9.4868877658379314E-2</v>
      </c>
      <c r="R28" s="27">
        <f t="shared" si="22"/>
        <v>0.13230300485939256</v>
      </c>
      <c r="S28" s="27">
        <f t="shared" si="23"/>
        <v>9.0831882457853841E-3</v>
      </c>
      <c r="T28" s="27">
        <f t="shared" si="24"/>
        <v>2.0514510446156486</v>
      </c>
      <c r="U28" s="27">
        <f t="shared" si="25"/>
        <v>0.70261968867474744</v>
      </c>
      <c r="V28" s="27">
        <f t="shared" si="26"/>
        <v>2.9563890853010122E-3</v>
      </c>
      <c r="W28" s="27">
        <f t="shared" si="27"/>
        <v>1.8925027552755564E-3</v>
      </c>
      <c r="X28" s="27">
        <f t="shared" si="28"/>
        <v>1.617464441870415E-4</v>
      </c>
      <c r="Y28" s="27">
        <f t="shared" si="29"/>
        <v>9.4868877658379314E-2</v>
      </c>
      <c r="Z28" s="27">
        <f t="shared" si="30"/>
        <v>0.13230300485939256</v>
      </c>
      <c r="AA28" s="27">
        <f t="shared" si="31"/>
        <v>9.0831882457853841E-3</v>
      </c>
      <c r="AB28" s="27">
        <f t="shared" si="32"/>
        <v>2.9953364423387172</v>
      </c>
      <c r="AC28" s="26">
        <f t="shared" si="3"/>
        <v>5.4790534128150332</v>
      </c>
      <c r="AD28" s="26">
        <f t="shared" si="4"/>
        <v>1.8765696667480911</v>
      </c>
      <c r="AE28" s="26">
        <f t="shared" si="5"/>
        <v>7.8959786780885416E-3</v>
      </c>
      <c r="AF28" s="26">
        <f t="shared" si="6"/>
        <v>5.0545313802490017E-3</v>
      </c>
      <c r="AG28" s="26">
        <f t="shared" si="7"/>
        <v>4.3199539631214745E-4</v>
      </c>
      <c r="AH28" s="26">
        <f t="shared" si="8"/>
        <v>0.25337755403344808</v>
      </c>
      <c r="AI28" s="26">
        <f t="shared" si="9"/>
        <v>0.35335731369419643</v>
      </c>
      <c r="AJ28" s="26">
        <f t="shared" si="10"/>
        <v>2.4259547254580474E-2</v>
      </c>
      <c r="AK28" s="26">
        <f t="shared" si="33"/>
        <v>7.9999999999999982</v>
      </c>
      <c r="AL28" s="26">
        <f t="shared" si="34"/>
        <v>2.7395267064075166</v>
      </c>
      <c r="AM28" s="26">
        <f t="shared" si="35"/>
        <v>1.2510464444987275</v>
      </c>
      <c r="AN28" s="26">
        <f t="shared" si="36"/>
        <v>7.8959786780885416E-3</v>
      </c>
      <c r="AO28" s="26">
        <f t="shared" si="37"/>
        <v>5.0545313802490017E-3</v>
      </c>
      <c r="AP28" s="26">
        <f t="shared" si="38"/>
        <v>4.3199539631214745E-4</v>
      </c>
      <c r="AQ28" s="26">
        <f t="shared" si="39"/>
        <v>0.25337755403344808</v>
      </c>
      <c r="AR28" s="26">
        <f t="shared" si="40"/>
        <v>0.70671462738839286</v>
      </c>
      <c r="AS28" s="26">
        <f t="shared" si="41"/>
        <v>4.8519094509160948E-2</v>
      </c>
      <c r="AT28" s="26">
        <f t="shared" si="42"/>
        <v>5.0125669322918949</v>
      </c>
      <c r="AU28" s="26"/>
      <c r="AV28" s="33">
        <f t="shared" si="12"/>
        <v>15253</v>
      </c>
      <c r="AW28" s="26">
        <f t="shared" si="47"/>
        <v>0.25121427856293504</v>
      </c>
      <c r="AX28" s="26">
        <f t="shared" si="46"/>
        <v>0.7006808710680511</v>
      </c>
      <c r="AY28" s="26">
        <f t="shared" si="43"/>
        <v>0</v>
      </c>
      <c r="AZ28" s="26">
        <f t="shared" si="44"/>
        <v>3</v>
      </c>
      <c r="BA28" s="38" t="str">
        <f t="shared" si="45"/>
        <v>26hHP08.5</v>
      </c>
    </row>
    <row r="29" spans="1:53">
      <c r="A29" s="37">
        <v>16126.999999999998</v>
      </c>
      <c r="B29" s="38" t="s">
        <v>221</v>
      </c>
      <c r="C29" s="39">
        <v>62.16</v>
      </c>
      <c r="D29" s="39">
        <v>23.24</v>
      </c>
      <c r="E29" s="39">
        <v>0.28120000000000001</v>
      </c>
      <c r="F29" s="39">
        <v>0.19939999999999999</v>
      </c>
      <c r="G29" s="39">
        <v>0.1069</v>
      </c>
      <c r="H29" s="39">
        <v>4.67</v>
      </c>
      <c r="I29" s="39">
        <v>8.35</v>
      </c>
      <c r="J29" s="39">
        <v>1.0757000000000001</v>
      </c>
      <c r="K29" s="26">
        <f t="shared" si="15"/>
        <v>100.08319999999998</v>
      </c>
      <c r="L29" s="27">
        <f t="shared" si="16"/>
        <v>1.03454646222058</v>
      </c>
      <c r="M29" s="27">
        <f t="shared" si="17"/>
        <v>0.22792967008376788</v>
      </c>
      <c r="N29" s="27">
        <f t="shared" si="18"/>
        <v>3.9140141750783645E-3</v>
      </c>
      <c r="O29" s="27">
        <f t="shared" si="19"/>
        <v>1.9243500734418457E-3</v>
      </c>
      <c r="P29" s="27">
        <f t="shared" si="20"/>
        <v>6.9720543885462636E-4</v>
      </c>
      <c r="Q29" s="27">
        <f t="shared" si="21"/>
        <v>8.3277755388088598E-2</v>
      </c>
      <c r="R29" s="27">
        <f t="shared" si="22"/>
        <v>0.13472318177755216</v>
      </c>
      <c r="S29" s="27">
        <f t="shared" si="23"/>
        <v>1.1419805511911334E-2</v>
      </c>
      <c r="T29" s="27">
        <f t="shared" si="24"/>
        <v>2.06909292444116</v>
      </c>
      <c r="U29" s="27">
        <f t="shared" si="25"/>
        <v>0.68378901025130367</v>
      </c>
      <c r="V29" s="27">
        <f t="shared" si="26"/>
        <v>3.9140141750783645E-3</v>
      </c>
      <c r="W29" s="27">
        <f t="shared" si="27"/>
        <v>1.9243500734418457E-3</v>
      </c>
      <c r="X29" s="27">
        <f t="shared" si="28"/>
        <v>6.9720543885462636E-4</v>
      </c>
      <c r="Y29" s="27">
        <f t="shared" si="29"/>
        <v>8.3277755388088598E-2</v>
      </c>
      <c r="Z29" s="27">
        <f t="shared" si="30"/>
        <v>0.13472318177755216</v>
      </c>
      <c r="AA29" s="27">
        <f t="shared" si="31"/>
        <v>1.1419805511911334E-2</v>
      </c>
      <c r="AB29" s="27">
        <f t="shared" si="32"/>
        <v>2.9888382470573913</v>
      </c>
      <c r="AC29" s="26">
        <f t="shared" ref="AC29:AC45" si="48">T29*$AC$3/$AB29</f>
        <v>5.5381864213715799</v>
      </c>
      <c r="AD29" s="26">
        <f t="shared" ref="AD29:AD45" si="49">U29*$AC$3/$AB29</f>
        <v>1.8302469487588129</v>
      </c>
      <c r="AE29" s="26">
        <f t="shared" ref="AE29:AE45" si="50">V29*$AC$3/$AB29</f>
        <v>1.047634927432246E-2</v>
      </c>
      <c r="AF29" s="26">
        <f t="shared" ref="AF29:AF45" si="51">W29*$AC$3/$AB29</f>
        <v>5.1507640477672046E-3</v>
      </c>
      <c r="AG29" s="26">
        <f t="shared" ref="AG29:AG45" si="52">X29*$AC$3/$AB29</f>
        <v>1.8661577006813209E-3</v>
      </c>
      <c r="AH29" s="26">
        <f t="shared" ref="AH29:AH45" si="53">Y29*$AC$3/$AB29</f>
        <v>0.22290334505744033</v>
      </c>
      <c r="AI29" s="26">
        <f t="shared" ref="AI29:AI45" si="54">Z29*$AC$3/$AB29</f>
        <v>0.3606034737013728</v>
      </c>
      <c r="AJ29" s="26">
        <f t="shared" ref="AJ29:AJ45" si="55">AA29*$AC$3/$AB29</f>
        <v>3.056654008802117E-2</v>
      </c>
      <c r="AK29" s="26">
        <f t="shared" si="33"/>
        <v>7.9999999999999964</v>
      </c>
      <c r="AL29" s="26">
        <f t="shared" si="34"/>
        <v>2.76909321068579</v>
      </c>
      <c r="AM29" s="26">
        <f t="shared" si="35"/>
        <v>1.2201646325058753</v>
      </c>
      <c r="AN29" s="26">
        <f t="shared" si="36"/>
        <v>1.047634927432246E-2</v>
      </c>
      <c r="AO29" s="26">
        <f t="shared" si="37"/>
        <v>5.1507640477672046E-3</v>
      </c>
      <c r="AP29" s="26">
        <f t="shared" si="38"/>
        <v>1.8661577006813209E-3</v>
      </c>
      <c r="AQ29" s="26">
        <f t="shared" si="39"/>
        <v>0.22290334505744033</v>
      </c>
      <c r="AR29" s="26">
        <f t="shared" si="40"/>
        <v>0.7212069474027456</v>
      </c>
      <c r="AS29" s="26">
        <f t="shared" si="41"/>
        <v>6.113308017604234E-2</v>
      </c>
      <c r="AT29" s="26">
        <f t="shared" si="42"/>
        <v>5.0119944868506652</v>
      </c>
      <c r="AU29" s="26"/>
      <c r="AV29" s="33">
        <f t="shared" ref="AV29:AV45" si="56">A29</f>
        <v>16126.999999999998</v>
      </c>
      <c r="AW29" s="26">
        <f t="shared" si="47"/>
        <v>0.22174067606422643</v>
      </c>
      <c r="AX29" s="26">
        <f t="shared" ref="AX29:AX45" si="57">AR29/($AQ29+$AR29+$AS29)</f>
        <v>0.71744511531709632</v>
      </c>
      <c r="AY29" s="26">
        <f t="shared" si="43"/>
        <v>0</v>
      </c>
      <c r="AZ29" s="26">
        <f t="shared" si="44"/>
        <v>3</v>
      </c>
      <c r="BA29" s="38" t="str">
        <f t="shared" si="45"/>
        <v>18aHP03.1</v>
      </c>
    </row>
    <row r="30" spans="1:53">
      <c r="A30" s="37">
        <v>16129.000000000002</v>
      </c>
      <c r="B30" s="38" t="s">
        <v>222</v>
      </c>
      <c r="C30" s="39">
        <v>57.29</v>
      </c>
      <c r="D30" s="39">
        <v>26.84</v>
      </c>
      <c r="E30" s="39">
        <v>0.26040000000000002</v>
      </c>
      <c r="F30" s="39">
        <v>0.19900000000000001</v>
      </c>
      <c r="G30" s="39">
        <v>5.1499999999999997E-2</v>
      </c>
      <c r="H30" s="39">
        <v>8.52</v>
      </c>
      <c r="I30" s="39">
        <v>6.53</v>
      </c>
      <c r="J30" s="39">
        <v>0.4294</v>
      </c>
      <c r="K30" s="26">
        <f t="shared" si="15"/>
        <v>100.1203</v>
      </c>
      <c r="L30" s="27">
        <f t="shared" si="16"/>
        <v>0.95349367472035129</v>
      </c>
      <c r="M30" s="27">
        <f t="shared" si="17"/>
        <v>0.26323719212772506</v>
      </c>
      <c r="N30" s="27">
        <f t="shared" si="18"/>
        <v>3.6244996130526531E-3</v>
      </c>
      <c r="O30" s="27">
        <f t="shared" si="19"/>
        <v>1.9204897924519927E-3</v>
      </c>
      <c r="P30" s="27">
        <f t="shared" si="20"/>
        <v>3.3588475304970311E-4</v>
      </c>
      <c r="Q30" s="27">
        <f t="shared" si="21"/>
        <v>0.15193286421981045</v>
      </c>
      <c r="R30" s="27">
        <f t="shared" si="22"/>
        <v>0.10535836850388212</v>
      </c>
      <c r="S30" s="27">
        <f t="shared" si="23"/>
        <v>4.5585799821648478E-3</v>
      </c>
      <c r="T30" s="27">
        <f t="shared" si="24"/>
        <v>1.9069873494407026</v>
      </c>
      <c r="U30" s="27">
        <f t="shared" si="25"/>
        <v>0.78971157638317524</v>
      </c>
      <c r="V30" s="27">
        <f t="shared" si="26"/>
        <v>3.6244996130526531E-3</v>
      </c>
      <c r="W30" s="27">
        <f t="shared" si="27"/>
        <v>1.9204897924519927E-3</v>
      </c>
      <c r="X30" s="27">
        <f t="shared" si="28"/>
        <v>3.3588475304970311E-4</v>
      </c>
      <c r="Y30" s="27">
        <f t="shared" si="29"/>
        <v>0.15193286421981045</v>
      </c>
      <c r="Z30" s="27">
        <f t="shared" si="30"/>
        <v>0.10535836850388212</v>
      </c>
      <c r="AA30" s="27">
        <f t="shared" si="31"/>
        <v>4.5585799821648478E-3</v>
      </c>
      <c r="AB30" s="27">
        <f t="shared" si="32"/>
        <v>2.964429612688289</v>
      </c>
      <c r="AC30" s="26">
        <f t="shared" si="48"/>
        <v>5.1463184452845985</v>
      </c>
      <c r="AD30" s="26">
        <f t="shared" si="49"/>
        <v>2.131166341081113</v>
      </c>
      <c r="AE30" s="26">
        <f t="shared" si="50"/>
        <v>9.7813072640730529E-3</v>
      </c>
      <c r="AF30" s="26">
        <f t="shared" si="51"/>
        <v>5.1827570045365973E-3</v>
      </c>
      <c r="AG30" s="26">
        <f t="shared" si="52"/>
        <v>9.0644015054243497E-4</v>
      </c>
      <c r="AH30" s="26">
        <f t="shared" si="53"/>
        <v>0.41001577792776217</v>
      </c>
      <c r="AI30" s="26">
        <f t="shared" si="54"/>
        <v>0.28432685479305553</v>
      </c>
      <c r="AJ30" s="26">
        <f t="shared" si="55"/>
        <v>1.2302076494320014E-2</v>
      </c>
      <c r="AK30" s="26">
        <f t="shared" si="33"/>
        <v>8.0000000000000018</v>
      </c>
      <c r="AL30" s="26">
        <f t="shared" si="34"/>
        <v>2.5731592226422992</v>
      </c>
      <c r="AM30" s="26">
        <f t="shared" si="35"/>
        <v>1.420777560720742</v>
      </c>
      <c r="AN30" s="26">
        <f t="shared" si="36"/>
        <v>9.7813072640730529E-3</v>
      </c>
      <c r="AO30" s="26">
        <f t="shared" si="37"/>
        <v>5.1827570045365973E-3</v>
      </c>
      <c r="AP30" s="26">
        <f t="shared" si="38"/>
        <v>9.0644015054243497E-4</v>
      </c>
      <c r="AQ30" s="26">
        <f t="shared" si="39"/>
        <v>0.41001577792776217</v>
      </c>
      <c r="AR30" s="26">
        <f t="shared" si="40"/>
        <v>0.56865370958611106</v>
      </c>
      <c r="AS30" s="26">
        <f t="shared" si="41"/>
        <v>2.4604152988640028E-2</v>
      </c>
      <c r="AT30" s="26">
        <f t="shared" si="42"/>
        <v>5.0130809282847055</v>
      </c>
      <c r="AU30" s="26"/>
      <c r="AV30" s="33">
        <f t="shared" si="56"/>
        <v>16129.000000000002</v>
      </c>
      <c r="AW30" s="26">
        <f t="shared" si="47"/>
        <v>0.40867791335811043</v>
      </c>
      <c r="AX30" s="26">
        <f t="shared" si="57"/>
        <v>0.56679821598949554</v>
      </c>
      <c r="AY30" s="26">
        <f t="shared" si="43"/>
        <v>0</v>
      </c>
      <c r="AZ30" s="26">
        <f t="shared" si="44"/>
        <v>3</v>
      </c>
      <c r="BA30" s="38" t="str">
        <f t="shared" si="45"/>
        <v>18aHP03.3</v>
      </c>
    </row>
    <row r="31" spans="1:53">
      <c r="A31" s="37">
        <v>16132.000000000002</v>
      </c>
      <c r="B31" s="38" t="s">
        <v>223</v>
      </c>
      <c r="C31" s="39">
        <v>61.83</v>
      </c>
      <c r="D31" s="39">
        <v>23.84</v>
      </c>
      <c r="E31" s="39">
        <v>0.25740000000000002</v>
      </c>
      <c r="F31" s="39">
        <v>0.1865</v>
      </c>
      <c r="G31" s="39">
        <v>1.8499999999999999E-2</v>
      </c>
      <c r="H31" s="39">
        <v>5.23</v>
      </c>
      <c r="I31" s="39">
        <v>8.1199999999999992</v>
      </c>
      <c r="J31" s="39">
        <v>0.88129999999999997</v>
      </c>
      <c r="K31" s="26">
        <f t="shared" si="15"/>
        <v>100.36370000000001</v>
      </c>
      <c r="L31" s="27">
        <f t="shared" si="16"/>
        <v>1.0290541788786753</v>
      </c>
      <c r="M31" s="27">
        <f t="shared" si="17"/>
        <v>0.23381425709109407</v>
      </c>
      <c r="N31" s="27">
        <f t="shared" si="18"/>
        <v>3.5827427050681756E-3</v>
      </c>
      <c r="O31" s="27">
        <f t="shared" si="19"/>
        <v>1.7998560115190785E-3</v>
      </c>
      <c r="P31" s="27">
        <f t="shared" si="20"/>
        <v>1.206576297363011E-4</v>
      </c>
      <c r="Q31" s="27">
        <f t="shared" si="21"/>
        <v>9.3263953036339053E-2</v>
      </c>
      <c r="R31" s="27">
        <f t="shared" si="22"/>
        <v>0.13101224383637408</v>
      </c>
      <c r="S31" s="27">
        <f t="shared" si="23"/>
        <v>9.3560236103443876E-3</v>
      </c>
      <c r="T31" s="27">
        <f t="shared" si="24"/>
        <v>2.0581083577573507</v>
      </c>
      <c r="U31" s="27">
        <f t="shared" si="25"/>
        <v>0.70144277127328225</v>
      </c>
      <c r="V31" s="27">
        <f t="shared" si="26"/>
        <v>3.5827427050681756E-3</v>
      </c>
      <c r="W31" s="27">
        <f t="shared" si="27"/>
        <v>1.7998560115190785E-3</v>
      </c>
      <c r="X31" s="27">
        <f t="shared" si="28"/>
        <v>1.206576297363011E-4</v>
      </c>
      <c r="Y31" s="27">
        <f t="shared" si="29"/>
        <v>9.3263953036339053E-2</v>
      </c>
      <c r="Z31" s="27">
        <f t="shared" si="30"/>
        <v>0.13101224383637408</v>
      </c>
      <c r="AA31" s="27">
        <f t="shared" si="31"/>
        <v>9.3560236103443876E-3</v>
      </c>
      <c r="AB31" s="27">
        <f t="shared" si="32"/>
        <v>2.9986866058600139</v>
      </c>
      <c r="AC31" s="26">
        <f t="shared" si="48"/>
        <v>5.4906927685885112</v>
      </c>
      <c r="AD31" s="26">
        <f t="shared" si="49"/>
        <v>1.8713333228021289</v>
      </c>
      <c r="AE31" s="26">
        <f t="shared" si="50"/>
        <v>9.5581650928557929E-3</v>
      </c>
      <c r="AF31" s="26">
        <f t="shared" si="51"/>
        <v>4.8017182135720662E-3</v>
      </c>
      <c r="AG31" s="26">
        <f t="shared" si="52"/>
        <v>3.2189460412572024E-4</v>
      </c>
      <c r="AH31" s="26">
        <f t="shared" si="53"/>
        <v>0.24881280452337565</v>
      </c>
      <c r="AI31" s="26">
        <f t="shared" si="54"/>
        <v>0.34951900230014249</v>
      </c>
      <c r="AJ31" s="26">
        <f t="shared" si="55"/>
        <v>2.4960323875288352E-2</v>
      </c>
      <c r="AK31" s="26">
        <f t="shared" si="33"/>
        <v>8</v>
      </c>
      <c r="AL31" s="26">
        <f t="shared" si="34"/>
        <v>2.7453463842942556</v>
      </c>
      <c r="AM31" s="26">
        <f t="shared" si="35"/>
        <v>1.2475555485347527</v>
      </c>
      <c r="AN31" s="26">
        <f t="shared" si="36"/>
        <v>9.5581650928557929E-3</v>
      </c>
      <c r="AO31" s="26">
        <f t="shared" si="37"/>
        <v>4.8017182135720662E-3</v>
      </c>
      <c r="AP31" s="26">
        <f t="shared" si="38"/>
        <v>3.2189460412572024E-4</v>
      </c>
      <c r="AQ31" s="26">
        <f t="shared" si="39"/>
        <v>0.24881280452337565</v>
      </c>
      <c r="AR31" s="26">
        <f t="shared" si="40"/>
        <v>0.69903800460028498</v>
      </c>
      <c r="AS31" s="26">
        <f t="shared" si="41"/>
        <v>4.9920647750576704E-2</v>
      </c>
      <c r="AT31" s="26">
        <f t="shared" si="42"/>
        <v>5.0053551676137999</v>
      </c>
      <c r="AU31" s="26"/>
      <c r="AV31" s="33">
        <f t="shared" si="56"/>
        <v>16132.000000000002</v>
      </c>
      <c r="AW31" s="26">
        <f t="shared" si="47"/>
        <v>0.24936853305349355</v>
      </c>
      <c r="AX31" s="26">
        <f t="shared" si="57"/>
        <v>0.70059932039967565</v>
      </c>
      <c r="AY31" s="26">
        <f t="shared" si="43"/>
        <v>0</v>
      </c>
      <c r="AZ31" s="26">
        <f t="shared" si="44"/>
        <v>3</v>
      </c>
      <c r="BA31" s="38" t="str">
        <f t="shared" si="45"/>
        <v>18eHP02.2</v>
      </c>
    </row>
    <row r="32" spans="1:53">
      <c r="A32" s="37">
        <v>16133</v>
      </c>
      <c r="B32" s="38" t="s">
        <v>224</v>
      </c>
      <c r="C32" s="39">
        <v>55.98</v>
      </c>
      <c r="D32" s="39">
        <v>27.94</v>
      </c>
      <c r="E32" s="39">
        <v>0.23280000000000001</v>
      </c>
      <c r="F32" s="39">
        <v>0.30359999999999998</v>
      </c>
      <c r="G32" s="39">
        <v>7.6399999999999996E-2</v>
      </c>
      <c r="H32" s="39">
        <v>9.6</v>
      </c>
      <c r="I32" s="39">
        <v>5.85</v>
      </c>
      <c r="J32" s="39">
        <v>0.3301</v>
      </c>
      <c r="K32" s="26">
        <f t="shared" si="15"/>
        <v>100.3129</v>
      </c>
      <c r="L32" s="27">
        <f t="shared" si="16"/>
        <v>0.93169097418127522</v>
      </c>
      <c r="M32" s="27">
        <f t="shared" si="17"/>
        <v>0.27402560164115641</v>
      </c>
      <c r="N32" s="27">
        <f t="shared" si="18"/>
        <v>3.2403360595954596E-3</v>
      </c>
      <c r="O32" s="27">
        <f t="shared" si="19"/>
        <v>2.9299532712986176E-3</v>
      </c>
      <c r="P32" s="27">
        <f t="shared" si="20"/>
        <v>4.9828340064072456E-4</v>
      </c>
      <c r="Q32" s="27">
        <f t="shared" si="21"/>
        <v>0.17119195968429349</v>
      </c>
      <c r="R32" s="27">
        <f t="shared" si="22"/>
        <v>9.4386899808225178E-2</v>
      </c>
      <c r="S32" s="27">
        <f t="shared" si="23"/>
        <v>3.5043950910866703E-3</v>
      </c>
      <c r="T32" s="27">
        <f t="shared" si="24"/>
        <v>1.8633819483625504</v>
      </c>
      <c r="U32" s="27">
        <f t="shared" si="25"/>
        <v>0.82207680492346924</v>
      </c>
      <c r="V32" s="27">
        <f t="shared" si="26"/>
        <v>3.2403360595954596E-3</v>
      </c>
      <c r="W32" s="27">
        <f t="shared" si="27"/>
        <v>2.9299532712986176E-3</v>
      </c>
      <c r="X32" s="27">
        <f t="shared" si="28"/>
        <v>4.9828340064072456E-4</v>
      </c>
      <c r="Y32" s="27">
        <f t="shared" si="29"/>
        <v>0.17119195968429349</v>
      </c>
      <c r="Z32" s="27">
        <f t="shared" si="30"/>
        <v>9.4386899808225178E-2</v>
      </c>
      <c r="AA32" s="27">
        <f t="shared" si="31"/>
        <v>3.5043950910866703E-3</v>
      </c>
      <c r="AB32" s="27">
        <f t="shared" si="32"/>
        <v>2.9612105806011604</v>
      </c>
      <c r="AC32" s="26">
        <f t="shared" si="48"/>
        <v>5.0341085786185786</v>
      </c>
      <c r="AD32" s="26">
        <f t="shared" si="49"/>
        <v>2.2209208904192907</v>
      </c>
      <c r="AE32" s="26">
        <f t="shared" si="50"/>
        <v>8.7540847809280311E-3</v>
      </c>
      <c r="AF32" s="26">
        <f t="shared" si="51"/>
        <v>7.9155553218476019E-3</v>
      </c>
      <c r="AG32" s="26">
        <f t="shared" si="52"/>
        <v>1.3461613406489104E-3</v>
      </c>
      <c r="AH32" s="26">
        <f t="shared" si="53"/>
        <v>0.46249182224531837</v>
      </c>
      <c r="AI32" s="26">
        <f t="shared" si="54"/>
        <v>0.25499544119300976</v>
      </c>
      <c r="AJ32" s="26">
        <f t="shared" si="55"/>
        <v>9.467466080376458E-3</v>
      </c>
      <c r="AK32" s="26">
        <f t="shared" si="33"/>
        <v>7.9999999999999982</v>
      </c>
      <c r="AL32" s="26">
        <f t="shared" si="34"/>
        <v>2.5170542893092893</v>
      </c>
      <c r="AM32" s="26">
        <f t="shared" si="35"/>
        <v>1.4806139269461938</v>
      </c>
      <c r="AN32" s="26">
        <f t="shared" si="36"/>
        <v>8.7540847809280311E-3</v>
      </c>
      <c r="AO32" s="26">
        <f t="shared" si="37"/>
        <v>7.9155553218476019E-3</v>
      </c>
      <c r="AP32" s="26">
        <f t="shared" si="38"/>
        <v>1.3461613406489104E-3</v>
      </c>
      <c r="AQ32" s="26">
        <f t="shared" si="39"/>
        <v>0.46249182224531837</v>
      </c>
      <c r="AR32" s="26">
        <f t="shared" si="40"/>
        <v>0.50999088238601953</v>
      </c>
      <c r="AS32" s="26">
        <f t="shared" si="41"/>
        <v>1.8934932160752916E-2</v>
      </c>
      <c r="AT32" s="26">
        <f t="shared" si="42"/>
        <v>5.0071016544909979</v>
      </c>
      <c r="AU32" s="26"/>
      <c r="AV32" s="33">
        <f t="shared" si="56"/>
        <v>16133</v>
      </c>
      <c r="AW32" s="26">
        <f t="shared" si="47"/>
        <v>0.46649545568081019</v>
      </c>
      <c r="AX32" s="26">
        <f t="shared" si="57"/>
        <v>0.51440569893045907</v>
      </c>
      <c r="AY32" s="26">
        <f t="shared" si="43"/>
        <v>0</v>
      </c>
      <c r="AZ32" s="26">
        <f t="shared" si="44"/>
        <v>3</v>
      </c>
      <c r="BA32" s="38" t="str">
        <f t="shared" si="45"/>
        <v>18eHP02.3</v>
      </c>
    </row>
    <row r="33" spans="1:53">
      <c r="A33" s="37">
        <v>16137</v>
      </c>
      <c r="B33" s="38" t="s">
        <v>225</v>
      </c>
      <c r="C33" s="39">
        <v>61.01</v>
      </c>
      <c r="D33" s="39">
        <v>24.46</v>
      </c>
      <c r="E33" s="39">
        <v>0.2964</v>
      </c>
      <c r="F33" s="39">
        <v>0.16470000000000001</v>
      </c>
      <c r="G33" s="39">
        <v>5.5300000000000002E-2</v>
      </c>
      <c r="H33" s="39">
        <v>5.56</v>
      </c>
      <c r="I33" s="39">
        <v>7.97</v>
      </c>
      <c r="J33" s="39">
        <v>0.78959999999999997</v>
      </c>
      <c r="K33" s="26">
        <f t="shared" si="15"/>
        <v>100.306</v>
      </c>
      <c r="L33" s="27">
        <f t="shared" si="16"/>
        <v>1.0154066869381853</v>
      </c>
      <c r="M33" s="27">
        <f t="shared" si="17"/>
        <v>0.23989499699866448</v>
      </c>
      <c r="N33" s="27">
        <f t="shared" si="18"/>
        <v>4.125582508866384E-3</v>
      </c>
      <c r="O33" s="27">
        <f t="shared" si="19"/>
        <v>1.5894706975720764E-3</v>
      </c>
      <c r="P33" s="27">
        <f t="shared" si="20"/>
        <v>3.6066848240094333E-4</v>
      </c>
      <c r="Q33" s="27">
        <f t="shared" si="21"/>
        <v>9.9148676650486628E-2</v>
      </c>
      <c r="R33" s="27">
        <f t="shared" si="22"/>
        <v>0.12859206691821448</v>
      </c>
      <c r="S33" s="27">
        <f t="shared" si="23"/>
        <v>8.3825215508089509E-3</v>
      </c>
      <c r="T33" s="27">
        <f t="shared" si="24"/>
        <v>2.0308133738763705</v>
      </c>
      <c r="U33" s="27">
        <f t="shared" si="25"/>
        <v>0.71968499099599348</v>
      </c>
      <c r="V33" s="27">
        <f t="shared" si="26"/>
        <v>4.125582508866384E-3</v>
      </c>
      <c r="W33" s="27">
        <f t="shared" si="27"/>
        <v>1.5894706975720764E-3</v>
      </c>
      <c r="X33" s="27">
        <f t="shared" si="28"/>
        <v>3.6066848240094333E-4</v>
      </c>
      <c r="Y33" s="27">
        <f t="shared" si="29"/>
        <v>9.9148676650486628E-2</v>
      </c>
      <c r="Z33" s="27">
        <f t="shared" si="30"/>
        <v>0.12859206691821448</v>
      </c>
      <c r="AA33" s="27">
        <f t="shared" si="31"/>
        <v>8.3825215508089509E-3</v>
      </c>
      <c r="AB33" s="27">
        <f t="shared" si="32"/>
        <v>2.9926973516807132</v>
      </c>
      <c r="AC33" s="26">
        <f t="shared" si="48"/>
        <v>5.42871700069733</v>
      </c>
      <c r="AD33" s="26">
        <f t="shared" si="49"/>
        <v>1.9238430256686396</v>
      </c>
      <c r="AE33" s="26">
        <f t="shared" si="50"/>
        <v>1.1028398863117747E-2</v>
      </c>
      <c r="AF33" s="26">
        <f t="shared" si="51"/>
        <v>4.2489313439714764E-3</v>
      </c>
      <c r="AG33" s="26">
        <f t="shared" si="52"/>
        <v>9.6412951934051112E-4</v>
      </c>
      <c r="AH33" s="26">
        <f t="shared" si="53"/>
        <v>0.26504163969618716</v>
      </c>
      <c r="AI33" s="26">
        <f t="shared" si="54"/>
        <v>0.34374893764916536</v>
      </c>
      <c r="AJ33" s="26">
        <f t="shared" si="55"/>
        <v>2.2407936562248865E-2</v>
      </c>
      <c r="AK33" s="26">
        <f t="shared" si="33"/>
        <v>8</v>
      </c>
      <c r="AL33" s="26">
        <f t="shared" si="34"/>
        <v>2.714358500348665</v>
      </c>
      <c r="AM33" s="26">
        <f t="shared" si="35"/>
        <v>1.2825620171124263</v>
      </c>
      <c r="AN33" s="26">
        <f t="shared" si="36"/>
        <v>1.1028398863117747E-2</v>
      </c>
      <c r="AO33" s="26">
        <f t="shared" si="37"/>
        <v>4.2489313439714764E-3</v>
      </c>
      <c r="AP33" s="26">
        <f t="shared" si="38"/>
        <v>9.6412951934051112E-4</v>
      </c>
      <c r="AQ33" s="26">
        <f t="shared" si="39"/>
        <v>0.26504163969618716</v>
      </c>
      <c r="AR33" s="26">
        <f t="shared" si="40"/>
        <v>0.68749787529833073</v>
      </c>
      <c r="AS33" s="26">
        <f t="shared" si="41"/>
        <v>4.4815873124497731E-2</v>
      </c>
      <c r="AT33" s="26">
        <f t="shared" si="42"/>
        <v>5.0105173653065362</v>
      </c>
      <c r="AU33" s="26"/>
      <c r="AV33" s="33">
        <f t="shared" si="56"/>
        <v>16137</v>
      </c>
      <c r="AW33" s="26">
        <f t="shared" si="47"/>
        <v>0.26574443057459013</v>
      </c>
      <c r="AX33" s="26">
        <f t="shared" si="57"/>
        <v>0.68932086143830085</v>
      </c>
      <c r="AY33" s="26">
        <f t="shared" si="43"/>
        <v>0</v>
      </c>
      <c r="AZ33" s="26">
        <f t="shared" si="44"/>
        <v>3</v>
      </c>
      <c r="BA33" s="38" t="str">
        <f t="shared" si="45"/>
        <v>18eHP02.7</v>
      </c>
    </row>
    <row r="34" spans="1:53">
      <c r="A34" s="37">
        <v>16143</v>
      </c>
      <c r="B34" s="38" t="s">
        <v>226</v>
      </c>
      <c r="C34" s="39">
        <v>61.4</v>
      </c>
      <c r="D34" s="39">
        <v>24.13</v>
      </c>
      <c r="E34" s="39">
        <v>0.26719999999999999</v>
      </c>
      <c r="F34" s="39">
        <v>0.23549999999999999</v>
      </c>
      <c r="G34" s="39">
        <v>8.1699999999999995E-2</v>
      </c>
      <c r="H34" s="39">
        <v>5.35</v>
      </c>
      <c r="I34" s="39">
        <v>8.1199999999999992</v>
      </c>
      <c r="J34" s="39">
        <v>0.90649999999999997</v>
      </c>
      <c r="K34" s="26">
        <f t="shared" si="15"/>
        <v>100.4909</v>
      </c>
      <c r="L34" s="27">
        <f t="shared" si="16"/>
        <v>1.0218975672513453</v>
      </c>
      <c r="M34" s="27">
        <f t="shared" si="17"/>
        <v>0.23665847414463506</v>
      </c>
      <c r="N34" s="27">
        <f t="shared" si="18"/>
        <v>3.7191486044841353E-3</v>
      </c>
      <c r="O34" s="27">
        <f t="shared" si="19"/>
        <v>2.2727404327761015E-3</v>
      </c>
      <c r="P34" s="27">
        <f t="shared" si="20"/>
        <v>5.3285018105166484E-4</v>
      </c>
      <c r="Q34" s="27">
        <f t="shared" si="21"/>
        <v>9.5403852532392711E-2</v>
      </c>
      <c r="R34" s="27">
        <f t="shared" si="22"/>
        <v>0.13101224383637408</v>
      </c>
      <c r="S34" s="27">
        <f t="shared" si="23"/>
        <v>9.6235508938808442E-3</v>
      </c>
      <c r="T34" s="27">
        <f t="shared" si="24"/>
        <v>2.0437951345026906</v>
      </c>
      <c r="U34" s="27">
        <f t="shared" si="25"/>
        <v>0.70997542243390521</v>
      </c>
      <c r="V34" s="27">
        <f t="shared" si="26"/>
        <v>3.7191486044841353E-3</v>
      </c>
      <c r="W34" s="27">
        <f t="shared" si="27"/>
        <v>2.2727404327761015E-3</v>
      </c>
      <c r="X34" s="27">
        <f t="shared" si="28"/>
        <v>5.3285018105166484E-4</v>
      </c>
      <c r="Y34" s="27">
        <f t="shared" si="29"/>
        <v>9.5403852532392711E-2</v>
      </c>
      <c r="Z34" s="27">
        <f t="shared" si="30"/>
        <v>0.13101224383637408</v>
      </c>
      <c r="AA34" s="27">
        <f t="shared" si="31"/>
        <v>9.6235508938808442E-3</v>
      </c>
      <c r="AB34" s="27">
        <f t="shared" si="32"/>
        <v>2.9963349434175548</v>
      </c>
      <c r="AC34" s="26">
        <f t="shared" si="48"/>
        <v>5.4567868361781535</v>
      </c>
      <c r="AD34" s="26">
        <f t="shared" si="49"/>
        <v>1.8955836002075859</v>
      </c>
      <c r="AE34" s="26">
        <f t="shared" si="50"/>
        <v>9.9298607791615048E-3</v>
      </c>
      <c r="AF34" s="26">
        <f t="shared" si="51"/>
        <v>6.0680544083202203E-3</v>
      </c>
      <c r="AG34" s="26">
        <f t="shared" si="52"/>
        <v>1.4226718737763207E-3</v>
      </c>
      <c r="AH34" s="26">
        <f t="shared" si="53"/>
        <v>0.25472146294453218</v>
      </c>
      <c r="AI34" s="26">
        <f t="shared" si="54"/>
        <v>0.34979332100154159</v>
      </c>
      <c r="AJ34" s="26">
        <f t="shared" si="55"/>
        <v>2.5694192606930465E-2</v>
      </c>
      <c r="AK34" s="26">
        <f t="shared" si="33"/>
        <v>8.0000000000000018</v>
      </c>
      <c r="AL34" s="26">
        <f t="shared" si="34"/>
        <v>2.7283934180890768</v>
      </c>
      <c r="AM34" s="26">
        <f t="shared" si="35"/>
        <v>1.2637224001383907</v>
      </c>
      <c r="AN34" s="26">
        <f t="shared" si="36"/>
        <v>9.9298607791615048E-3</v>
      </c>
      <c r="AO34" s="26">
        <f t="shared" si="37"/>
        <v>6.0680544083202203E-3</v>
      </c>
      <c r="AP34" s="26">
        <f t="shared" si="38"/>
        <v>1.4226718737763207E-3</v>
      </c>
      <c r="AQ34" s="26">
        <f t="shared" si="39"/>
        <v>0.25472146294453218</v>
      </c>
      <c r="AR34" s="26">
        <f t="shared" si="40"/>
        <v>0.69958664200308318</v>
      </c>
      <c r="AS34" s="26">
        <f t="shared" si="41"/>
        <v>5.1388385213860931E-2</v>
      </c>
      <c r="AT34" s="26">
        <f t="shared" si="42"/>
        <v>5.0152328954502012</v>
      </c>
      <c r="AU34" s="26"/>
      <c r="AV34" s="33">
        <f t="shared" si="56"/>
        <v>16143</v>
      </c>
      <c r="AW34" s="26">
        <f t="shared" si="47"/>
        <v>0.2532786635296238</v>
      </c>
      <c r="AX34" s="26">
        <f t="shared" si="57"/>
        <v>0.695624026579586</v>
      </c>
      <c r="AY34" s="26">
        <f t="shared" si="43"/>
        <v>0</v>
      </c>
      <c r="AZ34" s="26">
        <f t="shared" si="44"/>
        <v>3</v>
      </c>
      <c r="BA34" s="38" t="str">
        <f t="shared" si="45"/>
        <v>18eHP03.6</v>
      </c>
    </row>
    <row r="35" spans="1:53">
      <c r="A35" s="37">
        <v>16145</v>
      </c>
      <c r="B35" s="38" t="s">
        <v>227</v>
      </c>
      <c r="C35" s="39">
        <v>62.09</v>
      </c>
      <c r="D35" s="39">
        <v>23.53</v>
      </c>
      <c r="E35" s="39">
        <v>0.22439999999999999</v>
      </c>
      <c r="F35" s="39">
        <v>0.2752</v>
      </c>
      <c r="G35" s="39">
        <v>6.7599999999999993E-2</v>
      </c>
      <c r="H35" s="39">
        <v>4.8600000000000003</v>
      </c>
      <c r="I35" s="39">
        <v>8.3800000000000008</v>
      </c>
      <c r="J35" s="39">
        <v>0.97250000000000003</v>
      </c>
      <c r="K35" s="26">
        <f t="shared" si="15"/>
        <v>100.3997</v>
      </c>
      <c r="L35" s="27">
        <f t="shared" si="16"/>
        <v>1.0333814324207822</v>
      </c>
      <c r="M35" s="27">
        <f t="shared" si="17"/>
        <v>0.2307738871373089</v>
      </c>
      <c r="N35" s="27">
        <f t="shared" si="18"/>
        <v>3.1234167172389219E-3</v>
      </c>
      <c r="O35" s="27">
        <f t="shared" si="19"/>
        <v>2.6558733210190369E-3</v>
      </c>
      <c r="P35" s="27">
        <f t="shared" si="20"/>
        <v>4.4088950109048402E-4</v>
      </c>
      <c r="Q35" s="27">
        <f t="shared" si="21"/>
        <v>8.6665929590173579E-2</v>
      </c>
      <c r="R35" s="27">
        <f t="shared" si="22"/>
        <v>0.13520721716118411</v>
      </c>
      <c r="S35" s="27">
        <f t="shared" si="23"/>
        <v>1.0324217588857277E-2</v>
      </c>
      <c r="T35" s="27">
        <f t="shared" si="24"/>
        <v>2.0667628648415644</v>
      </c>
      <c r="U35" s="27">
        <f t="shared" si="25"/>
        <v>0.69232166141192675</v>
      </c>
      <c r="V35" s="27">
        <f t="shared" si="26"/>
        <v>3.1234167172389219E-3</v>
      </c>
      <c r="W35" s="27">
        <f t="shared" si="27"/>
        <v>2.6558733210190369E-3</v>
      </c>
      <c r="X35" s="27">
        <f t="shared" si="28"/>
        <v>4.4088950109048402E-4</v>
      </c>
      <c r="Y35" s="27">
        <f t="shared" si="29"/>
        <v>8.6665929590173579E-2</v>
      </c>
      <c r="Z35" s="27">
        <f t="shared" si="30"/>
        <v>0.13520721716118411</v>
      </c>
      <c r="AA35" s="27">
        <f t="shared" si="31"/>
        <v>1.0324217588857277E-2</v>
      </c>
      <c r="AB35" s="27">
        <f t="shared" si="32"/>
        <v>2.9975020701330544</v>
      </c>
      <c r="AC35" s="26">
        <f t="shared" si="48"/>
        <v>5.5159604670426772</v>
      </c>
      <c r="AD35" s="26">
        <f t="shared" si="49"/>
        <v>1.8477295967470559</v>
      </c>
      <c r="AE35" s="26">
        <f t="shared" si="50"/>
        <v>8.3360522038946339E-3</v>
      </c>
      <c r="AF35" s="26">
        <f t="shared" si="51"/>
        <v>7.0882308238770205E-3</v>
      </c>
      <c r="AG35" s="26">
        <f t="shared" si="52"/>
        <v>1.1766850951890448E-3</v>
      </c>
      <c r="AH35" s="26">
        <f t="shared" si="53"/>
        <v>0.23130173741318313</v>
      </c>
      <c r="AI35" s="26">
        <f t="shared" si="54"/>
        <v>0.3608530409593545</v>
      </c>
      <c r="AJ35" s="26">
        <f t="shared" si="55"/>
        <v>2.755418971476874E-2</v>
      </c>
      <c r="AK35" s="26">
        <f t="shared" si="33"/>
        <v>7.9999999999999991</v>
      </c>
      <c r="AL35" s="26">
        <f t="shared" si="34"/>
        <v>2.7579802335213386</v>
      </c>
      <c r="AM35" s="26">
        <f t="shared" si="35"/>
        <v>1.2318197311647039</v>
      </c>
      <c r="AN35" s="26">
        <f t="shared" si="36"/>
        <v>8.3360522038946339E-3</v>
      </c>
      <c r="AO35" s="26">
        <f t="shared" si="37"/>
        <v>7.0882308238770205E-3</v>
      </c>
      <c r="AP35" s="26">
        <f t="shared" si="38"/>
        <v>1.1766850951890448E-3</v>
      </c>
      <c r="AQ35" s="26">
        <f t="shared" si="39"/>
        <v>0.23130173741318313</v>
      </c>
      <c r="AR35" s="26">
        <f t="shared" si="40"/>
        <v>0.721706081918709</v>
      </c>
      <c r="AS35" s="26">
        <f t="shared" si="41"/>
        <v>5.5108379429537481E-2</v>
      </c>
      <c r="AT35" s="26">
        <f t="shared" si="42"/>
        <v>5.0145171315704324</v>
      </c>
      <c r="AU35" s="26"/>
      <c r="AV35" s="33">
        <f t="shared" si="56"/>
        <v>16145</v>
      </c>
      <c r="AW35" s="26">
        <f t="shared" si="47"/>
        <v>0.22943956033774698</v>
      </c>
      <c r="AX35" s="26">
        <f t="shared" si="57"/>
        <v>0.7158957298825237</v>
      </c>
      <c r="AY35" s="26">
        <f t="shared" si="43"/>
        <v>0</v>
      </c>
      <c r="AZ35" s="26">
        <f t="shared" si="44"/>
        <v>3</v>
      </c>
      <c r="BA35" s="38" t="str">
        <f t="shared" si="45"/>
        <v>18eHP03.8</v>
      </c>
    </row>
    <row r="36" spans="1:53">
      <c r="A36" s="37">
        <v>16146.999999999998</v>
      </c>
      <c r="B36" s="38" t="s">
        <v>228</v>
      </c>
      <c r="C36" s="39">
        <v>61.97</v>
      </c>
      <c r="D36" s="39">
        <v>23.98</v>
      </c>
      <c r="E36" s="39">
        <v>0.19170000000000001</v>
      </c>
      <c r="F36" s="39">
        <v>0.16189999999999999</v>
      </c>
      <c r="G36" s="39">
        <v>5.8200000000000002E-2</v>
      </c>
      <c r="H36" s="39">
        <v>5.0999999999999996</v>
      </c>
      <c r="I36" s="39">
        <v>8.23</v>
      </c>
      <c r="J36" s="39">
        <v>0.89659999999999995</v>
      </c>
      <c r="K36" s="26">
        <f t="shared" si="15"/>
        <v>100.58840000000001</v>
      </c>
      <c r="L36" s="27">
        <f t="shared" si="16"/>
        <v>1.0313842384782714</v>
      </c>
      <c r="M36" s="27">
        <f t="shared" si="17"/>
        <v>0.23518732739280354</v>
      </c>
      <c r="N36" s="27">
        <f t="shared" si="18"/>
        <v>2.6682664202081169E-3</v>
      </c>
      <c r="O36" s="27">
        <f t="shared" si="19"/>
        <v>1.5624487306431034E-3</v>
      </c>
      <c r="P36" s="27">
        <f t="shared" si="20"/>
        <v>3.7958238111636351E-4</v>
      </c>
      <c r="Q36" s="27">
        <f t="shared" si="21"/>
        <v>9.0945728582280908E-2</v>
      </c>
      <c r="R36" s="27">
        <f t="shared" si="22"/>
        <v>0.13278704024302448</v>
      </c>
      <c r="S36" s="27">
        <f t="shared" si="23"/>
        <v>9.5184508896343795E-3</v>
      </c>
      <c r="T36" s="27">
        <f t="shared" si="24"/>
        <v>2.0627684769565429</v>
      </c>
      <c r="U36" s="27">
        <f t="shared" si="25"/>
        <v>0.7055619821784106</v>
      </c>
      <c r="V36" s="27">
        <f t="shared" si="26"/>
        <v>2.6682664202081169E-3</v>
      </c>
      <c r="W36" s="27">
        <f t="shared" si="27"/>
        <v>1.5624487306431034E-3</v>
      </c>
      <c r="X36" s="27">
        <f t="shared" si="28"/>
        <v>3.7958238111636351E-4</v>
      </c>
      <c r="Y36" s="27">
        <f t="shared" si="29"/>
        <v>9.0945728582280908E-2</v>
      </c>
      <c r="Z36" s="27">
        <f t="shared" si="30"/>
        <v>0.13278704024302448</v>
      </c>
      <c r="AA36" s="27">
        <f t="shared" si="31"/>
        <v>9.5184508896343795E-3</v>
      </c>
      <c r="AB36" s="27">
        <f t="shared" si="32"/>
        <v>3.0061919763818605</v>
      </c>
      <c r="AC36" s="26">
        <f t="shared" si="48"/>
        <v>5.4893858892916434</v>
      </c>
      <c r="AD36" s="26">
        <f t="shared" si="49"/>
        <v>1.8776232195991647</v>
      </c>
      <c r="AE36" s="26">
        <f t="shared" si="50"/>
        <v>7.1007212877190681E-3</v>
      </c>
      <c r="AF36" s="26">
        <f t="shared" si="51"/>
        <v>4.1579479764924602E-3</v>
      </c>
      <c r="AG36" s="26">
        <f t="shared" si="52"/>
        <v>1.0101347727584972E-3</v>
      </c>
      <c r="AH36" s="26">
        <f t="shared" si="53"/>
        <v>0.2420224105361089</v>
      </c>
      <c r="AI36" s="26">
        <f t="shared" si="54"/>
        <v>0.35336942227579748</v>
      </c>
      <c r="AJ36" s="26">
        <f t="shared" si="55"/>
        <v>2.5330254260316213E-2</v>
      </c>
      <c r="AK36" s="26">
        <f t="shared" si="33"/>
        <v>7.9999999999999991</v>
      </c>
      <c r="AL36" s="26">
        <f t="shared" si="34"/>
        <v>2.7446929446458217</v>
      </c>
      <c r="AM36" s="26">
        <f t="shared" si="35"/>
        <v>1.2517488130661099</v>
      </c>
      <c r="AN36" s="26">
        <f t="shared" si="36"/>
        <v>7.1007212877190681E-3</v>
      </c>
      <c r="AO36" s="26">
        <f t="shared" si="37"/>
        <v>4.1579479764924602E-3</v>
      </c>
      <c r="AP36" s="26">
        <f t="shared" si="38"/>
        <v>1.0101347727584972E-3</v>
      </c>
      <c r="AQ36" s="26">
        <f t="shared" si="39"/>
        <v>0.2420224105361089</v>
      </c>
      <c r="AR36" s="26">
        <f t="shared" si="40"/>
        <v>0.70673884455159497</v>
      </c>
      <c r="AS36" s="26">
        <f t="shared" si="41"/>
        <v>5.0660508520632426E-2</v>
      </c>
      <c r="AT36" s="26">
        <f t="shared" si="42"/>
        <v>5.0081323253572361</v>
      </c>
      <c r="AU36" s="26"/>
      <c r="AV36" s="33">
        <f t="shared" si="56"/>
        <v>16146.999999999998</v>
      </c>
      <c r="AW36" s="26">
        <f t="shared" si="47"/>
        <v>0.24216243767026385</v>
      </c>
      <c r="AX36" s="26">
        <f t="shared" si="57"/>
        <v>0.70714774311094464</v>
      </c>
      <c r="AY36" s="26">
        <f t="shared" si="43"/>
        <v>0</v>
      </c>
      <c r="AZ36" s="26">
        <f t="shared" si="44"/>
        <v>3</v>
      </c>
      <c r="BA36" s="38" t="str">
        <f t="shared" si="45"/>
        <v>18eHP04.2</v>
      </c>
    </row>
    <row r="37" spans="1:53">
      <c r="A37" s="37">
        <v>16148</v>
      </c>
      <c r="B37" s="38" t="s">
        <v>229</v>
      </c>
      <c r="C37" s="39">
        <v>62.11</v>
      </c>
      <c r="D37" s="39">
        <v>23.83</v>
      </c>
      <c r="E37" s="39">
        <v>0.21990000000000001</v>
      </c>
      <c r="F37" s="39">
        <v>0.14949999999999999</v>
      </c>
      <c r="G37" s="39">
        <v>2.3300000000000001E-2</v>
      </c>
      <c r="H37" s="39">
        <v>5.27</v>
      </c>
      <c r="I37" s="39">
        <v>8.26</v>
      </c>
      <c r="J37" s="39">
        <v>0.93169999999999997</v>
      </c>
      <c r="K37" s="26">
        <f t="shared" si="15"/>
        <v>100.79440000000001</v>
      </c>
      <c r="L37" s="27">
        <f t="shared" si="16"/>
        <v>1.0337142980778673</v>
      </c>
      <c r="M37" s="27">
        <f t="shared" si="17"/>
        <v>0.23371618064097197</v>
      </c>
      <c r="N37" s="27">
        <f t="shared" si="18"/>
        <v>3.0607813552622062E-3</v>
      </c>
      <c r="O37" s="27">
        <f t="shared" si="19"/>
        <v>1.4427800199576528E-3</v>
      </c>
      <c r="P37" s="27">
        <f t="shared" si="20"/>
        <v>1.5196339312734141E-4</v>
      </c>
      <c r="Q37" s="27">
        <f t="shared" si="21"/>
        <v>9.3977252868356939E-2</v>
      </c>
      <c r="R37" s="27">
        <f t="shared" si="22"/>
        <v>0.13327107562665641</v>
      </c>
      <c r="S37" s="27">
        <f t="shared" si="23"/>
        <v>9.8910781774173007E-3</v>
      </c>
      <c r="T37" s="27">
        <f t="shared" si="24"/>
        <v>2.0674285961557346</v>
      </c>
      <c r="U37" s="27">
        <f t="shared" si="25"/>
        <v>0.70114854192291587</v>
      </c>
      <c r="V37" s="27">
        <f t="shared" si="26"/>
        <v>3.0607813552622062E-3</v>
      </c>
      <c r="W37" s="27">
        <f t="shared" si="27"/>
        <v>1.4427800199576528E-3</v>
      </c>
      <c r="X37" s="27">
        <f t="shared" si="28"/>
        <v>1.5196339312734141E-4</v>
      </c>
      <c r="Y37" s="27">
        <f t="shared" si="29"/>
        <v>9.3977252868356939E-2</v>
      </c>
      <c r="Z37" s="27">
        <f t="shared" si="30"/>
        <v>0.13327107562665641</v>
      </c>
      <c r="AA37" s="27">
        <f t="shared" si="31"/>
        <v>9.8910781774173007E-3</v>
      </c>
      <c r="AB37" s="27">
        <f t="shared" si="32"/>
        <v>3.0103720695194278</v>
      </c>
      <c r="AC37" s="26">
        <f t="shared" si="48"/>
        <v>5.4941476957983504</v>
      </c>
      <c r="AD37" s="26">
        <f t="shared" si="49"/>
        <v>1.8632873963246579</v>
      </c>
      <c r="AE37" s="26">
        <f t="shared" si="50"/>
        <v>8.1339616089404539E-3</v>
      </c>
      <c r="AF37" s="26">
        <f t="shared" si="51"/>
        <v>3.8341573377352694E-3</v>
      </c>
      <c r="AG37" s="26">
        <f t="shared" si="52"/>
        <v>4.038394978906396E-4</v>
      </c>
      <c r="AH37" s="26">
        <f t="shared" si="53"/>
        <v>0.24974255858906996</v>
      </c>
      <c r="AI37" s="26">
        <f t="shared" si="54"/>
        <v>0.35416506012941223</v>
      </c>
      <c r="AJ37" s="26">
        <f t="shared" si="55"/>
        <v>2.6285330713944077E-2</v>
      </c>
      <c r="AK37" s="26">
        <f t="shared" si="33"/>
        <v>8.0000000000000018</v>
      </c>
      <c r="AL37" s="26">
        <f t="shared" si="34"/>
        <v>2.7470738478991752</v>
      </c>
      <c r="AM37" s="26">
        <f t="shared" si="35"/>
        <v>1.2421915975497719</v>
      </c>
      <c r="AN37" s="26">
        <f t="shared" si="36"/>
        <v>8.1339616089404539E-3</v>
      </c>
      <c r="AO37" s="26">
        <f t="shared" si="37"/>
        <v>3.8341573377352694E-3</v>
      </c>
      <c r="AP37" s="26">
        <f t="shared" si="38"/>
        <v>4.038394978906396E-4</v>
      </c>
      <c r="AQ37" s="26">
        <f t="shared" si="39"/>
        <v>0.24974255858906996</v>
      </c>
      <c r="AR37" s="26">
        <f t="shared" si="40"/>
        <v>0.70833012025882447</v>
      </c>
      <c r="AS37" s="26">
        <f t="shared" si="41"/>
        <v>5.2570661427888153E-2</v>
      </c>
      <c r="AT37" s="26">
        <f t="shared" si="42"/>
        <v>5.0122807441692947</v>
      </c>
      <c r="AU37" s="26"/>
      <c r="AV37" s="33">
        <f t="shared" si="56"/>
        <v>16148</v>
      </c>
      <c r="AW37" s="26">
        <f t="shared" si="47"/>
        <v>0.24711245662680628</v>
      </c>
      <c r="AX37" s="26">
        <f t="shared" si="57"/>
        <v>0.70087051685863433</v>
      </c>
      <c r="AY37" s="26">
        <f t="shared" si="43"/>
        <v>0</v>
      </c>
      <c r="AZ37" s="26">
        <f t="shared" si="44"/>
        <v>3</v>
      </c>
      <c r="BA37" s="38" t="str">
        <f t="shared" si="45"/>
        <v>18eHP04.3</v>
      </c>
    </row>
    <row r="38" spans="1:53">
      <c r="A38" s="37">
        <v>16149</v>
      </c>
      <c r="B38" s="38" t="s">
        <v>230</v>
      </c>
      <c r="C38" s="39">
        <v>62.46</v>
      </c>
      <c r="D38" s="39">
        <v>23.26</v>
      </c>
      <c r="E38" s="39">
        <v>0.34139999999999998</v>
      </c>
      <c r="F38" s="39">
        <v>0.17929999999999999</v>
      </c>
      <c r="G38" s="39">
        <v>3.6200000000000003E-2</v>
      </c>
      <c r="H38" s="39">
        <v>4.63</v>
      </c>
      <c r="I38" s="39">
        <v>8.2200000000000006</v>
      </c>
      <c r="J38" s="39">
        <v>1.0448999999999999</v>
      </c>
      <c r="K38" s="26">
        <f t="shared" si="15"/>
        <v>100.17179999999998</v>
      </c>
      <c r="L38" s="27">
        <f t="shared" si="16"/>
        <v>1.0395394470768571</v>
      </c>
      <c r="M38" s="27">
        <f t="shared" si="17"/>
        <v>0.2281258229840121</v>
      </c>
      <c r="N38" s="27">
        <f t="shared" si="18"/>
        <v>4.7519361286335474E-3</v>
      </c>
      <c r="O38" s="27">
        <f t="shared" si="19"/>
        <v>1.7303709537017198E-3</v>
      </c>
      <c r="P38" s="27">
        <f t="shared" si="20"/>
        <v>2.3609763224076221E-4</v>
      </c>
      <c r="Q38" s="27">
        <f t="shared" si="21"/>
        <v>8.2564455556070712E-2</v>
      </c>
      <c r="R38" s="27">
        <f t="shared" si="22"/>
        <v>0.13262569511514719</v>
      </c>
      <c r="S38" s="27">
        <f t="shared" si="23"/>
        <v>1.1092827720922332E-2</v>
      </c>
      <c r="T38" s="27">
        <f t="shared" si="24"/>
        <v>2.0790788941537142</v>
      </c>
      <c r="U38" s="27">
        <f t="shared" si="25"/>
        <v>0.68437746895203633</v>
      </c>
      <c r="V38" s="27">
        <f t="shared" si="26"/>
        <v>4.7519361286335474E-3</v>
      </c>
      <c r="W38" s="27">
        <f t="shared" si="27"/>
        <v>1.7303709537017198E-3</v>
      </c>
      <c r="X38" s="27">
        <f t="shared" si="28"/>
        <v>2.3609763224076221E-4</v>
      </c>
      <c r="Y38" s="27">
        <f t="shared" si="29"/>
        <v>8.2564455556070712E-2</v>
      </c>
      <c r="Z38" s="27">
        <f t="shared" si="30"/>
        <v>0.13262569511514719</v>
      </c>
      <c r="AA38" s="27">
        <f t="shared" si="31"/>
        <v>1.1092827720922332E-2</v>
      </c>
      <c r="AB38" s="27">
        <f t="shared" si="32"/>
        <v>2.9964577462124664</v>
      </c>
      <c r="AC38" s="26">
        <f t="shared" si="48"/>
        <v>5.5507644565498779</v>
      </c>
      <c r="AD38" s="26">
        <f t="shared" si="49"/>
        <v>1.8271640100838185</v>
      </c>
      <c r="AE38" s="26">
        <f t="shared" si="50"/>
        <v>1.2686809642859172E-2</v>
      </c>
      <c r="AF38" s="26">
        <f t="shared" si="51"/>
        <v>4.6197773511444705E-3</v>
      </c>
      <c r="AG38" s="26">
        <f t="shared" si="52"/>
        <v>6.3033795831545566E-4</v>
      </c>
      <c r="AH38" s="26">
        <f t="shared" si="53"/>
        <v>0.22043215703056715</v>
      </c>
      <c r="AI38" s="26">
        <f t="shared" si="54"/>
        <v>0.35408660851710405</v>
      </c>
      <c r="AJ38" s="26">
        <f t="shared" si="55"/>
        <v>2.9615842866314284E-2</v>
      </c>
      <c r="AK38" s="26">
        <f t="shared" si="33"/>
        <v>8</v>
      </c>
      <c r="AL38" s="26">
        <f t="shared" si="34"/>
        <v>2.775382228274939</v>
      </c>
      <c r="AM38" s="26">
        <f t="shared" si="35"/>
        <v>1.2181093400558789</v>
      </c>
      <c r="AN38" s="26">
        <f t="shared" si="36"/>
        <v>1.2686809642859172E-2</v>
      </c>
      <c r="AO38" s="26">
        <f t="shared" si="37"/>
        <v>4.6197773511444705E-3</v>
      </c>
      <c r="AP38" s="26">
        <f t="shared" si="38"/>
        <v>6.3033795831545566E-4</v>
      </c>
      <c r="AQ38" s="26">
        <f t="shared" si="39"/>
        <v>0.22043215703056715</v>
      </c>
      <c r="AR38" s="26">
        <f t="shared" si="40"/>
        <v>0.7081732170342081</v>
      </c>
      <c r="AS38" s="26">
        <f t="shared" si="41"/>
        <v>5.9231685732628568E-2</v>
      </c>
      <c r="AT38" s="26">
        <f t="shared" si="42"/>
        <v>4.9992655530805399</v>
      </c>
      <c r="AU38" s="26"/>
      <c r="AV38" s="33">
        <f t="shared" si="56"/>
        <v>16149</v>
      </c>
      <c r="AW38" s="26">
        <f t="shared" si="47"/>
        <v>0.2231462717907908</v>
      </c>
      <c r="AX38" s="26">
        <f t="shared" si="57"/>
        <v>0.71689274056942931</v>
      </c>
      <c r="AY38" s="26">
        <f t="shared" si="43"/>
        <v>0</v>
      </c>
      <c r="AZ38" s="26">
        <f t="shared" si="44"/>
        <v>3</v>
      </c>
      <c r="BA38" s="38" t="str">
        <f t="shared" si="45"/>
        <v>18eHP04.4</v>
      </c>
    </row>
    <row r="39" spans="1:53">
      <c r="A39" s="37">
        <v>16157</v>
      </c>
      <c r="B39" s="38" t="s">
        <v>231</v>
      </c>
      <c r="C39" s="39">
        <v>61.67</v>
      </c>
      <c r="D39" s="39">
        <v>23.77</v>
      </c>
      <c r="E39" s="39">
        <v>0.28489999999999999</v>
      </c>
      <c r="F39" s="39">
        <v>0.2399</v>
      </c>
      <c r="G39" s="39">
        <v>3.8199999999999998E-2</v>
      </c>
      <c r="H39" s="39">
        <v>5.14</v>
      </c>
      <c r="I39" s="39">
        <v>8.09</v>
      </c>
      <c r="J39" s="39">
        <v>0.8982</v>
      </c>
      <c r="K39" s="26">
        <f t="shared" si="15"/>
        <v>100.13120000000001</v>
      </c>
      <c r="L39" s="27">
        <f t="shared" si="16"/>
        <v>1.0263912536219946</v>
      </c>
      <c r="M39" s="27">
        <f t="shared" si="17"/>
        <v>0.23312772194023934</v>
      </c>
      <c r="N39" s="27">
        <f t="shared" si="18"/>
        <v>3.9655143615925526E-3</v>
      </c>
      <c r="O39" s="27">
        <f t="shared" si="19"/>
        <v>2.3152035236644877E-3</v>
      </c>
      <c r="P39" s="27">
        <f t="shared" si="20"/>
        <v>2.4914170032036228E-4</v>
      </c>
      <c r="Q39" s="27">
        <f t="shared" si="21"/>
        <v>9.1659028414298793E-2</v>
      </c>
      <c r="R39" s="27">
        <f t="shared" si="22"/>
        <v>0.13052820845274216</v>
      </c>
      <c r="S39" s="27">
        <f t="shared" si="23"/>
        <v>9.5354367489065353E-3</v>
      </c>
      <c r="T39" s="27">
        <f t="shared" si="24"/>
        <v>2.0527825072439891</v>
      </c>
      <c r="U39" s="27">
        <f t="shared" si="25"/>
        <v>0.69938316582071802</v>
      </c>
      <c r="V39" s="27">
        <f t="shared" si="26"/>
        <v>3.9655143615925526E-3</v>
      </c>
      <c r="W39" s="27">
        <f t="shared" si="27"/>
        <v>2.3152035236644877E-3</v>
      </c>
      <c r="X39" s="27">
        <f t="shared" si="28"/>
        <v>2.4914170032036228E-4</v>
      </c>
      <c r="Y39" s="27">
        <f t="shared" si="29"/>
        <v>9.1659028414298793E-2</v>
      </c>
      <c r="Z39" s="27">
        <f t="shared" si="30"/>
        <v>0.13052820845274216</v>
      </c>
      <c r="AA39" s="27">
        <f t="shared" si="31"/>
        <v>9.5354367489065353E-3</v>
      </c>
      <c r="AB39" s="27">
        <f t="shared" si="32"/>
        <v>2.9904182062662321</v>
      </c>
      <c r="AC39" s="26">
        <f t="shared" si="48"/>
        <v>5.491626563649227</v>
      </c>
      <c r="AD39" s="26">
        <f t="shared" si="49"/>
        <v>1.8709976132574497</v>
      </c>
      <c r="AE39" s="26">
        <f t="shared" si="50"/>
        <v>1.0608588065129E-2</v>
      </c>
      <c r="AF39" s="26">
        <f t="shared" si="51"/>
        <v>6.1936581814894661E-3</v>
      </c>
      <c r="AG39" s="26">
        <f t="shared" si="52"/>
        <v>6.6650664391569472E-4</v>
      </c>
      <c r="AH39" s="26">
        <f t="shared" si="53"/>
        <v>0.24520725087142153</v>
      </c>
      <c r="AI39" s="26">
        <f t="shared" si="54"/>
        <v>0.34919051303052812</v>
      </c>
      <c r="AJ39" s="26">
        <f t="shared" si="55"/>
        <v>2.5509306300839477E-2</v>
      </c>
      <c r="AK39" s="26">
        <f t="shared" si="33"/>
        <v>8</v>
      </c>
      <c r="AL39" s="26">
        <f t="shared" si="34"/>
        <v>2.7458132818246135</v>
      </c>
      <c r="AM39" s="26">
        <f t="shared" si="35"/>
        <v>1.2473317421716332</v>
      </c>
      <c r="AN39" s="26">
        <f t="shared" si="36"/>
        <v>1.0608588065129E-2</v>
      </c>
      <c r="AO39" s="26">
        <f t="shared" si="37"/>
        <v>6.1936581814894661E-3</v>
      </c>
      <c r="AP39" s="26">
        <f t="shared" si="38"/>
        <v>6.6650664391569472E-4</v>
      </c>
      <c r="AQ39" s="26">
        <f t="shared" si="39"/>
        <v>0.24520725087142153</v>
      </c>
      <c r="AR39" s="26">
        <f t="shared" si="40"/>
        <v>0.69838102606105623</v>
      </c>
      <c r="AS39" s="26">
        <f t="shared" si="41"/>
        <v>5.1018612601678955E-2</v>
      </c>
      <c r="AT39" s="26">
        <f t="shared" si="42"/>
        <v>5.0052206664209375</v>
      </c>
      <c r="AU39" s="26"/>
      <c r="AV39" s="33">
        <f t="shared" si="56"/>
        <v>16157</v>
      </c>
      <c r="AW39" s="26">
        <f t="shared" si="47"/>
        <v>0.2465368513446243</v>
      </c>
      <c r="AX39" s="26">
        <f t="shared" si="57"/>
        <v>0.70216789508481736</v>
      </c>
      <c r="AY39" s="26">
        <f t="shared" si="43"/>
        <v>0</v>
      </c>
      <c r="AZ39" s="26">
        <f t="shared" si="44"/>
        <v>3</v>
      </c>
      <c r="BA39" s="38" t="str">
        <f t="shared" si="45"/>
        <v>18eHP05.2</v>
      </c>
    </row>
    <row r="40" spans="1:53">
      <c r="A40" s="37">
        <v>16158.999999999998</v>
      </c>
      <c r="B40" s="38" t="s">
        <v>232</v>
      </c>
      <c r="C40" s="39">
        <v>61.6</v>
      </c>
      <c r="D40" s="39">
        <v>23.74</v>
      </c>
      <c r="E40" s="39">
        <v>0.26919999999999999</v>
      </c>
      <c r="F40" s="39">
        <v>0.1641</v>
      </c>
      <c r="G40" s="39">
        <v>0.1023</v>
      </c>
      <c r="H40" s="39">
        <v>5.35</v>
      </c>
      <c r="I40" s="39">
        <v>8.17</v>
      </c>
      <c r="J40" s="39">
        <v>0.89980000000000004</v>
      </c>
      <c r="K40" s="26">
        <f t="shared" si="15"/>
        <v>100.2954</v>
      </c>
      <c r="L40" s="27">
        <f t="shared" si="16"/>
        <v>1.0252262238221965</v>
      </c>
      <c r="M40" s="27">
        <f t="shared" si="17"/>
        <v>0.23283349258987304</v>
      </c>
      <c r="N40" s="27">
        <f t="shared" si="18"/>
        <v>3.7469865431404539E-3</v>
      </c>
      <c r="O40" s="27">
        <f t="shared" si="19"/>
        <v>1.5836802760872963E-3</v>
      </c>
      <c r="P40" s="27">
        <f t="shared" si="20"/>
        <v>6.6720408227154615E-4</v>
      </c>
      <c r="Q40" s="27">
        <f t="shared" si="21"/>
        <v>9.5403852532392711E-2</v>
      </c>
      <c r="R40" s="27">
        <f t="shared" si="22"/>
        <v>0.13181896947576063</v>
      </c>
      <c r="S40" s="27">
        <f t="shared" si="23"/>
        <v>9.5524226081786911E-3</v>
      </c>
      <c r="T40" s="27">
        <f t="shared" si="24"/>
        <v>2.0504524476443931</v>
      </c>
      <c r="U40" s="27">
        <f t="shared" si="25"/>
        <v>0.6985004777696191</v>
      </c>
      <c r="V40" s="27">
        <f t="shared" si="26"/>
        <v>3.7469865431404539E-3</v>
      </c>
      <c r="W40" s="27">
        <f t="shared" si="27"/>
        <v>1.5836802760872963E-3</v>
      </c>
      <c r="X40" s="27">
        <f t="shared" si="28"/>
        <v>6.6720408227154615E-4</v>
      </c>
      <c r="Y40" s="27">
        <f t="shared" si="29"/>
        <v>9.5403852532392711E-2</v>
      </c>
      <c r="Z40" s="27">
        <f t="shared" si="30"/>
        <v>0.13181896947576063</v>
      </c>
      <c r="AA40" s="27">
        <f t="shared" si="31"/>
        <v>9.5524226081786911E-3</v>
      </c>
      <c r="AB40" s="27">
        <f t="shared" si="32"/>
        <v>2.9917260409318436</v>
      </c>
      <c r="AC40" s="26">
        <f t="shared" si="48"/>
        <v>5.482995219724681</v>
      </c>
      <c r="AD40" s="26">
        <f t="shared" si="49"/>
        <v>1.8678193610322813</v>
      </c>
      <c r="AE40" s="26">
        <f t="shared" si="50"/>
        <v>1.001959802970025E-2</v>
      </c>
      <c r="AF40" s="26">
        <f t="shared" si="51"/>
        <v>4.2348269979801271E-3</v>
      </c>
      <c r="AG40" s="26">
        <f t="shared" si="52"/>
        <v>1.7841314963818805E-3</v>
      </c>
      <c r="AH40" s="26">
        <f t="shared" si="53"/>
        <v>0.25511387400345503</v>
      </c>
      <c r="AI40" s="26">
        <f t="shared" si="54"/>
        <v>0.35248941292686681</v>
      </c>
      <c r="AJ40" s="26">
        <f t="shared" si="55"/>
        <v>2.5543575788653065E-2</v>
      </c>
      <c r="AK40" s="26">
        <f t="shared" si="33"/>
        <v>7.9999999999999991</v>
      </c>
      <c r="AL40" s="26">
        <f t="shared" si="34"/>
        <v>2.7414976098623405</v>
      </c>
      <c r="AM40" s="26">
        <f t="shared" si="35"/>
        <v>1.2452129073548541</v>
      </c>
      <c r="AN40" s="26">
        <f t="shared" si="36"/>
        <v>1.001959802970025E-2</v>
      </c>
      <c r="AO40" s="26">
        <f t="shared" si="37"/>
        <v>4.2348269979801271E-3</v>
      </c>
      <c r="AP40" s="26">
        <f t="shared" si="38"/>
        <v>1.7841314963818805E-3</v>
      </c>
      <c r="AQ40" s="26">
        <f t="shared" si="39"/>
        <v>0.25511387400345503</v>
      </c>
      <c r="AR40" s="26">
        <f t="shared" si="40"/>
        <v>0.70497882585373361</v>
      </c>
      <c r="AS40" s="26">
        <f t="shared" si="41"/>
        <v>5.1087151577306131E-2</v>
      </c>
      <c r="AT40" s="26">
        <f t="shared" si="42"/>
        <v>5.0139289251757511</v>
      </c>
      <c r="AU40" s="26"/>
      <c r="AV40" s="33">
        <f t="shared" si="56"/>
        <v>16158.999999999998</v>
      </c>
      <c r="AW40" s="26">
        <f t="shared" si="47"/>
        <v>0.25229327269678253</v>
      </c>
      <c r="AX40" s="26">
        <f t="shared" si="57"/>
        <v>0.69718440775261314</v>
      </c>
      <c r="AY40" s="26">
        <f t="shared" si="43"/>
        <v>0</v>
      </c>
      <c r="AZ40" s="26">
        <f t="shared" si="44"/>
        <v>3</v>
      </c>
      <c r="BA40" s="38" t="str">
        <f t="shared" si="45"/>
        <v>18eHP06.2</v>
      </c>
    </row>
    <row r="41" spans="1:53">
      <c r="A41" s="37">
        <v>16161.000000000002</v>
      </c>
      <c r="B41" s="38" t="s">
        <v>233</v>
      </c>
      <c r="C41" s="39">
        <v>59.91</v>
      </c>
      <c r="D41" s="39">
        <v>25.33</v>
      </c>
      <c r="E41" s="39">
        <v>0.27</v>
      </c>
      <c r="F41" s="39">
        <v>0.23250000000000001</v>
      </c>
      <c r="G41" s="39">
        <v>1.7399999999999999E-2</v>
      </c>
      <c r="H41" s="39">
        <v>6.73</v>
      </c>
      <c r="I41" s="39">
        <v>7.5</v>
      </c>
      <c r="J41" s="39">
        <v>0.68940000000000001</v>
      </c>
      <c r="K41" s="26">
        <f t="shared" si="15"/>
        <v>100.6793</v>
      </c>
      <c r="L41" s="27">
        <f t="shared" si="16"/>
        <v>0.9970990757985031</v>
      </c>
      <c r="M41" s="27">
        <f t="shared" si="17"/>
        <v>0.24842764815928745</v>
      </c>
      <c r="N41" s="27">
        <f t="shared" si="18"/>
        <v>3.7581217186029815E-3</v>
      </c>
      <c r="O41" s="27">
        <f t="shared" si="19"/>
        <v>2.2437883253522027E-3</v>
      </c>
      <c r="P41" s="27">
        <f t="shared" si="20"/>
        <v>1.1348339229252104E-4</v>
      </c>
      <c r="Q41" s="27">
        <f t="shared" si="21"/>
        <v>0.12001269673700991</v>
      </c>
      <c r="R41" s="27">
        <f t="shared" si="22"/>
        <v>0.121008845907981</v>
      </c>
      <c r="S41" s="27">
        <f t="shared" si="23"/>
        <v>7.3187821138901866E-3</v>
      </c>
      <c r="T41" s="27">
        <f t="shared" si="24"/>
        <v>1.9941981515970062</v>
      </c>
      <c r="U41" s="27">
        <f t="shared" si="25"/>
        <v>0.74528294447786236</v>
      </c>
      <c r="V41" s="27">
        <f t="shared" si="26"/>
        <v>3.7581217186029815E-3</v>
      </c>
      <c r="W41" s="27">
        <f t="shared" si="27"/>
        <v>2.2437883253522027E-3</v>
      </c>
      <c r="X41" s="27">
        <f t="shared" si="28"/>
        <v>1.1348339229252104E-4</v>
      </c>
      <c r="Y41" s="27">
        <f t="shared" si="29"/>
        <v>0.12001269673700991</v>
      </c>
      <c r="Z41" s="27">
        <f t="shared" si="30"/>
        <v>0.121008845907981</v>
      </c>
      <c r="AA41" s="27">
        <f t="shared" si="31"/>
        <v>7.3187821138901866E-3</v>
      </c>
      <c r="AB41" s="27">
        <f t="shared" si="32"/>
        <v>2.9939368142699974</v>
      </c>
      <c r="AC41" s="26">
        <f t="shared" si="48"/>
        <v>5.3286312312058479</v>
      </c>
      <c r="AD41" s="26">
        <f t="shared" si="49"/>
        <v>1.9914460209731113</v>
      </c>
      <c r="AE41" s="26">
        <f t="shared" si="50"/>
        <v>1.0041953325643081E-2</v>
      </c>
      <c r="AF41" s="26">
        <f t="shared" si="51"/>
        <v>5.9955529179043119E-3</v>
      </c>
      <c r="AG41" s="26">
        <f t="shared" si="52"/>
        <v>3.0323523663325233E-4</v>
      </c>
      <c r="AH41" s="26">
        <f t="shared" si="53"/>
        <v>0.32068197609246407</v>
      </c>
      <c r="AI41" s="26">
        <f t="shared" si="54"/>
        <v>0.32334375349864886</v>
      </c>
      <c r="AJ41" s="26">
        <f t="shared" si="55"/>
        <v>1.9556276749747515E-2</v>
      </c>
      <c r="AK41" s="26">
        <f t="shared" si="33"/>
        <v>8</v>
      </c>
      <c r="AL41" s="26">
        <f t="shared" si="34"/>
        <v>2.664315615602924</v>
      </c>
      <c r="AM41" s="26">
        <f t="shared" si="35"/>
        <v>1.3276306806487408</v>
      </c>
      <c r="AN41" s="26">
        <f t="shared" si="36"/>
        <v>1.0041953325643081E-2</v>
      </c>
      <c r="AO41" s="26">
        <f t="shared" si="37"/>
        <v>5.9955529179043119E-3</v>
      </c>
      <c r="AP41" s="26">
        <f t="shared" si="38"/>
        <v>3.0323523663325233E-4</v>
      </c>
      <c r="AQ41" s="26">
        <f t="shared" si="39"/>
        <v>0.32068197609246407</v>
      </c>
      <c r="AR41" s="26">
        <f t="shared" si="40"/>
        <v>0.64668750699729771</v>
      </c>
      <c r="AS41" s="26">
        <f t="shared" si="41"/>
        <v>3.911255349949503E-2</v>
      </c>
      <c r="AT41" s="26">
        <f t="shared" si="42"/>
        <v>5.0147690743211024</v>
      </c>
      <c r="AU41" s="26"/>
      <c r="AV41" s="33">
        <f t="shared" si="56"/>
        <v>16161.000000000002</v>
      </c>
      <c r="AW41" s="26">
        <f t="shared" si="47"/>
        <v>0.31861669104317425</v>
      </c>
      <c r="AX41" s="26">
        <f t="shared" si="57"/>
        <v>0.64252265165981248</v>
      </c>
      <c r="AY41" s="26">
        <f t="shared" si="43"/>
        <v>0</v>
      </c>
      <c r="AZ41" s="26">
        <f t="shared" si="44"/>
        <v>3</v>
      </c>
      <c r="BA41" s="38" t="str">
        <f t="shared" si="45"/>
        <v>18eHP06.4</v>
      </c>
    </row>
    <row r="42" spans="1:53">
      <c r="A42" s="37">
        <v>16164.000000000002</v>
      </c>
      <c r="B42" s="38" t="s">
        <v>234</v>
      </c>
      <c r="C42" s="39">
        <v>54.38</v>
      </c>
      <c r="D42" s="39">
        <v>28.66</v>
      </c>
      <c r="E42" s="39">
        <v>0.49909999999999999</v>
      </c>
      <c r="F42" s="39">
        <v>0.43090000000000001</v>
      </c>
      <c r="G42" s="39">
        <v>8.0799999999999997E-2</v>
      </c>
      <c r="H42" s="39">
        <v>11.03</v>
      </c>
      <c r="I42" s="39">
        <v>5.05</v>
      </c>
      <c r="J42" s="39">
        <v>0.30580000000000002</v>
      </c>
      <c r="K42" s="26">
        <f t="shared" si="15"/>
        <v>100.4366</v>
      </c>
      <c r="L42" s="27">
        <f t="shared" si="16"/>
        <v>0.90506172161446508</v>
      </c>
      <c r="M42" s="27">
        <f t="shared" si="17"/>
        <v>0.28108710604994785</v>
      </c>
      <c r="N42" s="27">
        <f t="shared" si="18"/>
        <v>6.9469575916842512E-3</v>
      </c>
      <c r="O42" s="27">
        <f t="shared" si="19"/>
        <v>4.1584876963194151E-3</v>
      </c>
      <c r="P42" s="27">
        <f t="shared" si="20"/>
        <v>5.269803504158448E-4</v>
      </c>
      <c r="Q42" s="27">
        <f t="shared" si="21"/>
        <v>0.19669242867893302</v>
      </c>
      <c r="R42" s="27">
        <f t="shared" si="22"/>
        <v>8.1479289578040542E-2</v>
      </c>
      <c r="S42" s="27">
        <f t="shared" si="23"/>
        <v>3.2464223533908024E-3</v>
      </c>
      <c r="T42" s="27">
        <f t="shared" si="24"/>
        <v>1.8101234432289302</v>
      </c>
      <c r="U42" s="27">
        <f t="shared" si="25"/>
        <v>0.84326131814984362</v>
      </c>
      <c r="V42" s="27">
        <f t="shared" si="26"/>
        <v>6.9469575916842512E-3</v>
      </c>
      <c r="W42" s="27">
        <f t="shared" si="27"/>
        <v>4.1584876963194151E-3</v>
      </c>
      <c r="X42" s="27">
        <f t="shared" si="28"/>
        <v>5.269803504158448E-4</v>
      </c>
      <c r="Y42" s="27">
        <f t="shared" si="29"/>
        <v>0.19669242867893302</v>
      </c>
      <c r="Z42" s="27">
        <f t="shared" si="30"/>
        <v>8.1479289578040542E-2</v>
      </c>
      <c r="AA42" s="27">
        <f t="shared" si="31"/>
        <v>3.2464223533908024E-3</v>
      </c>
      <c r="AB42" s="27">
        <f t="shared" si="32"/>
        <v>2.9464353276275572</v>
      </c>
      <c r="AC42" s="26">
        <f t="shared" si="48"/>
        <v>4.9147481399129846</v>
      </c>
      <c r="AD42" s="26">
        <f t="shared" si="49"/>
        <v>2.2895769956134213</v>
      </c>
      <c r="AE42" s="26">
        <f t="shared" si="50"/>
        <v>1.8861999179945695E-2</v>
      </c>
      <c r="AF42" s="26">
        <f t="shared" si="51"/>
        <v>1.1290898279224181E-2</v>
      </c>
      <c r="AG42" s="26">
        <f t="shared" si="52"/>
        <v>1.4308282159789731E-3</v>
      </c>
      <c r="AH42" s="26">
        <f t="shared" si="53"/>
        <v>0.53404852116624046</v>
      </c>
      <c r="AI42" s="26">
        <f t="shared" si="54"/>
        <v>0.22122810927235773</v>
      </c>
      <c r="AJ42" s="26">
        <f t="shared" si="55"/>
        <v>8.8145083598486235E-3</v>
      </c>
      <c r="AK42" s="26">
        <f t="shared" si="33"/>
        <v>8.0000000000000018</v>
      </c>
      <c r="AL42" s="26">
        <f t="shared" si="34"/>
        <v>2.4573740699564923</v>
      </c>
      <c r="AM42" s="26">
        <f t="shared" si="35"/>
        <v>1.5263846637422809</v>
      </c>
      <c r="AN42" s="26">
        <f t="shared" si="36"/>
        <v>1.8861999179945695E-2</v>
      </c>
      <c r="AO42" s="26">
        <f t="shared" si="37"/>
        <v>1.1290898279224181E-2</v>
      </c>
      <c r="AP42" s="26">
        <f t="shared" si="38"/>
        <v>1.4308282159789731E-3</v>
      </c>
      <c r="AQ42" s="26">
        <f t="shared" si="39"/>
        <v>0.53404852116624046</v>
      </c>
      <c r="AR42" s="26">
        <f t="shared" si="40"/>
        <v>0.44245621854471545</v>
      </c>
      <c r="AS42" s="26">
        <f t="shared" si="41"/>
        <v>1.7629016719697247E-2</v>
      </c>
      <c r="AT42" s="26">
        <f t="shared" si="42"/>
        <v>5.0094762158045754</v>
      </c>
      <c r="AU42" s="26"/>
      <c r="AV42" s="33">
        <f t="shared" si="56"/>
        <v>16164.000000000002</v>
      </c>
      <c r="AW42" s="26">
        <f t="shared" si="47"/>
        <v>0.53719986642812845</v>
      </c>
      <c r="AX42" s="26">
        <f t="shared" si="57"/>
        <v>0.44506709050230248</v>
      </c>
      <c r="AY42" s="26">
        <f t="shared" si="43"/>
        <v>0.69540640852295788</v>
      </c>
      <c r="AZ42" s="26">
        <f t="shared" si="44"/>
        <v>1.6816101720552594</v>
      </c>
      <c r="BA42" s="38" t="str">
        <f t="shared" si="45"/>
        <v>26dHP01.3</v>
      </c>
    </row>
    <row r="43" spans="1:53">
      <c r="A43" s="37">
        <v>16165</v>
      </c>
      <c r="B43" s="38" t="s">
        <v>235</v>
      </c>
      <c r="C43" s="39">
        <v>54.1</v>
      </c>
      <c r="D43" s="39">
        <v>28.57</v>
      </c>
      <c r="E43" s="39">
        <v>0.42270000000000002</v>
      </c>
      <c r="F43" s="39">
        <v>0.28560000000000002</v>
      </c>
      <c r="G43" s="39">
        <v>9.4799999999999995E-2</v>
      </c>
      <c r="H43" s="39">
        <v>10.85</v>
      </c>
      <c r="I43" s="39">
        <v>5.0999999999999996</v>
      </c>
      <c r="J43" s="39">
        <v>0.29849999999999999</v>
      </c>
      <c r="K43" s="26">
        <f t="shared" si="15"/>
        <v>99.721600000000009</v>
      </c>
      <c r="L43" s="27">
        <f t="shared" si="16"/>
        <v>0.90040160241527323</v>
      </c>
      <c r="M43" s="27">
        <f t="shared" si="17"/>
        <v>0.28020441799884893</v>
      </c>
      <c r="N43" s="27">
        <f t="shared" si="18"/>
        <v>5.8835483350128896E-3</v>
      </c>
      <c r="O43" s="27">
        <f t="shared" si="19"/>
        <v>2.7562406267552216E-3</v>
      </c>
      <c r="P43" s="27">
        <f t="shared" si="20"/>
        <v>6.1828882697304564E-4</v>
      </c>
      <c r="Q43" s="27">
        <f t="shared" si="21"/>
        <v>0.19348257943485253</v>
      </c>
      <c r="R43" s="27">
        <f t="shared" si="22"/>
        <v>8.2286015217427066E-2</v>
      </c>
      <c r="S43" s="27">
        <f t="shared" si="23"/>
        <v>3.1689243704615907E-3</v>
      </c>
      <c r="T43" s="27">
        <f t="shared" si="24"/>
        <v>1.8008032048305465</v>
      </c>
      <c r="U43" s="27">
        <f t="shared" si="25"/>
        <v>0.84061325399654674</v>
      </c>
      <c r="V43" s="27">
        <f t="shared" si="26"/>
        <v>5.8835483350128896E-3</v>
      </c>
      <c r="W43" s="27">
        <f t="shared" si="27"/>
        <v>2.7562406267552216E-3</v>
      </c>
      <c r="X43" s="27">
        <f t="shared" si="28"/>
        <v>6.1828882697304564E-4</v>
      </c>
      <c r="Y43" s="27">
        <f t="shared" si="29"/>
        <v>0.19348257943485253</v>
      </c>
      <c r="Z43" s="27">
        <f t="shared" si="30"/>
        <v>8.2286015217427066E-2</v>
      </c>
      <c r="AA43" s="27">
        <f t="shared" si="31"/>
        <v>3.1689243704615907E-3</v>
      </c>
      <c r="AB43" s="27">
        <f t="shared" si="32"/>
        <v>2.9296120556385756</v>
      </c>
      <c r="AC43" s="26">
        <f t="shared" si="48"/>
        <v>4.9175199190338406</v>
      </c>
      <c r="AD43" s="26">
        <f t="shared" si="49"/>
        <v>2.295493705055268</v>
      </c>
      <c r="AE43" s="26">
        <f t="shared" si="50"/>
        <v>1.6066423057452733E-2</v>
      </c>
      <c r="AF43" s="26">
        <f t="shared" si="51"/>
        <v>7.5265682265345159E-3</v>
      </c>
      <c r="AG43" s="26">
        <f t="shared" si="52"/>
        <v>1.6883841689087412E-3</v>
      </c>
      <c r="AH43" s="26">
        <f t="shared" si="53"/>
        <v>0.52835003614204779</v>
      </c>
      <c r="AI43" s="26">
        <f t="shared" si="54"/>
        <v>0.22470146532624358</v>
      </c>
      <c r="AJ43" s="26">
        <f t="shared" si="55"/>
        <v>8.6534989897038821E-3</v>
      </c>
      <c r="AK43" s="26">
        <f t="shared" si="33"/>
        <v>8</v>
      </c>
      <c r="AL43" s="26">
        <f t="shared" si="34"/>
        <v>2.4587599595169203</v>
      </c>
      <c r="AM43" s="26">
        <f t="shared" si="35"/>
        <v>1.5303291367035119</v>
      </c>
      <c r="AN43" s="26">
        <f t="shared" si="36"/>
        <v>1.6066423057452733E-2</v>
      </c>
      <c r="AO43" s="26">
        <f t="shared" si="37"/>
        <v>7.5265682265345159E-3</v>
      </c>
      <c r="AP43" s="26">
        <f t="shared" si="38"/>
        <v>1.6883841689087412E-3</v>
      </c>
      <c r="AQ43" s="26">
        <f t="shared" si="39"/>
        <v>0.52835003614204779</v>
      </c>
      <c r="AR43" s="26">
        <f t="shared" si="40"/>
        <v>0.44940293065248715</v>
      </c>
      <c r="AS43" s="26">
        <f t="shared" si="41"/>
        <v>1.7306997979407764E-2</v>
      </c>
      <c r="AT43" s="26">
        <f t="shared" si="42"/>
        <v>5.0094304364472722</v>
      </c>
      <c r="AU43" s="26"/>
      <c r="AV43" s="33">
        <f t="shared" si="56"/>
        <v>16165</v>
      </c>
      <c r="AW43" s="26">
        <f t="shared" si="47"/>
        <v>0.53097306177128545</v>
      </c>
      <c r="AX43" s="26">
        <f t="shared" si="57"/>
        <v>0.45163401861372482</v>
      </c>
      <c r="AY43" s="26">
        <f t="shared" si="43"/>
        <v>0.60846299450079133</v>
      </c>
      <c r="AZ43" s="26">
        <f t="shared" si="44"/>
        <v>1.8392164467293957</v>
      </c>
      <c r="BA43" s="38" t="str">
        <f t="shared" si="45"/>
        <v>26dHP01.4</v>
      </c>
    </row>
    <row r="44" spans="1:53">
      <c r="A44" s="37">
        <v>16167.000000000002</v>
      </c>
      <c r="B44" s="38" t="s">
        <v>236</v>
      </c>
      <c r="C44" s="39">
        <v>57.55</v>
      </c>
      <c r="D44" s="39">
        <v>26.6</v>
      </c>
      <c r="E44" s="39">
        <v>0.33110000000000001</v>
      </c>
      <c r="F44" s="39">
        <v>0.29680000000000001</v>
      </c>
      <c r="G44" s="39">
        <v>0.1075</v>
      </c>
      <c r="H44" s="39">
        <v>8.2899999999999991</v>
      </c>
      <c r="I44" s="39">
        <v>6.61</v>
      </c>
      <c r="J44" s="39">
        <v>0.46500000000000002</v>
      </c>
      <c r="K44" s="26">
        <f t="shared" si="15"/>
        <v>100.25040000000003</v>
      </c>
      <c r="L44" s="27">
        <f t="shared" si="16"/>
        <v>0.9578209282624579</v>
      </c>
      <c r="M44" s="27">
        <f t="shared" si="17"/>
        <v>0.26088335732479456</v>
      </c>
      <c r="N44" s="27">
        <f t="shared" si="18"/>
        <v>4.6085707445535076E-3</v>
      </c>
      <c r="O44" s="27">
        <f t="shared" si="19"/>
        <v>2.8643284944711127E-3</v>
      </c>
      <c r="P44" s="27">
        <f t="shared" si="20"/>
        <v>7.0111865927850649E-4</v>
      </c>
      <c r="Q44" s="27">
        <f t="shared" si="21"/>
        <v>0.1478313901857076</v>
      </c>
      <c r="R44" s="27">
        <f t="shared" si="22"/>
        <v>0.10664912952690059</v>
      </c>
      <c r="S44" s="27">
        <f t="shared" si="23"/>
        <v>4.9365153509703177E-3</v>
      </c>
      <c r="T44" s="27">
        <f t="shared" si="24"/>
        <v>1.9156418565249158</v>
      </c>
      <c r="U44" s="27">
        <f t="shared" si="25"/>
        <v>0.78265007197438363</v>
      </c>
      <c r="V44" s="27">
        <f t="shared" si="26"/>
        <v>4.6085707445535076E-3</v>
      </c>
      <c r="W44" s="27">
        <f t="shared" si="27"/>
        <v>2.8643284944711127E-3</v>
      </c>
      <c r="X44" s="27">
        <f t="shared" si="28"/>
        <v>7.0111865927850649E-4</v>
      </c>
      <c r="Y44" s="27">
        <f t="shared" si="29"/>
        <v>0.1478313901857076</v>
      </c>
      <c r="Z44" s="27">
        <f t="shared" si="30"/>
        <v>0.10664912952690059</v>
      </c>
      <c r="AA44" s="27">
        <f t="shared" si="31"/>
        <v>4.9365153509703177E-3</v>
      </c>
      <c r="AB44" s="27">
        <f t="shared" si="32"/>
        <v>2.9658829814611813</v>
      </c>
      <c r="AC44" s="26">
        <f t="shared" si="48"/>
        <v>5.1671407631359738</v>
      </c>
      <c r="AD44" s="26">
        <f t="shared" si="49"/>
        <v>2.1110747170174617</v>
      </c>
      <c r="AE44" s="26">
        <f t="shared" si="50"/>
        <v>1.2430890290305478E-2</v>
      </c>
      <c r="AF44" s="26">
        <f t="shared" si="51"/>
        <v>7.7260728420511411E-3</v>
      </c>
      <c r="AG44" s="26">
        <f t="shared" si="52"/>
        <v>1.8911566333829964E-3</v>
      </c>
      <c r="AH44" s="26">
        <f t="shared" si="53"/>
        <v>0.39875178113163862</v>
      </c>
      <c r="AI44" s="26">
        <f t="shared" si="54"/>
        <v>0.28766914997936566</v>
      </c>
      <c r="AJ44" s="26">
        <f t="shared" si="55"/>
        <v>1.3315468969819649E-2</v>
      </c>
      <c r="AK44" s="26">
        <f t="shared" si="33"/>
        <v>8</v>
      </c>
      <c r="AL44" s="26">
        <f t="shared" si="34"/>
        <v>2.5835703815679869</v>
      </c>
      <c r="AM44" s="26">
        <f t="shared" si="35"/>
        <v>1.4073831446783078</v>
      </c>
      <c r="AN44" s="26">
        <f t="shared" si="36"/>
        <v>1.2430890290305478E-2</v>
      </c>
      <c r="AO44" s="26">
        <f t="shared" si="37"/>
        <v>7.7260728420511411E-3</v>
      </c>
      <c r="AP44" s="26">
        <f t="shared" si="38"/>
        <v>1.8911566333829964E-3</v>
      </c>
      <c r="AQ44" s="26">
        <f t="shared" si="39"/>
        <v>0.39875178113163862</v>
      </c>
      <c r="AR44" s="26">
        <f t="shared" si="40"/>
        <v>0.57533829995873131</v>
      </c>
      <c r="AS44" s="26">
        <f t="shared" si="41"/>
        <v>2.6630937939639297E-2</v>
      </c>
      <c r="AT44" s="26">
        <f t="shared" si="42"/>
        <v>5.0137226650420441</v>
      </c>
      <c r="AU44" s="26"/>
      <c r="AV44" s="33">
        <f t="shared" si="56"/>
        <v>16167.000000000002</v>
      </c>
      <c r="AW44" s="26">
        <f t="shared" si="47"/>
        <v>0.39846448065830131</v>
      </c>
      <c r="AX44" s="26">
        <f t="shared" si="57"/>
        <v>0.5749237689804918</v>
      </c>
      <c r="AY44" s="26">
        <f t="shared" si="43"/>
        <v>0</v>
      </c>
      <c r="AZ44" s="26">
        <f t="shared" si="44"/>
        <v>3</v>
      </c>
      <c r="BA44" s="38" t="str">
        <f t="shared" si="45"/>
        <v>26dHP01.6</v>
      </c>
    </row>
    <row r="45" spans="1:53">
      <c r="A45" s="37">
        <v>16169</v>
      </c>
      <c r="B45" s="38" t="s">
        <v>237</v>
      </c>
      <c r="C45" s="39">
        <v>61.75</v>
      </c>
      <c r="D45" s="39">
        <v>23.92</v>
      </c>
      <c r="E45" s="39">
        <v>0.21890000000000001</v>
      </c>
      <c r="F45" s="39">
        <v>0.18390000000000001</v>
      </c>
      <c r="G45" s="39">
        <v>8.8999999999999996E-2</v>
      </c>
      <c r="H45" s="39">
        <v>5.34</v>
      </c>
      <c r="I45" s="39">
        <v>7.9</v>
      </c>
      <c r="J45" s="39">
        <v>0.85929999999999995</v>
      </c>
      <c r="K45" s="26">
        <f t="shared" si="15"/>
        <v>100.26110000000001</v>
      </c>
      <c r="L45" s="27">
        <f t="shared" si="16"/>
        <v>1.0277227162503351</v>
      </c>
      <c r="M45" s="27">
        <f t="shared" si="17"/>
        <v>0.23459886869207092</v>
      </c>
      <c r="N45" s="27">
        <f t="shared" si="18"/>
        <v>3.0468623859340469E-3</v>
      </c>
      <c r="O45" s="27">
        <f t="shared" si="19"/>
        <v>1.7747641850850324E-3</v>
      </c>
      <c r="P45" s="27">
        <f t="shared" si="20"/>
        <v>5.8046102954220538E-4</v>
      </c>
      <c r="Q45" s="27">
        <f t="shared" si="21"/>
        <v>9.522552757438825E-2</v>
      </c>
      <c r="R45" s="27">
        <f t="shared" si="22"/>
        <v>0.12746265102307333</v>
      </c>
      <c r="S45" s="27">
        <f t="shared" si="23"/>
        <v>9.1224680453522444E-3</v>
      </c>
      <c r="T45" s="27">
        <f t="shared" si="24"/>
        <v>2.0554454325006701</v>
      </c>
      <c r="U45" s="27">
        <f t="shared" si="25"/>
        <v>0.70379660607621275</v>
      </c>
      <c r="V45" s="27">
        <f t="shared" si="26"/>
        <v>3.0468623859340469E-3</v>
      </c>
      <c r="W45" s="27">
        <f t="shared" si="27"/>
        <v>1.7747641850850324E-3</v>
      </c>
      <c r="X45" s="27">
        <f t="shared" si="28"/>
        <v>5.8046102954220538E-4</v>
      </c>
      <c r="Y45" s="27">
        <f t="shared" si="29"/>
        <v>9.522552757438825E-2</v>
      </c>
      <c r="Z45" s="27">
        <f t="shared" si="30"/>
        <v>0.12746265102307333</v>
      </c>
      <c r="AA45" s="27">
        <f t="shared" si="31"/>
        <v>9.1224680453522444E-3</v>
      </c>
      <c r="AB45" s="27">
        <f t="shared" si="32"/>
        <v>2.9964547728202584</v>
      </c>
      <c r="AC45" s="26">
        <f t="shared" si="48"/>
        <v>5.4876728356319244</v>
      </c>
      <c r="AD45" s="26">
        <f t="shared" si="49"/>
        <v>1.8790114570327401</v>
      </c>
      <c r="AE45" s="26">
        <f t="shared" si="50"/>
        <v>8.134579339747804E-3</v>
      </c>
      <c r="AF45" s="26">
        <f t="shared" si="51"/>
        <v>4.7383039482077746E-3</v>
      </c>
      <c r="AG45" s="26">
        <f t="shared" si="52"/>
        <v>1.5497274574136192E-3</v>
      </c>
      <c r="AH45" s="26">
        <f t="shared" si="53"/>
        <v>0.254235180689244</v>
      </c>
      <c r="AI45" s="26">
        <f t="shared" si="54"/>
        <v>0.34030255268122922</v>
      </c>
      <c r="AJ45" s="26">
        <f t="shared" si="55"/>
        <v>2.4355363219492058E-2</v>
      </c>
      <c r="AK45" s="26">
        <f t="shared" si="33"/>
        <v>7.9999999999999973</v>
      </c>
      <c r="AL45" s="26">
        <f t="shared" si="34"/>
        <v>2.7438364178159622</v>
      </c>
      <c r="AM45" s="26">
        <f t="shared" si="35"/>
        <v>1.2526743046884934</v>
      </c>
      <c r="AN45" s="26">
        <f t="shared" si="36"/>
        <v>8.134579339747804E-3</v>
      </c>
      <c r="AO45" s="26">
        <f t="shared" si="37"/>
        <v>4.7383039482077746E-3</v>
      </c>
      <c r="AP45" s="26">
        <f t="shared" si="38"/>
        <v>1.5497274574136192E-3</v>
      </c>
      <c r="AQ45" s="26">
        <f t="shared" si="39"/>
        <v>0.254235180689244</v>
      </c>
      <c r="AR45" s="26">
        <f t="shared" si="40"/>
        <v>0.68060510536245844</v>
      </c>
      <c r="AS45" s="26">
        <f t="shared" si="41"/>
        <v>4.8710726438984116E-2</v>
      </c>
      <c r="AT45" s="26">
        <f t="shared" si="42"/>
        <v>4.9944843457405108</v>
      </c>
      <c r="AU45" s="26"/>
      <c r="AV45" s="33">
        <f t="shared" si="56"/>
        <v>16169</v>
      </c>
      <c r="AW45" s="26">
        <f t="shared" si="47"/>
        <v>0.25848703062735284</v>
      </c>
      <c r="AX45" s="26">
        <f t="shared" si="57"/>
        <v>0.69198760076402566</v>
      </c>
      <c r="AY45" s="26">
        <f t="shared" si="43"/>
        <v>0</v>
      </c>
      <c r="AZ45" s="26">
        <f t="shared" si="44"/>
        <v>3</v>
      </c>
      <c r="BA45" s="38" t="str">
        <f t="shared" si="45"/>
        <v>26dHP02.2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1"/>
  <sheetViews>
    <sheetView zoomScale="50" zoomScaleNormal="50" zoomScalePageLayoutView="50" workbookViewId="0">
      <selection activeCell="P66" sqref="P66"/>
    </sheetView>
  </sheetViews>
  <sheetFormatPr baseColWidth="10" defaultRowHeight="15" x14ac:dyDescent="0"/>
  <cols>
    <col min="1" max="1" width="3.5" customWidth="1"/>
    <col min="2" max="2" width="7.5" bestFit="1" customWidth="1"/>
    <col min="3" max="3" width="8" bestFit="1" customWidth="1"/>
    <col min="4" max="4" width="6.5" customWidth="1"/>
    <col min="5" max="5" width="12.1640625" bestFit="1" customWidth="1"/>
    <col min="6" max="6" width="9.5" customWidth="1"/>
    <col min="7" max="7" width="10.5" bestFit="1" customWidth="1"/>
    <col min="8" max="16" width="9.6640625" bestFit="1" customWidth="1"/>
    <col min="17" max="17" width="10.5" bestFit="1" customWidth="1"/>
    <col min="18" max="28" width="9.6640625" bestFit="1" customWidth="1"/>
    <col min="29" max="31" width="10.5" bestFit="1" customWidth="1"/>
    <col min="32" max="39" width="9.6640625" bestFit="1" customWidth="1"/>
    <col min="40" max="42" width="10.5" bestFit="1" customWidth="1"/>
    <col min="43" max="46" width="9.6640625" bestFit="1" customWidth="1"/>
    <col min="47" max="47" width="10.5" bestFit="1" customWidth="1"/>
    <col min="48" max="62" width="9.6640625" bestFit="1" customWidth="1"/>
  </cols>
  <sheetData>
    <row r="1" spans="1:62">
      <c r="A1" s="7" t="s">
        <v>75</v>
      </c>
      <c r="D1" s="1"/>
      <c r="E1" s="1"/>
      <c r="F1" s="51" t="s">
        <v>71</v>
      </c>
      <c r="G1" s="45"/>
      <c r="H1" s="45"/>
      <c r="I1" s="45"/>
      <c r="J1" s="45"/>
      <c r="K1" s="45"/>
      <c r="L1" s="28"/>
      <c r="M1" s="28"/>
      <c r="N1" s="28"/>
      <c r="O1" s="1"/>
    </row>
    <row r="2" spans="1:62">
      <c r="A2" s="7" t="s">
        <v>76</v>
      </c>
      <c r="B2" s="1"/>
      <c r="C2" s="1"/>
      <c r="D2" s="1"/>
      <c r="E2" s="6" t="s">
        <v>6</v>
      </c>
      <c r="F2" s="35">
        <v>16110</v>
      </c>
      <c r="G2" s="35">
        <v>16111.999999999998</v>
      </c>
      <c r="H2" s="35">
        <v>16102</v>
      </c>
      <c r="I2" s="35">
        <v>16104</v>
      </c>
      <c r="J2" s="35">
        <v>16106.000000000002</v>
      </c>
      <c r="K2" s="35">
        <v>16108</v>
      </c>
      <c r="L2" s="35">
        <v>16119</v>
      </c>
      <c r="M2" s="35">
        <v>16120.999999999998</v>
      </c>
      <c r="N2" s="35">
        <v>16123.000000000002</v>
      </c>
      <c r="O2" s="35">
        <v>16123.999999999998</v>
      </c>
      <c r="P2" s="35">
        <v>16128</v>
      </c>
      <c r="Q2" s="35">
        <v>16129.999999999998</v>
      </c>
      <c r="R2" s="35">
        <v>16131</v>
      </c>
      <c r="S2" s="35">
        <v>16134</v>
      </c>
      <c r="T2" s="35">
        <v>16136</v>
      </c>
      <c r="U2" s="35">
        <v>16138.000000000002</v>
      </c>
      <c r="V2" s="35">
        <v>16140</v>
      </c>
      <c r="W2" s="35">
        <v>16142</v>
      </c>
      <c r="X2" s="35">
        <v>16143.999999999998</v>
      </c>
      <c r="Y2" s="35">
        <v>16146</v>
      </c>
      <c r="Z2" s="35">
        <v>16149.999999999998</v>
      </c>
      <c r="AA2" s="35">
        <v>16151</v>
      </c>
      <c r="AB2" s="35">
        <v>16152.000000000002</v>
      </c>
      <c r="AC2" s="35">
        <v>16154</v>
      </c>
      <c r="AD2" s="35">
        <v>16155.999999999998</v>
      </c>
      <c r="AE2" s="35">
        <v>16158.000000000002</v>
      </c>
      <c r="AF2" s="35">
        <v>16160</v>
      </c>
      <c r="AG2" s="35">
        <v>16161.999999999998</v>
      </c>
      <c r="AH2" s="35">
        <v>16163</v>
      </c>
      <c r="AI2" s="35">
        <v>16166</v>
      </c>
      <c r="AJ2" s="35">
        <v>16168</v>
      </c>
      <c r="AK2" s="35">
        <v>15214</v>
      </c>
      <c r="AL2" s="35">
        <v>15215</v>
      </c>
      <c r="AM2" s="35">
        <v>15216</v>
      </c>
      <c r="AN2" s="35">
        <v>15211</v>
      </c>
      <c r="AO2" s="35">
        <v>15212</v>
      </c>
      <c r="AP2" s="35">
        <v>15213</v>
      </c>
      <c r="AQ2" s="35">
        <v>15218</v>
      </c>
      <c r="AR2" s="35">
        <v>15223</v>
      </c>
      <c r="AS2" s="35">
        <v>15224</v>
      </c>
      <c r="AT2" s="35">
        <v>15225</v>
      </c>
      <c r="AU2" s="35">
        <v>15226</v>
      </c>
      <c r="AV2" s="35">
        <v>15236</v>
      </c>
      <c r="AW2" s="35">
        <v>15237</v>
      </c>
      <c r="AX2" s="35">
        <v>15238</v>
      </c>
      <c r="AY2" s="35">
        <v>15233</v>
      </c>
      <c r="AZ2" s="35">
        <v>15234</v>
      </c>
      <c r="BA2" s="35">
        <v>15235</v>
      </c>
      <c r="BB2" s="35">
        <v>15248</v>
      </c>
      <c r="BC2" s="35">
        <v>15244</v>
      </c>
      <c r="BD2" s="35">
        <v>15245</v>
      </c>
      <c r="BE2" s="35">
        <v>15246</v>
      </c>
      <c r="BF2" s="35">
        <v>15247</v>
      </c>
      <c r="BG2" s="35">
        <v>15254</v>
      </c>
      <c r="BH2" s="35">
        <v>15255</v>
      </c>
      <c r="BI2" s="35">
        <v>15256</v>
      </c>
      <c r="BJ2" s="35">
        <v>15257</v>
      </c>
    </row>
    <row r="3" spans="1:62">
      <c r="A3" s="1" t="s">
        <v>79</v>
      </c>
      <c r="B3" s="1"/>
      <c r="C3" s="1"/>
      <c r="D3" s="1"/>
      <c r="E3" s="6" t="s">
        <v>50</v>
      </c>
      <c r="F3" s="34">
        <f>VLOOKUP(F$2,Amphibole!$CN$7:$CW$480,2,FALSE)</f>
        <v>0.72836790367880933</v>
      </c>
      <c r="G3" s="34">
        <f>VLOOKUP(G$2,Amphibole!$CN$7:$CW$480,2,FALSE)</f>
        <v>0.73038812452182733</v>
      </c>
      <c r="H3" s="34">
        <f>VLOOKUP(H$2,Amphibole!$CN$7:$CW$480,2,FALSE)</f>
        <v>0.73923130336870435</v>
      </c>
      <c r="I3" s="34">
        <f>VLOOKUP(I$2,Amphibole!$CN$7:$CW$480,2,FALSE)</f>
        <v>0.74709025005617957</v>
      </c>
      <c r="J3" s="34">
        <f>VLOOKUP(J$2,Amphibole!$CN$7:$CW$480,2,FALSE)</f>
        <v>0.73915673142219318</v>
      </c>
      <c r="K3" s="34">
        <f>VLOOKUP(K$2,Amphibole!$CN$7:$CW$480,2,FALSE)</f>
        <v>0.7231739788621574</v>
      </c>
      <c r="L3" s="34">
        <f>VLOOKUP(L$2,Amphibole!$CN$7:$CW$480,2,FALSE)</f>
        <v>0.74366208720118432</v>
      </c>
      <c r="M3" s="34">
        <f>VLOOKUP(M$2,Amphibole!$CN$7:$CW$480,2,FALSE)</f>
        <v>0.71898304857588657</v>
      </c>
      <c r="N3" s="34">
        <f>VLOOKUP(N$2,Amphibole!$CN$7:$CW$480,2,FALSE)</f>
        <v>0.74492704043834057</v>
      </c>
      <c r="O3" s="34">
        <f>VLOOKUP(O$2,Amphibole!$CN$7:$CW$480,2,FALSE)</f>
        <v>0.72923150435623385</v>
      </c>
      <c r="P3" s="34">
        <f>VLOOKUP(P$2,Amphibole!$CN$7:$CW$480,2,FALSE)</f>
        <v>0.73506871894546255</v>
      </c>
      <c r="Q3" s="34">
        <f>VLOOKUP(Q$2,Amphibole!$CN$7:$CW$480,2,FALSE)</f>
        <v>0.65906483971464613</v>
      </c>
      <c r="R3" s="34">
        <f>VLOOKUP(R$2,Amphibole!$CN$7:$CW$480,2,FALSE)</f>
        <v>0.72721304421192157</v>
      </c>
      <c r="S3" s="34">
        <f>VLOOKUP(S$2,Amphibole!$CN$7:$CW$480,2,FALSE)</f>
        <v>0.73054996433186692</v>
      </c>
      <c r="T3" s="34">
        <f>VLOOKUP(T$2,Amphibole!$CN$7:$CW$480,2,FALSE)</f>
        <v>0.65168050406289613</v>
      </c>
      <c r="U3" s="34">
        <f>VLOOKUP(U$2,Amphibole!$CN$7:$CW$480,2,FALSE)</f>
        <v>0.76697383173524702</v>
      </c>
      <c r="V3" s="34">
        <f>VLOOKUP(V$2,Amphibole!$CN$7:$CW$480,2,FALSE)</f>
        <v>0.74423588107751382</v>
      </c>
      <c r="W3" s="34">
        <f>VLOOKUP(W$2,Amphibole!$CN$7:$CW$480,2,FALSE)</f>
        <v>0.73393934161731167</v>
      </c>
      <c r="X3" s="34">
        <f>VLOOKUP(X$2,Amphibole!$CN$7:$CW$480,2,FALSE)</f>
        <v>0.7402689810882217</v>
      </c>
      <c r="Y3" s="34">
        <f>VLOOKUP(Y$2,Amphibole!$CN$7:$CW$480,2,FALSE)</f>
        <v>0.72603271674525671</v>
      </c>
      <c r="Z3" s="34">
        <f>VLOOKUP(Z$2,Amphibole!$CN$7:$CW$480,2,FALSE)</f>
        <v>0.76959297464740017</v>
      </c>
      <c r="AA3" s="34">
        <f>VLOOKUP(AA$2,Amphibole!$CN$7:$CW$480,2,FALSE)</f>
        <v>0.75058693992000047</v>
      </c>
      <c r="AB3" s="34">
        <f>VLOOKUP(AB$2,Amphibole!$CN$7:$CW$480,2,FALSE)</f>
        <v>0.73807169217892055</v>
      </c>
      <c r="AC3" s="34">
        <f>VLOOKUP(AC$2,Amphibole!$CN$7:$CW$480,2,FALSE)</f>
        <v>0.72802761030500407</v>
      </c>
      <c r="AD3" s="34">
        <f>VLOOKUP(AD$2,Amphibole!$CN$7:$CW$480,2,FALSE)</f>
        <v>0.68453523344374467</v>
      </c>
      <c r="AE3" s="34">
        <f>VLOOKUP(AE$2,Amphibole!$CN$7:$CW$480,2,FALSE)</f>
        <v>0.74941731035404335</v>
      </c>
      <c r="AF3" s="34">
        <f>VLOOKUP(AF$2,Amphibole!$CN$7:$CW$480,2,FALSE)</f>
        <v>0.73785188408220703</v>
      </c>
      <c r="AG3" s="34">
        <f>VLOOKUP(AG$2,Amphibole!$CN$7:$CW$480,2,FALSE)</f>
        <v>0.53088433477169228</v>
      </c>
      <c r="AH3" s="34">
        <f>VLOOKUP(AH$2,Amphibole!$CN$7:$CW$480,2,FALSE)</f>
        <v>0.5328877988340468</v>
      </c>
      <c r="AI3" s="34">
        <f>VLOOKUP(AI$2,Amphibole!$CN$7:$CW$480,2,FALSE)</f>
        <v>0.52948191407797029</v>
      </c>
      <c r="AJ3" s="34">
        <f>VLOOKUP(AJ$2,Amphibole!$CN$7:$CW$480,2,FALSE)</f>
        <v>0.75624406550546275</v>
      </c>
      <c r="AK3" s="34">
        <f>VLOOKUP(AK$2,Amphibole!$CN$7:$CW$480,2,FALSE)</f>
        <v>0.52952574862098745</v>
      </c>
      <c r="AL3" s="34">
        <f>VLOOKUP(AL$2,Amphibole!$CN$7:$CW$480,2,FALSE)</f>
        <v>0.5297165789503151</v>
      </c>
      <c r="AM3" s="34">
        <f>VLOOKUP(AM$2,Amphibole!$CN$7:$CW$480,2,FALSE)</f>
        <v>0.53943350058762207</v>
      </c>
      <c r="AN3" s="34">
        <f>VLOOKUP(AN$2,Amphibole!$CN$7:$CW$480,2,FALSE)</f>
        <v>0.54101568572944747</v>
      </c>
      <c r="AO3" s="34">
        <f>VLOOKUP(AO$2,Amphibole!$CN$7:$CW$480,2,FALSE)</f>
        <v>0.5645020331924111</v>
      </c>
      <c r="AP3" s="34">
        <f>VLOOKUP(AP$2,Amphibole!$CN$7:$CW$480,2,FALSE)</f>
        <v>0.53175277726103842</v>
      </c>
      <c r="AQ3" s="34">
        <f>VLOOKUP(AQ$2,Amphibole!$CN$7:$CW$480,2,FALSE)</f>
        <v>0.72090393836890287</v>
      </c>
      <c r="AR3" s="34">
        <f>VLOOKUP(AR$2,Amphibole!$CN$7:$CW$480,2,FALSE)</f>
        <v>0.73240128016780592</v>
      </c>
      <c r="AS3" s="34">
        <f>VLOOKUP(AS$2,Amphibole!$CN$7:$CW$480,2,FALSE)</f>
        <v>0.67334146639332348</v>
      </c>
      <c r="AT3" s="34">
        <f>VLOOKUP(AT$2,Amphibole!$CN$7:$CW$480,2,FALSE)</f>
        <v>0.68539378680955876</v>
      </c>
      <c r="AU3" s="34">
        <f>VLOOKUP(AU$2,Amphibole!$CN$7:$CW$480,2,FALSE)</f>
        <v>0.52707117678244564</v>
      </c>
      <c r="AV3" s="34">
        <f>VLOOKUP(AV$2,Amphibole!$CN$7:$CW$480,2,FALSE)</f>
        <v>0.58886154300165239</v>
      </c>
      <c r="AW3" s="34">
        <f>VLOOKUP(AW$2,Amphibole!$CN$7:$CW$480,2,FALSE)</f>
        <v>0.59945609918981146</v>
      </c>
      <c r="AX3" s="34">
        <f>VLOOKUP(AX$2,Amphibole!$CN$7:$CW$480,2,FALSE)</f>
        <v>0.58246564222343111</v>
      </c>
      <c r="AY3" s="34">
        <f>VLOOKUP(AY$2,Amphibole!$CN$7:$CW$480,2,FALSE)</f>
        <v>0.56066294343631995</v>
      </c>
      <c r="AZ3" s="34">
        <f>VLOOKUP(AZ$2,Amphibole!$CN$7:$CW$480,2,FALSE)</f>
        <v>0.57314498818490667</v>
      </c>
      <c r="BA3" s="34">
        <f>VLOOKUP(BA$2,Amphibole!$CN$7:$CW$480,2,FALSE)</f>
        <v>0.58901469934670625</v>
      </c>
      <c r="BB3" s="34">
        <f>VLOOKUP(BB$2,Amphibole!$CN$7:$CW$480,2,FALSE)</f>
        <v>0.72147608568763233</v>
      </c>
      <c r="BC3" s="34">
        <f>VLOOKUP(BC$2,Amphibole!$CN$7:$CW$480,2,FALSE)</f>
        <v>0.69896480667610428</v>
      </c>
      <c r="BD3" s="34">
        <f>VLOOKUP(BD$2,Amphibole!$CN$7:$CW$480,2,FALSE)</f>
        <v>0.7230833036454043</v>
      </c>
      <c r="BE3" s="34">
        <f>VLOOKUP(BE$2,Amphibole!$CN$7:$CW$480,2,FALSE)</f>
        <v>0.69402397310111885</v>
      </c>
      <c r="BF3" s="34">
        <f>VLOOKUP(BF$2,Amphibole!$CN$7:$CW$480,2,FALSE)</f>
        <v>0.68165846714736356</v>
      </c>
      <c r="BG3" s="34">
        <f>VLOOKUP(BG$2,Amphibole!$CN$7:$CW$480,2,FALSE)</f>
        <v>0.72707434798386927</v>
      </c>
      <c r="BH3" s="34">
        <f>VLOOKUP(BH$2,Amphibole!$CN$7:$CW$480,2,FALSE)</f>
        <v>0.75027429792540312</v>
      </c>
      <c r="BI3" s="34">
        <f>VLOOKUP(BI$2,Amphibole!$CN$7:$CW$480,2,FALSE)</f>
        <v>0.72563418199155794</v>
      </c>
      <c r="BJ3" s="34">
        <f>VLOOKUP(BJ$2,Amphibole!$CN$7:$CW$480,2,FALSE)</f>
        <v>0.70326786400470853</v>
      </c>
    </row>
    <row r="4" spans="1:62">
      <c r="A4" s="1"/>
      <c r="B4" s="1"/>
      <c r="C4" s="1"/>
      <c r="D4" s="1"/>
      <c r="E4" s="6" t="s">
        <v>51</v>
      </c>
      <c r="F4" s="5">
        <f>VLOOKUP(F$2,Amphibole!$CN$7:$CW$480,3,FALSE)</f>
        <v>0.27163209632119067</v>
      </c>
      <c r="G4" s="5">
        <f>VLOOKUP(G$2,Amphibole!$CN$7:$CW$480,3,FALSE)</f>
        <v>0.26961187547817267</v>
      </c>
      <c r="H4" s="5">
        <f>VLOOKUP(H$2,Amphibole!$CN$7:$CW$480,3,FALSE)</f>
        <v>0.26076869663129565</v>
      </c>
      <c r="I4" s="5">
        <f>VLOOKUP(I$2,Amphibole!$CN$7:$CW$480,3,FALSE)</f>
        <v>0.25290974994382043</v>
      </c>
      <c r="J4" s="5">
        <f>VLOOKUP(J$2,Amphibole!$CN$7:$CW$480,3,FALSE)</f>
        <v>0.26084326857780682</v>
      </c>
      <c r="K4" s="5">
        <f>VLOOKUP(K$2,Amphibole!$CN$7:$CW$480,3,FALSE)</f>
        <v>0.2768260211378426</v>
      </c>
      <c r="L4" s="5">
        <f>VLOOKUP(L$2,Amphibole!$CN$7:$CW$480,3,FALSE)</f>
        <v>0.25633791279881568</v>
      </c>
      <c r="M4" s="5">
        <f>VLOOKUP(M$2,Amphibole!$CN$7:$CW$480,3,FALSE)</f>
        <v>0.28101695142411343</v>
      </c>
      <c r="N4" s="5">
        <f>VLOOKUP(N$2,Amphibole!$CN$7:$CW$480,3,FALSE)</f>
        <v>0.25507295956165943</v>
      </c>
      <c r="O4" s="5">
        <f>VLOOKUP(O$2,Amphibole!$CN$7:$CW$480,3,FALSE)</f>
        <v>0.27076849564376615</v>
      </c>
      <c r="P4" s="5">
        <f>VLOOKUP(P$2,Amphibole!$CN$7:$CW$480,3,FALSE)</f>
        <v>0.26493128105453745</v>
      </c>
      <c r="Q4" s="5">
        <f>VLOOKUP(Q$2,Amphibole!$CN$7:$CW$480,3,FALSE)</f>
        <v>0.34093516028535387</v>
      </c>
      <c r="R4" s="5">
        <f>VLOOKUP(R$2,Amphibole!$CN$7:$CW$480,3,FALSE)</f>
        <v>0.27278695578807843</v>
      </c>
      <c r="S4" s="5">
        <f>VLOOKUP(S$2,Amphibole!$CN$7:$CW$480,3,FALSE)</f>
        <v>0.26945003566813308</v>
      </c>
      <c r="T4" s="5">
        <f>VLOOKUP(T$2,Amphibole!$CN$7:$CW$480,3,FALSE)</f>
        <v>0.34831949593710387</v>
      </c>
      <c r="U4" s="5">
        <f>VLOOKUP(U$2,Amphibole!$CN$7:$CW$480,3,FALSE)</f>
        <v>0.23302616826475298</v>
      </c>
      <c r="V4" s="5">
        <f>VLOOKUP(V$2,Amphibole!$CN$7:$CW$480,3,FALSE)</f>
        <v>0.25576411892248618</v>
      </c>
      <c r="W4" s="5">
        <f>VLOOKUP(W$2,Amphibole!$CN$7:$CW$480,3,FALSE)</f>
        <v>0.26606065838268833</v>
      </c>
      <c r="X4" s="5">
        <f>VLOOKUP(X$2,Amphibole!$CN$7:$CW$480,3,FALSE)</f>
        <v>0.2597310189117783</v>
      </c>
      <c r="Y4" s="5">
        <f>VLOOKUP(Y$2,Amphibole!$CN$7:$CW$480,3,FALSE)</f>
        <v>0.27396728325474329</v>
      </c>
      <c r="Z4" s="5">
        <f>VLOOKUP(Z$2,Amphibole!$CN$7:$CW$480,3,FALSE)</f>
        <v>0.23040702535259983</v>
      </c>
      <c r="AA4" s="5">
        <f>VLOOKUP(AA$2,Amphibole!$CN$7:$CW$480,3,FALSE)</f>
        <v>0.24941306007999953</v>
      </c>
      <c r="AB4" s="5">
        <f>VLOOKUP(AB$2,Amphibole!$CN$7:$CW$480,3,FALSE)</f>
        <v>0.26192830782107945</v>
      </c>
      <c r="AC4" s="5">
        <f>VLOOKUP(AC$2,Amphibole!$CN$7:$CW$480,3,FALSE)</f>
        <v>0.27197238969499593</v>
      </c>
      <c r="AD4" s="5">
        <f>VLOOKUP(AD$2,Amphibole!$CN$7:$CW$480,3,FALSE)</f>
        <v>0.31546476655625533</v>
      </c>
      <c r="AE4" s="5">
        <f>VLOOKUP(AE$2,Amphibole!$CN$7:$CW$480,3,FALSE)</f>
        <v>0.25058268964595665</v>
      </c>
      <c r="AF4" s="5">
        <f>VLOOKUP(AF$2,Amphibole!$CN$7:$CW$480,3,FALSE)</f>
        <v>0.26214811591779297</v>
      </c>
      <c r="AG4" s="5">
        <f>VLOOKUP(AG$2,Amphibole!$CN$7:$CW$480,3,FALSE)</f>
        <v>0.46911566522830772</v>
      </c>
      <c r="AH4" s="5">
        <f>VLOOKUP(AH$2,Amphibole!$CN$7:$CW$480,3,FALSE)</f>
        <v>0.4671122011659532</v>
      </c>
      <c r="AI4" s="5">
        <f>VLOOKUP(AI$2,Amphibole!$CN$7:$CW$480,3,FALSE)</f>
        <v>0.47051808592202971</v>
      </c>
      <c r="AJ4" s="5">
        <f>VLOOKUP(AJ$2,Amphibole!$CN$7:$CW$480,3,FALSE)</f>
        <v>0.24375593449453725</v>
      </c>
      <c r="AK4" s="5">
        <f>VLOOKUP(AK$2,Amphibole!$CN$7:$CW$480,3,FALSE)</f>
        <v>0.47047425137901255</v>
      </c>
      <c r="AL4" s="5">
        <f>VLOOKUP(AL$2,Amphibole!$CN$7:$CW$480,3,FALSE)</f>
        <v>0.4702834210496849</v>
      </c>
      <c r="AM4" s="5">
        <f>VLOOKUP(AM$2,Amphibole!$CN$7:$CW$480,3,FALSE)</f>
        <v>0.46056649941237793</v>
      </c>
      <c r="AN4" s="5">
        <f>VLOOKUP(AN$2,Amphibole!$CN$7:$CW$480,3,FALSE)</f>
        <v>0.45898431427055253</v>
      </c>
      <c r="AO4" s="5">
        <f>VLOOKUP(AO$2,Amphibole!$CN$7:$CW$480,3,FALSE)</f>
        <v>0.4354979668075889</v>
      </c>
      <c r="AP4" s="5">
        <f>VLOOKUP(AP$2,Amphibole!$CN$7:$CW$480,3,FALSE)</f>
        <v>0.46824722273896158</v>
      </c>
      <c r="AQ4" s="5">
        <f>VLOOKUP(AQ$2,Amphibole!$CN$7:$CW$480,3,FALSE)</f>
        <v>0.27909606163109713</v>
      </c>
      <c r="AR4" s="5">
        <f>VLOOKUP(AR$2,Amphibole!$CN$7:$CW$480,3,FALSE)</f>
        <v>0.26759871983219408</v>
      </c>
      <c r="AS4" s="5">
        <f>VLOOKUP(AS$2,Amphibole!$CN$7:$CW$480,3,FALSE)</f>
        <v>0.32665853360667652</v>
      </c>
      <c r="AT4" s="5">
        <f>VLOOKUP(AT$2,Amphibole!$CN$7:$CW$480,3,FALSE)</f>
        <v>0.31460621319044124</v>
      </c>
      <c r="AU4" s="5">
        <f>VLOOKUP(AU$2,Amphibole!$CN$7:$CW$480,3,FALSE)</f>
        <v>0.47292882321755436</v>
      </c>
      <c r="AV4" s="5">
        <f>VLOOKUP(AV$2,Amphibole!$CN$7:$CW$480,3,FALSE)</f>
        <v>0.41113845699834761</v>
      </c>
      <c r="AW4" s="5">
        <f>VLOOKUP(AW$2,Amphibole!$CN$7:$CW$480,3,FALSE)</f>
        <v>0.40054390081018854</v>
      </c>
      <c r="AX4" s="5">
        <f>VLOOKUP(AX$2,Amphibole!$CN$7:$CW$480,3,FALSE)</f>
        <v>0.41753435777656889</v>
      </c>
      <c r="AY4" s="5">
        <f>VLOOKUP(AY$2,Amphibole!$CN$7:$CW$480,3,FALSE)</f>
        <v>0.43933705656368005</v>
      </c>
      <c r="AZ4" s="5">
        <f>VLOOKUP(AZ$2,Amphibole!$CN$7:$CW$480,3,FALSE)</f>
        <v>0.42685501181509333</v>
      </c>
      <c r="BA4" s="5">
        <f>VLOOKUP(BA$2,Amphibole!$CN$7:$CW$480,3,FALSE)</f>
        <v>0.41098530065329375</v>
      </c>
      <c r="BB4" s="5">
        <f>VLOOKUP(BB$2,Amphibole!$CN$7:$CW$480,3,FALSE)</f>
        <v>0.27852391431236767</v>
      </c>
      <c r="BC4" s="5">
        <f>VLOOKUP(BC$2,Amphibole!$CN$7:$CW$480,3,FALSE)</f>
        <v>0.30103519332389572</v>
      </c>
      <c r="BD4" s="5">
        <f>VLOOKUP(BD$2,Amphibole!$CN$7:$CW$480,3,FALSE)</f>
        <v>0.2769166963545957</v>
      </c>
      <c r="BE4" s="5">
        <f>VLOOKUP(BE$2,Amphibole!$CN$7:$CW$480,3,FALSE)</f>
        <v>0.30597602689888115</v>
      </c>
      <c r="BF4" s="5">
        <f>VLOOKUP(BF$2,Amphibole!$CN$7:$CW$480,3,FALSE)</f>
        <v>0.31834153285263644</v>
      </c>
      <c r="BG4" s="5">
        <f>VLOOKUP(BG$2,Amphibole!$CN$7:$CW$480,3,FALSE)</f>
        <v>0.27292565201613073</v>
      </c>
      <c r="BH4" s="5">
        <f>VLOOKUP(BH$2,Amphibole!$CN$7:$CW$480,3,FALSE)</f>
        <v>0.24972570207459688</v>
      </c>
      <c r="BI4" s="5">
        <f>VLOOKUP(BI$2,Amphibole!$CN$7:$CW$480,3,FALSE)</f>
        <v>0.27436581800844206</v>
      </c>
      <c r="BJ4" s="5">
        <f>VLOOKUP(BJ$2,Amphibole!$CN$7:$CW$480,3,FALSE)</f>
        <v>0.29673213599529147</v>
      </c>
    </row>
    <row r="5" spans="1:62">
      <c r="A5" s="1"/>
      <c r="C5" s="53"/>
      <c r="D5" s="1"/>
      <c r="E5" s="6" t="s">
        <v>52</v>
      </c>
      <c r="F5" s="5">
        <f>VLOOKUP(F$2,Amphibole!$CN$7:$CW$480,4,FALSE)</f>
        <v>6.0741311926530095E-2</v>
      </c>
      <c r="G5" s="5">
        <f>VLOOKUP(G$2,Amphibole!$CN$7:$CW$480,4,FALSE)</f>
        <v>6.3627005863914121E-2</v>
      </c>
      <c r="H5" s="5">
        <f>VLOOKUP(H$2,Amphibole!$CN$7:$CW$480,4,FALSE)</f>
        <v>5.020109603729761E-2</v>
      </c>
      <c r="I5" s="5">
        <f>VLOOKUP(I$2,Amphibole!$CN$7:$CW$480,4,FALSE)</f>
        <v>4.0752817649128303E-2</v>
      </c>
      <c r="J5" s="5">
        <f>VLOOKUP(J$2,Amphibole!$CN$7:$CW$480,4,FALSE)</f>
        <v>4.88051170236945E-2</v>
      </c>
      <c r="K5" s="5">
        <f>VLOOKUP(K$2,Amphibole!$CN$7:$CW$480,4,FALSE)</f>
        <v>6.3019758054056574E-2</v>
      </c>
      <c r="L5" s="5">
        <f>VLOOKUP(L$2,Amphibole!$CN$7:$CW$480,4,FALSE)</f>
        <v>4.9112293940220653E-2</v>
      </c>
      <c r="M5" s="5">
        <f>VLOOKUP(M$2,Amphibole!$CN$7:$CW$480,4,FALSE)</f>
        <v>6.0328982898434802E-2</v>
      </c>
      <c r="N5" s="5">
        <f>VLOOKUP(N$2,Amphibole!$CN$7:$CW$480,4,FALSE)</f>
        <v>4.6971635336468864E-2</v>
      </c>
      <c r="O5" s="5">
        <f>VLOOKUP(O$2,Amphibole!$CN$7:$CW$480,4,FALSE)</f>
        <v>6.5404270789502839E-2</v>
      </c>
      <c r="P5" s="5">
        <f>VLOOKUP(P$2,Amphibole!$CN$7:$CW$480,4,FALSE)</f>
        <v>4.6020357247499533E-2</v>
      </c>
      <c r="Q5" s="5">
        <f>VLOOKUP(Q$2,Amphibole!$CN$7:$CW$480,4,FALSE)</f>
        <v>5.3562988231267816E-2</v>
      </c>
      <c r="R5" s="5">
        <f>VLOOKUP(R$2,Amphibole!$CN$7:$CW$480,4,FALSE)</f>
        <v>5.6845463693413478E-2</v>
      </c>
      <c r="S5" s="5">
        <f>VLOOKUP(S$2,Amphibole!$CN$7:$CW$480,4,FALSE)</f>
        <v>7.6299283452499367E-2</v>
      </c>
      <c r="T5" s="5">
        <f>VLOOKUP(T$2,Amphibole!$CN$7:$CW$480,4,FALSE)</f>
        <v>6.6244412804694619E-2</v>
      </c>
      <c r="U5" s="5">
        <f>VLOOKUP(U$2,Amphibole!$CN$7:$CW$480,4,FALSE)</f>
        <v>5.6079000349420483E-2</v>
      </c>
      <c r="V5" s="5">
        <f>VLOOKUP(V$2,Amphibole!$CN$7:$CW$480,4,FALSE)</f>
        <v>5.6336749537634567E-2</v>
      </c>
      <c r="W5" s="5">
        <f>VLOOKUP(W$2,Amphibole!$CN$7:$CW$480,4,FALSE)</f>
        <v>6.0093590843911748E-2</v>
      </c>
      <c r="X5" s="5">
        <f>VLOOKUP(X$2,Amphibole!$CN$7:$CW$480,4,FALSE)</f>
        <v>4.5208115067318033E-2</v>
      </c>
      <c r="Y5" s="5">
        <f>VLOOKUP(Y$2,Amphibole!$CN$7:$CW$480,4,FALSE)</f>
        <v>4.9064878373491716E-2</v>
      </c>
      <c r="Z5" s="5">
        <f>VLOOKUP(Z$2,Amphibole!$CN$7:$CW$480,4,FALSE)</f>
        <v>6.1121089260450567E-2</v>
      </c>
      <c r="AA5" s="5">
        <f>VLOOKUP(AA$2,Amphibole!$CN$7:$CW$480,4,FALSE)</f>
        <v>4.2831249738701338E-2</v>
      </c>
      <c r="AB5" s="5">
        <f>VLOOKUP(AB$2,Amphibole!$CN$7:$CW$480,4,FALSE)</f>
        <v>6.1165663267205517E-2</v>
      </c>
      <c r="AC5" s="5">
        <f>VLOOKUP(AC$2,Amphibole!$CN$7:$CW$480,4,FALSE)</f>
        <v>6.5439345793897097E-2</v>
      </c>
      <c r="AD5" s="5">
        <f>VLOOKUP(AD$2,Amphibole!$CN$7:$CW$480,4,FALSE)</f>
        <v>8.6109136015755539E-2</v>
      </c>
      <c r="AE5" s="5">
        <f>VLOOKUP(AE$2,Amphibole!$CN$7:$CW$480,4,FALSE)</f>
        <v>5.7824442243143537E-2</v>
      </c>
      <c r="AF5" s="5">
        <f>VLOOKUP(AF$2,Amphibole!$CN$7:$CW$480,4,FALSE)</f>
        <v>6.261467663446485E-2</v>
      </c>
      <c r="AG5" s="5">
        <f>VLOOKUP(AG$2,Amphibole!$CN$7:$CW$480,4,FALSE)</f>
        <v>0.10928975272513419</v>
      </c>
      <c r="AH5" s="5">
        <f>VLOOKUP(AH$2,Amphibole!$CN$7:$CW$480,4,FALSE)</f>
        <v>0.11489120611358317</v>
      </c>
      <c r="AI5" s="5">
        <f>VLOOKUP(AI$2,Amphibole!$CN$7:$CW$480,4,FALSE)</f>
        <v>0.11539317293363371</v>
      </c>
      <c r="AJ5" s="5">
        <f>VLOOKUP(AJ$2,Amphibole!$CN$7:$CW$480,4,FALSE)</f>
        <v>5.0213897283802211E-2</v>
      </c>
      <c r="AK5" s="5">
        <f>VLOOKUP(AK$2,Amphibole!$CN$7:$CW$480,4,FALSE)</f>
        <v>9.311224852315636E-2</v>
      </c>
      <c r="AL5" s="5">
        <f>VLOOKUP(AL$2,Amphibole!$CN$7:$CW$480,4,FALSE)</f>
        <v>9.9322278935271235E-2</v>
      </c>
      <c r="AM5" s="5">
        <f>VLOOKUP(AM$2,Amphibole!$CN$7:$CW$480,4,FALSE)</f>
        <v>8.7359399880490685E-2</v>
      </c>
      <c r="AN5" s="5">
        <f>VLOOKUP(AN$2,Amphibole!$CN$7:$CW$480,4,FALSE)</f>
        <v>8.2405430574953087E-2</v>
      </c>
      <c r="AO5" s="5">
        <f>VLOOKUP(AO$2,Amphibole!$CN$7:$CW$480,4,FALSE)</f>
        <v>9.7827950936573593E-2</v>
      </c>
      <c r="AP5" s="5">
        <f>VLOOKUP(AP$2,Amphibole!$CN$7:$CW$480,4,FALSE)</f>
        <v>8.1912906423553977E-2</v>
      </c>
      <c r="AQ5" s="5">
        <f>VLOOKUP(AQ$2,Amphibole!$CN$7:$CW$480,4,FALSE)</f>
        <v>6.5207519387949553E-2</v>
      </c>
      <c r="AR5" s="5">
        <f>VLOOKUP(AR$2,Amphibole!$CN$7:$CW$480,4,FALSE)</f>
        <v>4.7061039422109374E-2</v>
      </c>
      <c r="AS5" s="5">
        <f>VLOOKUP(AS$2,Amphibole!$CN$7:$CW$480,4,FALSE)</f>
        <v>6.6490311541097746E-2</v>
      </c>
      <c r="AT5" s="5">
        <f>VLOOKUP(AT$2,Amphibole!$CN$7:$CW$480,4,FALSE)</f>
        <v>6.7663192631363778E-2</v>
      </c>
      <c r="AU5" s="5">
        <f>VLOOKUP(AU$2,Amphibole!$CN$7:$CW$480,4,FALSE)</f>
        <v>0.10473785620197695</v>
      </c>
      <c r="AV5" s="5">
        <f>VLOOKUP(AV$2,Amphibole!$CN$7:$CW$480,4,FALSE)</f>
        <v>9.4731224787660828E-2</v>
      </c>
      <c r="AW5" s="5">
        <f>VLOOKUP(AW$2,Amphibole!$CN$7:$CW$480,4,FALSE)</f>
        <v>0.10253641428341975</v>
      </c>
      <c r="AX5" s="5">
        <f>VLOOKUP(AX$2,Amphibole!$CN$7:$CW$480,4,FALSE)</f>
        <v>0.10308075325482857</v>
      </c>
      <c r="AY5" s="5">
        <f>VLOOKUP(AY$2,Amphibole!$CN$7:$CW$480,4,FALSE)</f>
        <v>8.3208737494435248E-2</v>
      </c>
      <c r="AZ5" s="5">
        <f>VLOOKUP(AZ$2,Amphibole!$CN$7:$CW$480,4,FALSE)</f>
        <v>9.6935981424376649E-2</v>
      </c>
      <c r="BA5" s="5">
        <f>VLOOKUP(BA$2,Amphibole!$CN$7:$CW$480,4,FALSE)</f>
        <v>0.10220658304365848</v>
      </c>
      <c r="BB5" s="5">
        <f>VLOOKUP(BB$2,Amphibole!$CN$7:$CW$480,4,FALSE)</f>
        <v>5.8080310894357723E-2</v>
      </c>
      <c r="BC5" s="5">
        <f>VLOOKUP(BC$2,Amphibole!$CN$7:$CW$480,4,FALSE)</f>
        <v>6.3064288240526345E-2</v>
      </c>
      <c r="BD5" s="5">
        <f>VLOOKUP(BD$2,Amphibole!$CN$7:$CW$480,4,FALSE)</f>
        <v>6.6151582660858743E-2</v>
      </c>
      <c r="BE5" s="5">
        <f>VLOOKUP(BE$2,Amphibole!$CN$7:$CW$480,4,FALSE)</f>
        <v>5.0806469423743117E-2</v>
      </c>
      <c r="BF5" s="5">
        <f>VLOOKUP(BF$2,Amphibole!$CN$7:$CW$480,4,FALSE)</f>
        <v>6.1540110138455617E-2</v>
      </c>
      <c r="BG5" s="5">
        <f>VLOOKUP(BG$2,Amphibole!$CN$7:$CW$480,4,FALSE)</f>
        <v>4.2512644699331581E-2</v>
      </c>
      <c r="BH5" s="5">
        <f>VLOOKUP(BH$2,Amphibole!$CN$7:$CW$480,4,FALSE)</f>
        <v>4.1048795785896708E-2</v>
      </c>
      <c r="BI5" s="5">
        <f>VLOOKUP(BI$2,Amphibole!$CN$7:$CW$480,4,FALSE)</f>
        <v>5.0890219013007609E-2</v>
      </c>
      <c r="BJ5" s="5">
        <f>VLOOKUP(BJ$2,Amphibole!$CN$7:$CW$480,4,FALSE)</f>
        <v>7.39361265901195E-2</v>
      </c>
    </row>
    <row r="6" spans="1:62">
      <c r="A6" s="1" t="s">
        <v>78</v>
      </c>
      <c r="C6" s="52">
        <v>8.3143999999999996E-3</v>
      </c>
      <c r="D6" s="1"/>
      <c r="E6" s="6" t="s">
        <v>53</v>
      </c>
      <c r="F6" s="5">
        <f>VLOOKUP(F$2,Amphibole!$CN$7:$CW$480,5,FALSE)</f>
        <v>0.14151264581471845</v>
      </c>
      <c r="G6" s="5">
        <f>VLOOKUP(G$2,Amphibole!$CN$7:$CW$480,5,FALSE)</f>
        <v>0.14232301757769864</v>
      </c>
      <c r="H6" s="5">
        <f>VLOOKUP(H$2,Amphibole!$CN$7:$CW$480,5,FALSE)</f>
        <v>0.12877746980406612</v>
      </c>
      <c r="I6" s="5">
        <f>VLOOKUP(I$2,Amphibole!$CN$7:$CW$480,5,FALSE)</f>
        <v>0.12637520672387442</v>
      </c>
      <c r="J6" s="5">
        <f>VLOOKUP(J$2,Amphibole!$CN$7:$CW$480,5,FALSE)</f>
        <v>0.12882133199304593</v>
      </c>
      <c r="K6" s="5">
        <f>VLOOKUP(K$2,Amphibole!$CN$7:$CW$480,5,FALSE)</f>
        <v>0.14605014410452005</v>
      </c>
      <c r="L6" s="5">
        <f>VLOOKUP(L$2,Amphibole!$CN$7:$CW$480,5,FALSE)</f>
        <v>0.13146111299804539</v>
      </c>
      <c r="M6" s="5">
        <f>VLOOKUP(M$2,Amphibole!$CN$7:$CW$480,5,FALSE)</f>
        <v>0.15159905320304726</v>
      </c>
      <c r="N6" s="5">
        <f>VLOOKUP(N$2,Amphibole!$CN$7:$CW$480,5,FALSE)</f>
        <v>0.12390339050170261</v>
      </c>
      <c r="O6" s="5">
        <f>VLOOKUP(O$2,Amphibole!$CN$7:$CW$480,5,FALSE)</f>
        <v>0.14765064957724935</v>
      </c>
      <c r="P6" s="5">
        <f>VLOOKUP(P$2,Amphibole!$CN$7:$CW$480,5,FALSE)</f>
        <v>0.1220399072596854</v>
      </c>
      <c r="Q6" s="5">
        <f>VLOOKUP(Q$2,Amphibole!$CN$7:$CW$480,5,FALSE)</f>
        <v>0.18749544787555139</v>
      </c>
      <c r="R6" s="5">
        <f>VLOOKUP(R$2,Amphibole!$CN$7:$CW$480,5,FALSE)</f>
        <v>0.14448404656030761</v>
      </c>
      <c r="S6" s="5">
        <f>VLOOKUP(S$2,Amphibole!$CN$7:$CW$480,5,FALSE)</f>
        <v>0.150148824716831</v>
      </c>
      <c r="T6" s="5">
        <f>VLOOKUP(T$2,Amphibole!$CN$7:$CW$480,5,FALSE)</f>
        <v>0.19490531176778075</v>
      </c>
      <c r="U6" s="5">
        <f>VLOOKUP(U$2,Amphibole!$CN$7:$CW$480,5,FALSE)</f>
        <v>0.11458051756248121</v>
      </c>
      <c r="V6" s="5">
        <f>VLOOKUP(V$2,Amphibole!$CN$7:$CW$480,5,FALSE)</f>
        <v>0.12375772550377133</v>
      </c>
      <c r="W6" s="5">
        <f>VLOOKUP(W$2,Amphibole!$CN$7:$CW$480,5,FALSE)</f>
        <v>0.14866451271082845</v>
      </c>
      <c r="X6" s="5">
        <f>VLOOKUP(X$2,Amphibole!$CN$7:$CW$480,5,FALSE)</f>
        <v>0.13536562762282012</v>
      </c>
      <c r="Y6" s="5">
        <f>VLOOKUP(Y$2,Amphibole!$CN$7:$CW$480,5,FALSE)</f>
        <v>0.13844010858852332</v>
      </c>
      <c r="Z6" s="5">
        <f>VLOOKUP(Z$2,Amphibole!$CN$7:$CW$480,5,FALSE)</f>
        <v>0.12684190966564962</v>
      </c>
      <c r="AA6" s="5">
        <f>VLOOKUP(AA$2,Amphibole!$CN$7:$CW$480,5,FALSE)</f>
        <v>0.13173860799813544</v>
      </c>
      <c r="AB6" s="5">
        <f>VLOOKUP(AB$2,Amphibole!$CN$7:$CW$480,5,FALSE)</f>
        <v>0.14019295968558815</v>
      </c>
      <c r="AC6" s="5">
        <f>VLOOKUP(AC$2,Amphibole!$CN$7:$CW$480,5,FALSE)</f>
        <v>0.13511936431057589</v>
      </c>
      <c r="AD6" s="5">
        <f>VLOOKUP(AD$2,Amphibole!$CN$7:$CW$480,5,FALSE)</f>
        <v>0.18904514957713572</v>
      </c>
      <c r="AE6" s="5">
        <f>VLOOKUP(AE$2,Amphibole!$CN$7:$CW$480,5,FALSE)</f>
        <v>0.13330190692371147</v>
      </c>
      <c r="AF6" s="5">
        <f>VLOOKUP(AF$2,Amphibole!$CN$7:$CW$480,5,FALSE)</f>
        <v>0.12341799877046519</v>
      </c>
      <c r="AG6" s="5">
        <f>VLOOKUP(AG$2,Amphibole!$CN$7:$CW$480,5,FALSE)</f>
        <v>0.15128932365751013</v>
      </c>
      <c r="AH6" s="5">
        <f>VLOOKUP(AH$2,Amphibole!$CN$7:$CW$480,5,FALSE)</f>
        <v>0.16058371961168924</v>
      </c>
      <c r="AI6" s="5">
        <f>VLOOKUP(AI$2,Amphibole!$CN$7:$CW$480,5,FALSE)</f>
        <v>0.16583365814425799</v>
      </c>
      <c r="AJ6" s="5">
        <f>VLOOKUP(AJ$2,Amphibole!$CN$7:$CW$480,5,FALSE)</f>
        <v>0.1224820895519545</v>
      </c>
      <c r="AK6" s="5">
        <f>VLOOKUP(AK$2,Amphibole!$CN$7:$CW$480,5,FALSE)</f>
        <v>0.16136819135817729</v>
      </c>
      <c r="AL6" s="5">
        <f>VLOOKUP(AL$2,Amphibole!$CN$7:$CW$480,5,FALSE)</f>
        <v>0.16311080773778677</v>
      </c>
      <c r="AM6" s="5">
        <f>VLOOKUP(AM$2,Amphibole!$CN$7:$CW$480,5,FALSE)</f>
        <v>0.16896777723877515</v>
      </c>
      <c r="AN6" s="5">
        <f>VLOOKUP(AN$2,Amphibole!$CN$7:$CW$480,5,FALSE)</f>
        <v>0.16296776975124522</v>
      </c>
      <c r="AO6" s="5">
        <f>VLOOKUP(AO$2,Amphibole!$CN$7:$CW$480,5,FALSE)</f>
        <v>0.15149425374815659</v>
      </c>
      <c r="AP6" s="5">
        <f>VLOOKUP(AP$2,Amphibole!$CN$7:$CW$480,5,FALSE)</f>
        <v>0.16316845457825355</v>
      </c>
      <c r="AQ6" s="5">
        <f>VLOOKUP(AQ$2,Amphibole!$CN$7:$CW$480,5,FALSE)</f>
        <v>0.14793065964081081</v>
      </c>
      <c r="AR6" s="5">
        <f>VLOOKUP(AR$2,Amphibole!$CN$7:$CW$480,5,FALSE)</f>
        <v>0.13055616779605902</v>
      </c>
      <c r="AS6" s="5">
        <f>VLOOKUP(AS$2,Amphibole!$CN$7:$CW$480,5,FALSE)</f>
        <v>0.15497185570185604</v>
      </c>
      <c r="AT6" s="5">
        <f>VLOOKUP(AT$2,Amphibole!$CN$7:$CW$480,5,FALSE)</f>
        <v>0.13656843082738399</v>
      </c>
      <c r="AU6" s="5">
        <f>VLOOKUP(AU$2,Amphibole!$CN$7:$CW$480,5,FALSE)</f>
        <v>0.17254588614690314</v>
      </c>
      <c r="AV6" s="5">
        <f>VLOOKUP(AV$2,Amphibole!$CN$7:$CW$480,5,FALSE)</f>
        <v>0.16155614083800643</v>
      </c>
      <c r="AW6" s="5">
        <f>VLOOKUP(AW$2,Amphibole!$CN$7:$CW$480,5,FALSE)</f>
        <v>0.16743111039977207</v>
      </c>
      <c r="AX6" s="5">
        <f>VLOOKUP(AX$2,Amphibole!$CN$7:$CW$480,5,FALSE)</f>
        <v>0.15560200474804253</v>
      </c>
      <c r="AY6" s="5">
        <f>VLOOKUP(AY$2,Amphibole!$CN$7:$CW$480,5,FALSE)</f>
        <v>0.16548263825146001</v>
      </c>
      <c r="AZ6" s="5">
        <f>VLOOKUP(AZ$2,Amphibole!$CN$7:$CW$480,5,FALSE)</f>
        <v>0.1659743680176366</v>
      </c>
      <c r="BA6" s="5">
        <f>VLOOKUP(BA$2,Amphibole!$CN$7:$CW$480,5,FALSE)</f>
        <v>0.16564517438657864</v>
      </c>
      <c r="BB6" s="5">
        <f>VLOOKUP(BB$2,Amphibole!$CN$7:$CW$480,5,FALSE)</f>
        <v>0.1568146441837055</v>
      </c>
      <c r="BC6" s="5">
        <f>VLOOKUP(BC$2,Amphibole!$CN$7:$CW$480,5,FALSE)</f>
        <v>0.17204007666475774</v>
      </c>
      <c r="BD6" s="5">
        <f>VLOOKUP(BD$2,Amphibole!$CN$7:$CW$480,5,FALSE)</f>
        <v>0.15460525720813847</v>
      </c>
      <c r="BE6" s="5">
        <f>VLOOKUP(BE$2,Amphibole!$CN$7:$CW$480,5,FALSE)</f>
        <v>0.16818814112762406</v>
      </c>
      <c r="BF6" s="5">
        <f>VLOOKUP(BF$2,Amphibole!$CN$7:$CW$480,5,FALSE)</f>
        <v>0.18886976663678823</v>
      </c>
      <c r="BG6" s="5">
        <f>VLOOKUP(BG$2,Amphibole!$CN$7:$CW$480,5,FALSE)</f>
        <v>0.14771571825160432</v>
      </c>
      <c r="BH6" s="5">
        <f>VLOOKUP(BH$2,Amphibole!$CN$7:$CW$480,5,FALSE)</f>
        <v>0.13291309608765128</v>
      </c>
      <c r="BI6" s="5">
        <f>VLOOKUP(BI$2,Amphibole!$CN$7:$CW$480,5,FALSE)</f>
        <v>0.14387812867612806</v>
      </c>
      <c r="BJ6" s="5">
        <f>VLOOKUP(BJ$2,Amphibole!$CN$7:$CW$480,5,FALSE)</f>
        <v>0.16416905022824535</v>
      </c>
    </row>
    <row r="7" spans="1:62">
      <c r="D7" s="1"/>
      <c r="E7" s="6" t="s">
        <v>54</v>
      </c>
      <c r="F7" s="5">
        <f>VLOOKUP(F$2,Amphibole!$CN$7:$CW$480,6,FALSE)</f>
        <v>0.60752800257431849</v>
      </c>
      <c r="G7" s="5">
        <f>VLOOKUP(G$2,Amphibole!$CN$7:$CW$480,6,FALSE)</f>
        <v>0.59615069408882249</v>
      </c>
      <c r="H7" s="5">
        <f>VLOOKUP(H$2,Amphibole!$CN$7:$CW$480,6,FALSE)</f>
        <v>0.63062540199167272</v>
      </c>
      <c r="I7" s="5">
        <f>VLOOKUP(I$2,Amphibole!$CN$7:$CW$480,6,FALSE)</f>
        <v>0.61016693168663383</v>
      </c>
      <c r="J7" s="5">
        <f>VLOOKUP(J$2,Amphibole!$CN$7:$CW$480,6,FALSE)</f>
        <v>0.64226253770941366</v>
      </c>
      <c r="K7" s="5">
        <f>VLOOKUP(K$2,Amphibole!$CN$7:$CW$480,6,FALSE)</f>
        <v>0.58543219822365256</v>
      </c>
      <c r="L7" s="5">
        <f>VLOOKUP(L$2,Amphibole!$CN$7:$CW$480,6,FALSE)</f>
        <v>0.61335524010827958</v>
      </c>
      <c r="M7" s="5">
        <f>VLOOKUP(M$2,Amphibole!$CN$7:$CW$480,6,FALSE)</f>
        <v>0.55921297972432804</v>
      </c>
      <c r="N7" s="5">
        <f>VLOOKUP(N$2,Amphibole!$CN$7:$CW$480,6,FALSE)</f>
        <v>0.59844083091170119</v>
      </c>
      <c r="O7" s="5">
        <f>VLOOKUP(O$2,Amphibole!$CN$7:$CW$480,6,FALSE)</f>
        <v>0.62061774819702853</v>
      </c>
      <c r="P7" s="5">
        <f>VLOOKUP(P$2,Amphibole!$CN$7:$CW$480,6,FALSE)</f>
        <v>0.61210241560712109</v>
      </c>
      <c r="Q7" s="5">
        <f>VLOOKUP(Q$2,Amphibole!$CN$7:$CW$480,6,FALSE)</f>
        <v>0.45964152121150559</v>
      </c>
      <c r="R7" s="5">
        <f>VLOOKUP(R$2,Amphibole!$CN$7:$CW$480,6,FALSE)</f>
        <v>0.60063400449760973</v>
      </c>
      <c r="S7" s="5">
        <f>VLOOKUP(S$2,Amphibole!$CN$7:$CW$480,6,FALSE)</f>
        <v>0.60436332148199567</v>
      </c>
      <c r="T7" s="5">
        <f>VLOOKUP(T$2,Amphibole!$CN$7:$CW$480,6,FALSE)</f>
        <v>0.44089263897917669</v>
      </c>
      <c r="U7" s="5">
        <f>VLOOKUP(U$2,Amphibole!$CN$7:$CW$480,6,FALSE)</f>
        <v>0.66644714884944423</v>
      </c>
      <c r="V7" s="5">
        <f>VLOOKUP(V$2,Amphibole!$CN$7:$CW$480,6,FALSE)</f>
        <v>0.61897417321496073</v>
      </c>
      <c r="W7" s="5">
        <f>VLOOKUP(W$2,Amphibole!$CN$7:$CW$480,6,FALSE)</f>
        <v>0.58860719699459985</v>
      </c>
      <c r="X7" s="5">
        <f>VLOOKUP(X$2,Amphibole!$CN$7:$CW$480,6,FALSE)</f>
        <v>0.59262656181390261</v>
      </c>
      <c r="Y7" s="5">
        <f>VLOOKUP(Y$2,Amphibole!$CN$7:$CW$480,6,FALSE)</f>
        <v>0.59953871330022201</v>
      </c>
      <c r="Z7" s="5">
        <f>VLOOKUP(Z$2,Amphibole!$CN$7:$CW$480,6,FALSE)</f>
        <v>0.66919643815190177</v>
      </c>
      <c r="AA7" s="5">
        <f>VLOOKUP(AA$2,Amphibole!$CN$7:$CW$480,6,FALSE)</f>
        <v>0.64566598906939721</v>
      </c>
      <c r="AB7" s="5">
        <f>VLOOKUP(AB$2,Amphibole!$CN$7:$CW$480,6,FALSE)</f>
        <v>0.59909363508426505</v>
      </c>
      <c r="AC7" s="5">
        <f>VLOOKUP(AC$2,Amphibole!$CN$7:$CW$480,6,FALSE)</f>
        <v>0.58589959794223723</v>
      </c>
      <c r="AD7" s="5">
        <f>VLOOKUP(AD$2,Amphibole!$CN$7:$CW$480,6,FALSE)</f>
        <v>0.49860304223758356</v>
      </c>
      <c r="AE7" s="5">
        <f>VLOOKUP(AE$2,Amphibole!$CN$7:$CW$480,6,FALSE)</f>
        <v>0.61788728137084992</v>
      </c>
      <c r="AF7" s="5">
        <f>VLOOKUP(AF$2,Amphibole!$CN$7:$CW$480,6,FALSE)</f>
        <v>0.59359327523520922</v>
      </c>
      <c r="AG7" s="5">
        <f>VLOOKUP(AG$2,Amphibole!$CN$7:$CW$480,6,FALSE)</f>
        <v>0.35944927194970466</v>
      </c>
      <c r="AH7" s="5">
        <f>VLOOKUP(AH$2,Amphibole!$CN$7:$CW$480,6,FALSE)</f>
        <v>0.34628481668232125</v>
      </c>
      <c r="AI7" s="5">
        <f>VLOOKUP(AI$2,Amphibole!$CN$7:$CW$480,6,FALSE)</f>
        <v>0.32545658788740628</v>
      </c>
      <c r="AJ7" s="5">
        <f>VLOOKUP(AJ$2,Amphibole!$CN$7:$CW$480,6,FALSE)</f>
        <v>0.67704525230284873</v>
      </c>
      <c r="AK7" s="5">
        <f>VLOOKUP(AK$2,Amphibole!$CN$7:$CW$480,6,FALSE)</f>
        <v>0.34808857347676825</v>
      </c>
      <c r="AL7" s="5">
        <f>VLOOKUP(AL$2,Amphibole!$CN$7:$CW$480,6,FALSE)</f>
        <v>0.32358882719767257</v>
      </c>
      <c r="AM7" s="5">
        <f>VLOOKUP(AM$2,Amphibole!$CN$7:$CW$480,6,FALSE)</f>
        <v>0.36722687577372842</v>
      </c>
      <c r="AN7" s="5">
        <f>VLOOKUP(AN$2,Amphibole!$CN$7:$CW$480,6,FALSE)</f>
        <v>0.38351228280433852</v>
      </c>
      <c r="AO7" s="5">
        <f>VLOOKUP(AO$2,Amphibole!$CN$7:$CW$480,6,FALSE)</f>
        <v>0.37744800942041123</v>
      </c>
      <c r="AP7" s="5">
        <f>VLOOKUP(AP$2,Amphibole!$CN$7:$CW$480,6,FALSE)</f>
        <v>0.31897156213238498</v>
      </c>
      <c r="AQ7" s="5">
        <f>VLOOKUP(AQ$2,Amphibole!$CN$7:$CW$480,6,FALSE)</f>
        <v>0.56982542974192829</v>
      </c>
      <c r="AR7" s="5">
        <f>VLOOKUP(AR$2,Amphibole!$CN$7:$CW$480,6,FALSE)</f>
        <v>0.64948254148378548</v>
      </c>
      <c r="AS7" s="5">
        <f>VLOOKUP(AS$2,Amphibole!$CN$7:$CW$480,6,FALSE)</f>
        <v>0.53528615026428117</v>
      </c>
      <c r="AT7" s="5">
        <f>VLOOKUP(AT$2,Amphibole!$CN$7:$CW$480,6,FALSE)</f>
        <v>0.54235089992265972</v>
      </c>
      <c r="AU7" s="5">
        <f>VLOOKUP(AU$2,Amphibole!$CN$7:$CW$480,6,FALSE)</f>
        <v>0.27356084192294861</v>
      </c>
      <c r="AV7" s="5">
        <f>VLOOKUP(AV$2,Amphibole!$CN$7:$CW$480,6,FALSE)</f>
        <v>0.41533970100033979</v>
      </c>
      <c r="AW7" s="5">
        <f>VLOOKUP(AW$2,Amphibole!$CN$7:$CW$480,6,FALSE)</f>
        <v>0.3911134527067589</v>
      </c>
      <c r="AX7" s="5">
        <f>VLOOKUP(AX$2,Amphibole!$CN$7:$CW$480,6,FALSE)</f>
        <v>0.39795104210098797</v>
      </c>
      <c r="AY7" s="5">
        <f>VLOOKUP(AY$2,Amphibole!$CN$7:$CW$480,6,FALSE)</f>
        <v>0.3603228006206366</v>
      </c>
      <c r="AZ7" s="5">
        <f>VLOOKUP(AZ$2,Amphibole!$CN$7:$CW$480,6,FALSE)</f>
        <v>0.3582024204372431</v>
      </c>
      <c r="BA7" s="5">
        <f>VLOOKUP(BA$2,Amphibole!$CN$7:$CW$480,6,FALSE)</f>
        <v>0.38726426567300432</v>
      </c>
      <c r="BB7" s="5">
        <f>VLOOKUP(BB$2,Amphibole!$CN$7:$CW$480,6,FALSE)</f>
        <v>0.56260658422799237</v>
      </c>
      <c r="BC7" s="5">
        <f>VLOOKUP(BC$2,Amphibole!$CN$7:$CW$480,6,FALSE)</f>
        <v>0.51919866573279105</v>
      </c>
      <c r="BD7" s="5">
        <f>VLOOKUP(BD$2,Amphibole!$CN$7:$CW$480,6,FALSE)</f>
        <v>0.59577137476718911</v>
      </c>
      <c r="BE7" s="5">
        <f>VLOOKUP(BE$2,Amphibole!$CN$7:$CW$480,6,FALSE)</f>
        <v>0.51148312988864908</v>
      </c>
      <c r="BF7" s="5">
        <f>VLOOKUP(BF$2,Amphibole!$CN$7:$CW$480,6,FALSE)</f>
        <v>0.49128202156493717</v>
      </c>
      <c r="BG7" s="5">
        <f>VLOOKUP(BG$2,Amphibole!$CN$7:$CW$480,6,FALSE)</f>
        <v>0.58969509314556379</v>
      </c>
      <c r="BH7" s="5">
        <f>VLOOKUP(BH$2,Amphibole!$CN$7:$CW$480,6,FALSE)</f>
        <v>0.63705430737095625</v>
      </c>
      <c r="BI7" s="5">
        <f>VLOOKUP(BI$2,Amphibole!$CN$7:$CW$480,6,FALSE)</f>
        <v>0.56245243916732135</v>
      </c>
      <c r="BJ7" s="5">
        <f>VLOOKUP(BJ$2,Amphibole!$CN$7:$CW$480,6,FALSE)</f>
        <v>0.54012674825636031</v>
      </c>
    </row>
    <row r="8" spans="1:62">
      <c r="A8" s="1"/>
      <c r="B8" s="1"/>
      <c r="C8" s="1"/>
      <c r="D8" s="1"/>
      <c r="E8" s="6" t="s">
        <v>55</v>
      </c>
      <c r="F8" s="5">
        <f>VLOOKUP(F$2,Amphibole!$CN$7:$CW$480,7,FALSE)</f>
        <v>0.25095935161096294</v>
      </c>
      <c r="G8" s="5">
        <f>VLOOKUP(G$2,Amphibole!$CN$7:$CW$480,7,FALSE)</f>
        <v>0.2615262883334788</v>
      </c>
      <c r="H8" s="5">
        <f>VLOOKUP(H$2,Amphibole!$CN$7:$CW$480,7,FALSE)</f>
        <v>0.24059712820426116</v>
      </c>
      <c r="I8" s="5">
        <f>VLOOKUP(I$2,Amphibole!$CN$7:$CW$480,7,FALSE)</f>
        <v>0.26345786158949203</v>
      </c>
      <c r="J8" s="5">
        <f>VLOOKUP(J$2,Amphibole!$CN$7:$CW$480,7,FALSE)</f>
        <v>0.22891613029754065</v>
      </c>
      <c r="K8" s="5">
        <f>VLOOKUP(K$2,Amphibole!$CN$7:$CW$480,7,FALSE)</f>
        <v>0.26851765767182734</v>
      </c>
      <c r="L8" s="5">
        <f>VLOOKUP(L$2,Amphibole!$CN$7:$CW$480,7,FALSE)</f>
        <v>0.25518364689367523</v>
      </c>
      <c r="M8" s="5">
        <f>VLOOKUP(M$2,Amphibole!$CN$7:$CW$480,7,FALSE)</f>
        <v>0.28918796707262473</v>
      </c>
      <c r="N8" s="5">
        <f>VLOOKUP(N$2,Amphibole!$CN$7:$CW$480,7,FALSE)</f>
        <v>0.27765577858659629</v>
      </c>
      <c r="O8" s="5">
        <f>VLOOKUP(O$2,Amphibole!$CN$7:$CW$480,7,FALSE)</f>
        <v>0.23173160222572209</v>
      </c>
      <c r="P8" s="5">
        <f>VLOOKUP(P$2,Amphibole!$CN$7:$CW$480,7,FALSE)</f>
        <v>0.26585767713319353</v>
      </c>
      <c r="Q8" s="5">
        <f>VLOOKUP(Q$2,Amphibole!$CN$7:$CW$480,7,FALSE)</f>
        <v>0.35286303091294302</v>
      </c>
      <c r="R8" s="5">
        <f>VLOOKUP(R$2,Amphibole!$CN$7:$CW$480,7,FALSE)</f>
        <v>0.25488194894208238</v>
      </c>
      <c r="S8" s="5">
        <f>VLOOKUP(S$2,Amphibole!$CN$7:$CW$480,7,FALSE)</f>
        <v>0.24548785380117355</v>
      </c>
      <c r="T8" s="5">
        <f>VLOOKUP(T$2,Amphibole!$CN$7:$CW$480,7,FALSE)</f>
        <v>0.36420204925304267</v>
      </c>
      <c r="U8" s="5">
        <f>VLOOKUP(U$2,Amphibole!$CN$7:$CW$480,7,FALSE)</f>
        <v>0.21897233358807444</v>
      </c>
      <c r="V8" s="5">
        <f>VLOOKUP(V$2,Amphibole!$CN$7:$CW$480,7,FALSE)</f>
        <v>0.25726810128126809</v>
      </c>
      <c r="W8" s="5">
        <f>VLOOKUP(W$2,Amphibole!$CN$7:$CW$480,7,FALSE)</f>
        <v>0.26272829029457156</v>
      </c>
      <c r="X8" s="5">
        <f>VLOOKUP(X$2,Amphibole!$CN$7:$CW$480,7,FALSE)</f>
        <v>0.27200781056327727</v>
      </c>
      <c r="Y8" s="5">
        <f>VLOOKUP(Y$2,Amphibole!$CN$7:$CW$480,7,FALSE)</f>
        <v>0.26202117811125492</v>
      </c>
      <c r="Z8" s="5">
        <f>VLOOKUP(Z$2,Amphibole!$CN$7:$CW$480,7,FALSE)</f>
        <v>0.20396165218244855</v>
      </c>
      <c r="AA8" s="5">
        <f>VLOOKUP(AA$2,Amphibole!$CN$7:$CW$480,7,FALSE)</f>
        <v>0.22259540293246749</v>
      </c>
      <c r="AB8" s="5">
        <f>VLOOKUP(AB$2,Amphibole!$CN$7:$CW$480,7,FALSE)</f>
        <v>0.26071340523014674</v>
      </c>
      <c r="AC8" s="5">
        <f>VLOOKUP(AC$2,Amphibole!$CN$7:$CW$480,7,FALSE)</f>
        <v>0.27898103774718708</v>
      </c>
      <c r="AD8" s="5">
        <f>VLOOKUP(AD$2,Amphibole!$CN$7:$CW$480,7,FALSE)</f>
        <v>0.31235180818528097</v>
      </c>
      <c r="AE8" s="5">
        <f>VLOOKUP(AE$2,Amphibole!$CN$7:$CW$480,7,FALSE)</f>
        <v>0.24881081170543862</v>
      </c>
      <c r="AF8" s="5">
        <f>VLOOKUP(AF$2,Amphibole!$CN$7:$CW$480,7,FALSE)</f>
        <v>0.28298872599432556</v>
      </c>
      <c r="AG8" s="5">
        <f>VLOOKUP(AG$2,Amphibole!$CN$7:$CW$480,7,FALSE)</f>
        <v>0.48926140439278498</v>
      </c>
      <c r="AH8" s="5">
        <f>VLOOKUP(AH$2,Amphibole!$CN$7:$CW$480,7,FALSE)</f>
        <v>0.49313146370598959</v>
      </c>
      <c r="AI8" s="5">
        <f>VLOOKUP(AI$2,Amphibole!$CN$7:$CW$480,7,FALSE)</f>
        <v>0.50870975396833584</v>
      </c>
      <c r="AJ8" s="5">
        <f>VLOOKUP(AJ$2,Amphibole!$CN$7:$CW$480,7,FALSE)</f>
        <v>0.20047265814519655</v>
      </c>
      <c r="AK8" s="5">
        <f>VLOOKUP(AK$2,Amphibole!$CN$7:$CW$480,7,FALSE)</f>
        <v>0.49054323516505427</v>
      </c>
      <c r="AL8" s="5">
        <f>VLOOKUP(AL$2,Amphibole!$CN$7:$CW$480,7,FALSE)</f>
        <v>0.51330036506454046</v>
      </c>
      <c r="AM8" s="5">
        <f>VLOOKUP(AM$2,Amphibole!$CN$7:$CW$480,7,FALSE)</f>
        <v>0.46380534698749631</v>
      </c>
      <c r="AN8" s="5">
        <f>VLOOKUP(AN$2,Amphibole!$CN$7:$CW$480,7,FALSE)</f>
        <v>0.45351994744441626</v>
      </c>
      <c r="AO8" s="5">
        <f>VLOOKUP(AO$2,Amphibole!$CN$7:$CW$480,7,FALSE)</f>
        <v>0.47105773683143237</v>
      </c>
      <c r="AP8" s="5">
        <f>VLOOKUP(AP$2,Amphibole!$CN$7:$CW$480,7,FALSE)</f>
        <v>0.51785998328936156</v>
      </c>
      <c r="AQ8" s="5">
        <f>VLOOKUP(AQ$2,Amphibole!$CN$7:$CW$480,7,FALSE)</f>
        <v>0.28224391061726095</v>
      </c>
      <c r="AR8" s="5">
        <f>VLOOKUP(AR$2,Amphibole!$CN$7:$CW$480,7,FALSE)</f>
        <v>0.21996129072015558</v>
      </c>
      <c r="AS8" s="5">
        <f>VLOOKUP(AS$2,Amphibole!$CN$7:$CW$480,7,FALSE)</f>
        <v>0.3097419940338626</v>
      </c>
      <c r="AT8" s="5">
        <f>VLOOKUP(AT$2,Amphibole!$CN$7:$CW$480,7,FALSE)</f>
        <v>0.32108066924995615</v>
      </c>
      <c r="AU8" s="5">
        <f>VLOOKUP(AU$2,Amphibole!$CN$7:$CW$480,7,FALSE)</f>
        <v>0.55389327193014815</v>
      </c>
      <c r="AV8" s="5">
        <f>VLOOKUP(AV$2,Amphibole!$CN$7:$CW$480,7,FALSE)</f>
        <v>0.42310415816165392</v>
      </c>
      <c r="AW8" s="5">
        <f>VLOOKUP(AW$2,Amphibole!$CN$7:$CW$480,7,FALSE)</f>
        <v>0.44145543689346889</v>
      </c>
      <c r="AX8" s="5">
        <f>VLOOKUP(AX$2,Amphibole!$CN$7:$CW$480,7,FALSE)</f>
        <v>0.44644695315096961</v>
      </c>
      <c r="AY8" s="5">
        <f>VLOOKUP(AY$2,Amphibole!$CN$7:$CW$480,7,FALSE)</f>
        <v>0.47419456112790348</v>
      </c>
      <c r="AZ8" s="5">
        <f>VLOOKUP(AZ$2,Amphibole!$CN$7:$CW$480,7,FALSE)</f>
        <v>0.47582321154512019</v>
      </c>
      <c r="BA8" s="5">
        <f>VLOOKUP(BA$2,Amphibole!$CN$7:$CW$480,7,FALSE)</f>
        <v>0.44709055994041691</v>
      </c>
      <c r="BB8" s="5">
        <f>VLOOKUP(BB$2,Amphibole!$CN$7:$CW$480,7,FALSE)</f>
        <v>0.28057877158830191</v>
      </c>
      <c r="BC8" s="5">
        <f>VLOOKUP(BC$2,Amphibole!$CN$7:$CW$480,7,FALSE)</f>
        <v>0.30876125760245099</v>
      </c>
      <c r="BD8" s="5">
        <f>VLOOKUP(BD$2,Amphibole!$CN$7:$CW$480,7,FALSE)</f>
        <v>0.24962336802467266</v>
      </c>
      <c r="BE8" s="5">
        <f>VLOOKUP(BE$2,Amphibole!$CN$7:$CW$480,7,FALSE)</f>
        <v>0.32032872898372666</v>
      </c>
      <c r="BF8" s="5">
        <f>VLOOKUP(BF$2,Amphibole!$CN$7:$CW$480,7,FALSE)</f>
        <v>0.31984821179827438</v>
      </c>
      <c r="BG8" s="5">
        <f>VLOOKUP(BG$2,Amphibole!$CN$7:$CW$480,7,FALSE)</f>
        <v>0.26258918860283176</v>
      </c>
      <c r="BH8" s="5">
        <f>VLOOKUP(BH$2,Amphibole!$CN$7:$CW$480,7,FALSE)</f>
        <v>0.2300325965413923</v>
      </c>
      <c r="BI8" s="5">
        <f>VLOOKUP(BI$2,Amphibole!$CN$7:$CW$480,7,FALSE)</f>
        <v>0.2936694321565505</v>
      </c>
      <c r="BJ8" s="5">
        <f>VLOOKUP(BJ$2,Amphibole!$CN$7:$CW$480,7,FALSE)</f>
        <v>0.29570420151539434</v>
      </c>
    </row>
    <row r="9" spans="1:62">
      <c r="A9" s="7" t="s">
        <v>140</v>
      </c>
      <c r="B9" s="1"/>
      <c r="C9" s="1"/>
      <c r="D9" s="1"/>
      <c r="E9" s="6" t="s">
        <v>116</v>
      </c>
      <c r="F9" s="31">
        <f>VLOOKUP(F$2,Amphibole!$GU$7:$GY$480,3,FALSE)</f>
        <v>807.02666924327218</v>
      </c>
      <c r="G9" s="31">
        <f>VLOOKUP(G$2,Amphibole!$GU$7:$GY$480,3,FALSE)</f>
        <v>806.80684814319511</v>
      </c>
      <c r="H9" s="31">
        <f>VLOOKUP(H$2,Amphibole!$GU$7:$GY$480,3,FALSE)</f>
        <v>796.13127997173342</v>
      </c>
      <c r="I9" s="31">
        <f>VLOOKUP(I$2,Amphibole!$GU$7:$GY$480,3,FALSE)</f>
        <v>793.81437610994817</v>
      </c>
      <c r="J9" s="31">
        <f>VLOOKUP(J$2,Amphibole!$GU$7:$GY$480,3,FALSE)</f>
        <v>795.23624894901354</v>
      </c>
      <c r="K9" s="31">
        <f>VLOOKUP(K$2,Amphibole!$GU$7:$GY$480,3,FALSE)</f>
        <v>810.85858431971928</v>
      </c>
      <c r="L9" s="31">
        <f>VLOOKUP(L$2,Amphibole!$GU$7:$GY$480,3,FALSE)</f>
        <v>796.25601933869916</v>
      </c>
      <c r="M9" s="31">
        <f>VLOOKUP(M$2,Amphibole!$GU$7:$GY$480,3,FALSE)</f>
        <v>814.70827615730923</v>
      </c>
      <c r="N9" s="31">
        <f>VLOOKUP(N$2,Amphibole!$GU$7:$GY$480,3,FALSE)</f>
        <v>796.49756913932424</v>
      </c>
      <c r="O9" s="31">
        <f>VLOOKUP(O$2,Amphibole!$GU$7:$GY$480,3,FALSE)</f>
        <v>804.15936147515322</v>
      </c>
      <c r="P9" s="31">
        <f>VLOOKUP(P$2,Amphibole!$GU$7:$GY$480,3,FALSE)</f>
        <v>802.17466666445011</v>
      </c>
      <c r="Q9" s="31">
        <f>VLOOKUP(Q$2,Amphibole!$GU$7:$GY$480,3,FALSE)</f>
        <v>856.57513249825024</v>
      </c>
      <c r="R9" s="31">
        <f>VLOOKUP(R$2,Amphibole!$GU$7:$GY$480,3,FALSE)</f>
        <v>805.05269544448515</v>
      </c>
      <c r="S9" s="31">
        <f>VLOOKUP(S$2,Amphibole!$GU$7:$GY$480,3,FALSE)</f>
        <v>804.9649328073458</v>
      </c>
      <c r="T9" s="31">
        <f>VLOOKUP(T$2,Amphibole!$GU$7:$GY$480,3,FALSE)</f>
        <v>859.47839013277576</v>
      </c>
      <c r="U9" s="31">
        <f>VLOOKUP(U$2,Amphibole!$GU$7:$GY$480,3,FALSE)</f>
        <v>775.97905396005149</v>
      </c>
      <c r="V9" s="31">
        <f>VLOOKUP(V$2,Amphibole!$GU$7:$GY$480,3,FALSE)</f>
        <v>791.88871926118918</v>
      </c>
      <c r="W9" s="31">
        <f>VLOOKUP(W$2,Amphibole!$GU$7:$GY$480,3,FALSE)</f>
        <v>799.92846093807748</v>
      </c>
      <c r="X9" s="31">
        <f>VLOOKUP(X$2,Amphibole!$GU$7:$GY$480,3,FALSE)</f>
        <v>797.63433169484233</v>
      </c>
      <c r="Y9" s="31">
        <f>VLOOKUP(Y$2,Amphibole!$GU$7:$GY$480,3,FALSE)</f>
        <v>801.46362614536679</v>
      </c>
      <c r="Z9" s="31">
        <f>VLOOKUP(Z$2,Amphibole!$GU$7:$GY$480,3,FALSE)</f>
        <v>776.20779007576516</v>
      </c>
      <c r="AA9" s="31">
        <f>VLOOKUP(AA$2,Amphibole!$GU$7:$GY$480,3,FALSE)</f>
        <v>784.70032583931629</v>
      </c>
      <c r="AB9" s="31">
        <f>VLOOKUP(AB$2,Amphibole!$GU$7:$GY$480,3,FALSE)</f>
        <v>801.20041174353446</v>
      </c>
      <c r="AC9" s="31">
        <f>VLOOKUP(AC$2,Amphibole!$GU$7:$GY$480,3,FALSE)</f>
        <v>810.12627671707469</v>
      </c>
      <c r="AD9" s="31">
        <f>VLOOKUP(AD$2,Amphibole!$GU$7:$GY$480,3,FALSE)</f>
        <v>840.75766159282989</v>
      </c>
      <c r="AE9" s="31">
        <f>VLOOKUP(AE$2,Amphibole!$GU$7:$GY$480,3,FALSE)</f>
        <v>792.25620591847587</v>
      </c>
      <c r="AF9" s="31">
        <f>VLOOKUP(AF$2,Amphibole!$GU$7:$GY$480,3,FALSE)</f>
        <v>802.69891933054168</v>
      </c>
      <c r="AG9" s="31">
        <f>VLOOKUP(AG$2,Amphibole!$GU$7:$GY$480,3,FALSE)</f>
        <v>972.19168740115538</v>
      </c>
      <c r="AH9" s="31">
        <f>VLOOKUP(AH$2,Amphibole!$GU$7:$GY$480,3,FALSE)</f>
        <v>968.40370545293649</v>
      </c>
      <c r="AI9" s="31">
        <f>VLOOKUP(AI$2,Amphibole!$GU$7:$GY$480,3,FALSE)</f>
        <v>971.30445187536839</v>
      </c>
      <c r="AJ9" s="31">
        <f>VLOOKUP(AJ$2,Amphibole!$GU$7:$GY$480,3,FALSE)</f>
        <v>784.63313381025</v>
      </c>
      <c r="AK9" s="31">
        <f>VLOOKUP(AK$2,Amphibole!$GU$7:$GY$480,3,FALSE)</f>
        <v>970.83098980569707</v>
      </c>
      <c r="AL9" s="31">
        <f>VLOOKUP(AL$2,Amphibole!$GU$7:$GY$480,3,FALSE)</f>
        <v>966.94642677691763</v>
      </c>
      <c r="AM9" s="31">
        <f>VLOOKUP(AM$2,Amphibole!$GU$7:$GY$480,3,FALSE)</f>
        <v>964.58738984708066</v>
      </c>
      <c r="AN9" s="31">
        <f>VLOOKUP(AN$2,Amphibole!$GU$7:$GY$480,3,FALSE)</f>
        <v>959.94659771937108</v>
      </c>
      <c r="AO9" s="31">
        <f>VLOOKUP(AO$2,Amphibole!$GU$7:$GY$480,3,FALSE)</f>
        <v>948.64285708998023</v>
      </c>
      <c r="AP9" s="31">
        <f>VLOOKUP(AP$2,Amphibole!$GU$7:$GY$480,3,FALSE)</f>
        <v>973.24040040864315</v>
      </c>
      <c r="AQ9" s="31">
        <f>VLOOKUP(AQ$2,Amphibole!$GU$7:$GY$480,3,FALSE)</f>
        <v>811.2802346001597</v>
      </c>
      <c r="AR9" s="31">
        <f>VLOOKUP(AR$2,Amphibole!$GU$7:$GY$480,3,FALSE)</f>
        <v>806.45077756468731</v>
      </c>
      <c r="AS9" s="31">
        <f>VLOOKUP(AS$2,Amphibole!$GU$7:$GY$480,3,FALSE)</f>
        <v>849.88952713764502</v>
      </c>
      <c r="AT9" s="31">
        <f>VLOOKUP(AT$2,Amphibole!$GU$7:$GY$480,3,FALSE)</f>
        <v>848.33662061253244</v>
      </c>
      <c r="AU9" s="31">
        <f>VLOOKUP(AU$2,Amphibole!$GU$7:$GY$480,3,FALSE)</f>
        <v>969.62280371892575</v>
      </c>
      <c r="AV9" s="31">
        <f>VLOOKUP(AV$2,Amphibole!$GU$7:$GY$480,3,FALSE)</f>
        <v>919.70552046528087</v>
      </c>
      <c r="AW9" s="31">
        <f>VLOOKUP(AW$2,Amphibole!$GU$7:$GY$480,3,FALSE)</f>
        <v>922.11700713733035</v>
      </c>
      <c r="AX9" s="31">
        <f>VLOOKUP(AX$2,Amphibole!$GU$7:$GY$480,3,FALSE)</f>
        <v>932.85905805504103</v>
      </c>
      <c r="AY9" s="31">
        <f>VLOOKUP(AY$2,Amphibole!$GU$7:$GY$480,3,FALSE)</f>
        <v>947.16987141450954</v>
      </c>
      <c r="AZ9" s="31">
        <f>VLOOKUP(AZ$2,Amphibole!$GU$7:$GY$480,3,FALSE)</f>
        <v>942.68165351298921</v>
      </c>
      <c r="BA9" s="31">
        <f>VLOOKUP(BA$2,Amphibole!$GU$7:$GY$480,3,FALSE)</f>
        <v>925.63020449617102</v>
      </c>
      <c r="BB9" s="31">
        <f>VLOOKUP(BB$2,Amphibole!$GU$7:$GY$480,3,FALSE)</f>
        <v>809.3273463261271</v>
      </c>
      <c r="BC9" s="31">
        <f>VLOOKUP(BC$2,Amphibole!$GU$7:$GY$480,3,FALSE)</f>
        <v>824.15212900513484</v>
      </c>
      <c r="BD9" s="31">
        <f>VLOOKUP(BD$2,Amphibole!$GU$7:$GY$480,3,FALSE)</f>
        <v>806.38757273986744</v>
      </c>
      <c r="BE9" s="31">
        <f>VLOOKUP(BE$2,Amphibole!$GU$7:$GY$480,3,FALSE)</f>
        <v>828.81908039239556</v>
      </c>
      <c r="BF9" s="31">
        <f>VLOOKUP(BF$2,Amphibole!$GU$7:$GY$480,3,FALSE)</f>
        <v>836.61126557763191</v>
      </c>
      <c r="BG9" s="31">
        <f>VLOOKUP(BG$2,Amphibole!$GU$7:$GY$480,3,FALSE)</f>
        <v>804.30525959185093</v>
      </c>
      <c r="BH9" s="31">
        <f>VLOOKUP(BH$2,Amphibole!$GU$7:$GY$480,3,FALSE)</f>
        <v>785.85402573492024</v>
      </c>
      <c r="BI9" s="31">
        <f>VLOOKUP(BI$2,Amphibole!$GU$7:$GY$480,3,FALSE)</f>
        <v>804.84233006912336</v>
      </c>
      <c r="BJ9" s="31">
        <f>VLOOKUP(BJ$2,Amphibole!$GU$7:$GY$480,3,FALSE)</f>
        <v>822.1019215146157</v>
      </c>
    </row>
    <row r="10" spans="1:62">
      <c r="A10" s="7" t="s">
        <v>141</v>
      </c>
      <c r="B10" s="1"/>
      <c r="C10" s="1"/>
      <c r="D10" s="1"/>
      <c r="E10" s="6" t="s">
        <v>116</v>
      </c>
      <c r="F10" s="31">
        <f>VLOOKUP(F$2,Amphibole!$GU$7:$GY$480,5,FALSE)</f>
        <v>786.40132210436491</v>
      </c>
      <c r="G10" s="31">
        <f>VLOOKUP(G$2,Amphibole!$GU$7:$GY$480,5,FALSE)</f>
        <v>791.42575402429634</v>
      </c>
      <c r="H10" s="31">
        <f>VLOOKUP(H$2,Amphibole!$GU$7:$GY$480,5,FALSE)</f>
        <v>775.05238495391836</v>
      </c>
      <c r="I10" s="31">
        <f>VLOOKUP(I$2,Amphibole!$GU$7:$GY$480,5,FALSE)</f>
        <v>770.2769999939087</v>
      </c>
      <c r="J10" s="31">
        <f>VLOOKUP(J$2,Amphibole!$GU$7:$GY$480,5,FALSE)</f>
        <v>783.03728816313401</v>
      </c>
      <c r="K10" s="31">
        <f>VLOOKUP(K$2,Amphibole!$GU$7:$GY$480,5,FALSE)</f>
        <v>786.87247834596042</v>
      </c>
      <c r="L10" s="31">
        <f>VLOOKUP(L$2,Amphibole!$GU$7:$GY$480,5,FALSE)</f>
        <v>783.78437583680807</v>
      </c>
      <c r="M10" s="31">
        <f>VLOOKUP(M$2,Amphibole!$GU$7:$GY$480,5,FALSE)</f>
        <v>792.30903985460554</v>
      </c>
      <c r="N10" s="31">
        <f>VLOOKUP(N$2,Amphibole!$GU$7:$GY$480,5,FALSE)</f>
        <v>773.73406624507652</v>
      </c>
      <c r="O10" s="31">
        <f>VLOOKUP(O$2,Amphibole!$GU$7:$GY$480,5,FALSE)</f>
        <v>782.12267519397392</v>
      </c>
      <c r="P10" s="31">
        <f>VLOOKUP(P$2,Amphibole!$GU$7:$GY$480,5,FALSE)</f>
        <v>782.96384497285896</v>
      </c>
      <c r="Q10" s="31">
        <f>VLOOKUP(Q$2,Amphibole!$GU$7:$GY$480,5,FALSE)</f>
        <v>833.89479622370231</v>
      </c>
      <c r="R10" s="31">
        <f>VLOOKUP(R$2,Amphibole!$GU$7:$GY$480,5,FALSE)</f>
        <v>782.0113222176642</v>
      </c>
      <c r="S10" s="31">
        <f>VLOOKUP(S$2,Amphibole!$GU$7:$GY$480,5,FALSE)</f>
        <v>787.79278798401663</v>
      </c>
      <c r="T10" s="31">
        <f>VLOOKUP(T$2,Amphibole!$GU$7:$GY$480,5,FALSE)</f>
        <v>831.75104610349013</v>
      </c>
      <c r="U10" s="31">
        <f>VLOOKUP(U$2,Amphibole!$GU$7:$GY$480,5,FALSE)</f>
        <v>738.00623688703899</v>
      </c>
      <c r="V10" s="31">
        <f>VLOOKUP(V$2,Amphibole!$GU$7:$GY$480,5,FALSE)</f>
        <v>749.38428929674683</v>
      </c>
      <c r="W10" s="31">
        <f>VLOOKUP(W$2,Amphibole!$GU$7:$GY$480,5,FALSE)</f>
        <v>779.42664312333045</v>
      </c>
      <c r="X10" s="31">
        <f>VLOOKUP(X$2,Amphibole!$GU$7:$GY$480,5,FALSE)</f>
        <v>750.09068950606036</v>
      </c>
      <c r="Y10" s="31">
        <f>VLOOKUP(Y$2,Amphibole!$GU$7:$GY$480,5,FALSE)</f>
        <v>778.81477590665713</v>
      </c>
      <c r="Z10" s="31">
        <f>VLOOKUP(Z$2,Amphibole!$GU$7:$GY$480,5,FALSE)</f>
        <v>746.03036110698156</v>
      </c>
      <c r="AA10" s="31">
        <f>VLOOKUP(AA$2,Amphibole!$GU$7:$GY$480,5,FALSE)</f>
        <v>765.68664541519411</v>
      </c>
      <c r="AB10" s="31">
        <f>VLOOKUP(AB$2,Amphibole!$GU$7:$GY$480,5,FALSE)</f>
        <v>773.33634643565051</v>
      </c>
      <c r="AC10" s="31">
        <f>VLOOKUP(AC$2,Amphibole!$GU$7:$GY$480,5,FALSE)</f>
        <v>785.18965596793998</v>
      </c>
      <c r="AD10" s="31">
        <f>VLOOKUP(AD$2,Amphibole!$GU$7:$GY$480,5,FALSE)</f>
        <v>810.73862840325</v>
      </c>
      <c r="AE10" s="31">
        <f>VLOOKUP(AE$2,Amphibole!$GU$7:$GY$480,5,FALSE)</f>
        <v>769.67522747450266</v>
      </c>
      <c r="AF10" s="31">
        <f>VLOOKUP(AF$2,Amphibole!$GU$7:$GY$480,5,FALSE)</f>
        <v>788.84676890086234</v>
      </c>
      <c r="AG10" s="31">
        <f>VLOOKUP(AG$2,Amphibole!$GU$7:$GY$480,5,FALSE)</f>
        <v>955.833045405843</v>
      </c>
      <c r="AH10" s="31">
        <f>VLOOKUP(AH$2,Amphibole!$GU$7:$GY$480,5,FALSE)</f>
        <v>943.38689239685141</v>
      </c>
      <c r="AI10" s="31">
        <f>VLOOKUP(AI$2,Amphibole!$GU$7:$GY$480,5,FALSE)</f>
        <v>963.53070936775157</v>
      </c>
      <c r="AJ10" s="31">
        <f>VLOOKUP(AJ$2,Amphibole!$GU$7:$GY$480,5,FALSE)</f>
        <v>763.17742643315023</v>
      </c>
      <c r="AK10" s="31">
        <f>VLOOKUP(AK$2,Amphibole!$GU$7:$GY$480,5,FALSE)</f>
        <v>960.44861206229916</v>
      </c>
      <c r="AL10" s="31">
        <f>VLOOKUP(AL$2,Amphibole!$GU$7:$GY$480,5,FALSE)</f>
        <v>940.63485248672725</v>
      </c>
      <c r="AM10" s="31">
        <f>VLOOKUP(AM$2,Amphibole!$GU$7:$GY$480,5,FALSE)</f>
        <v>951.92406340426464</v>
      </c>
      <c r="AN10" s="31">
        <f>VLOOKUP(AN$2,Amphibole!$GU$7:$GY$480,5,FALSE)</f>
        <v>963.97529717234011</v>
      </c>
      <c r="AO10" s="31">
        <f>VLOOKUP(AO$2,Amphibole!$GU$7:$GY$480,5,FALSE)</f>
        <v>945.154335636881</v>
      </c>
      <c r="AP10" s="31">
        <f>VLOOKUP(AP$2,Amphibole!$GU$7:$GY$480,5,FALSE)</f>
        <v>950.56468649160922</v>
      </c>
      <c r="AQ10" s="31">
        <f>VLOOKUP(AQ$2,Amphibole!$GU$7:$GY$480,5,FALSE)</f>
        <v>789.1147253235099</v>
      </c>
      <c r="AR10" s="31">
        <f>VLOOKUP(AR$2,Amphibole!$GU$7:$GY$480,5,FALSE)</f>
        <v>775.2875733401105</v>
      </c>
      <c r="AS10" s="31">
        <f>VLOOKUP(AS$2,Amphibole!$GU$7:$GY$480,5,FALSE)</f>
        <v>820.98569179608933</v>
      </c>
      <c r="AT10" s="31">
        <f>VLOOKUP(AT$2,Amphibole!$GU$7:$GY$480,5,FALSE)</f>
        <v>810.54427926505832</v>
      </c>
      <c r="AU10" s="31">
        <f>VLOOKUP(AU$2,Amphibole!$GU$7:$GY$480,5,FALSE)</f>
        <v>925.16588793034839</v>
      </c>
      <c r="AV10" s="31">
        <f>VLOOKUP(AV$2,Amphibole!$GU$7:$GY$480,5,FALSE)</f>
        <v>915.44493802705642</v>
      </c>
      <c r="AW10" s="31">
        <f>VLOOKUP(AW$2,Amphibole!$GU$7:$GY$480,5,FALSE)</f>
        <v>903.65714297939621</v>
      </c>
      <c r="AX10" s="31">
        <f>VLOOKUP(AX$2,Amphibole!$GU$7:$GY$480,5,FALSE)</f>
        <v>929.61944412314756</v>
      </c>
      <c r="AY10" s="31">
        <f>VLOOKUP(AY$2,Amphibole!$GU$7:$GY$480,5,FALSE)</f>
        <v>950.84690501994237</v>
      </c>
      <c r="AZ10" s="31">
        <f>VLOOKUP(AZ$2,Amphibole!$GU$7:$GY$480,5,FALSE)</f>
        <v>933.94003623942422</v>
      </c>
      <c r="BA10" s="31">
        <f>VLOOKUP(BA$2,Amphibole!$GU$7:$GY$480,5,FALSE)</f>
        <v>906.38256115025433</v>
      </c>
      <c r="BB10" s="31">
        <f>VLOOKUP(BB$2,Amphibole!$GU$7:$GY$480,5,FALSE)</f>
        <v>776.52198386828366</v>
      </c>
      <c r="BC10" s="31">
        <f>VLOOKUP(BC$2,Amphibole!$GU$7:$GY$480,5,FALSE)</f>
        <v>782.60410845215836</v>
      </c>
      <c r="BD10" s="31">
        <f>VLOOKUP(BD$2,Amphibole!$GU$7:$GY$480,5,FALSE)</f>
        <v>769.35963950016742</v>
      </c>
      <c r="BE10" s="31">
        <f>VLOOKUP(BE$2,Amphibole!$GU$7:$GY$480,5,FALSE)</f>
        <v>800.02220711889549</v>
      </c>
      <c r="BF10" s="31">
        <f>VLOOKUP(BF$2,Amphibole!$GU$7:$GY$480,5,FALSE)</f>
        <v>795.50501098336895</v>
      </c>
      <c r="BG10" s="31">
        <f>VLOOKUP(BG$2,Amphibole!$GU$7:$GY$480,5,FALSE)</f>
        <v>759.8988882404459</v>
      </c>
      <c r="BH10" s="31">
        <f>VLOOKUP(BH$2,Amphibole!$GU$7:$GY$480,5,FALSE)</f>
        <v>743.39589428611225</v>
      </c>
      <c r="BI10" s="31">
        <f>VLOOKUP(BI$2,Amphibole!$GU$7:$GY$480,5,FALSE)</f>
        <v>773.32714427578992</v>
      </c>
      <c r="BJ10" s="31">
        <f>VLOOKUP(BJ$2,Amphibole!$GU$7:$GY$480,5,FALSE)</f>
        <v>783.58721842454077</v>
      </c>
    </row>
    <row r="11" spans="1:62">
      <c r="A11" s="1"/>
      <c r="B11" s="1"/>
      <c r="C11" s="1"/>
      <c r="D11" s="1"/>
      <c r="E11" s="6" t="s">
        <v>77</v>
      </c>
      <c r="F11" s="46">
        <f>VLOOKUP(F$2,Amphibole!$GU$7:$GY$480,4,FALSE)/100</f>
        <v>1.1489858478664627</v>
      </c>
      <c r="G11" s="46">
        <f>VLOOKUP(G$2,Amphibole!$GU$7:$GY$480,4,FALSE)/100</f>
        <v>1.1519413434720867</v>
      </c>
      <c r="H11" s="46">
        <f>VLOOKUP(H$2,Amphibole!$GU$7:$GY$480,4,FALSE)/100</f>
        <v>1.0530889099942469</v>
      </c>
      <c r="I11" s="46">
        <f>VLOOKUP(I$2,Amphibole!$GU$7:$GY$480,4,FALSE)/100</f>
        <v>0.97965169747351566</v>
      </c>
      <c r="J11" s="46">
        <f>VLOOKUP(J$2,Amphibole!$GU$7:$GY$480,4,FALSE)/100</f>
        <v>1.0777945039007228</v>
      </c>
      <c r="K11" s="46">
        <f>VLOOKUP(K$2,Amphibole!$GU$7:$GY$480,4,FALSE)/100</f>
        <v>1.1762315346789467</v>
      </c>
      <c r="L11" s="46">
        <f>VLOOKUP(L$2,Amphibole!$GU$7:$GY$480,4,FALSE)/100</f>
        <v>1.0441584511922712</v>
      </c>
      <c r="M11" s="46">
        <f>VLOOKUP(M$2,Amphibole!$GU$7:$GY$480,4,FALSE)/100</f>
        <v>1.1749198420747602</v>
      </c>
      <c r="N11" s="46">
        <f>VLOOKUP(N$2,Amphibole!$GU$7:$GY$480,4,FALSE)/100</f>
        <v>0.99827371588265124</v>
      </c>
      <c r="O11" s="46">
        <f>VLOOKUP(O$2,Amphibole!$GU$7:$GY$480,4,FALSE)/100</f>
        <v>1.1623290021253372</v>
      </c>
      <c r="P11" s="46">
        <f>VLOOKUP(P$2,Amphibole!$GU$7:$GY$480,4,FALSE)/100</f>
        <v>1.0700255190158072</v>
      </c>
      <c r="Q11" s="46">
        <f>VLOOKUP(Q$2,Amphibole!$GU$7:$GY$480,4,FALSE)/100</f>
        <v>1.7363092239749194</v>
      </c>
      <c r="R11" s="46">
        <f>VLOOKUP(R$2,Amphibole!$GU$7:$GY$480,4,FALSE)/100</f>
        <v>1.1286003089899446</v>
      </c>
      <c r="S11" s="46">
        <f>VLOOKUP(S$2,Amphibole!$GU$7:$GY$480,4,FALSE)/100</f>
        <v>1.1821807111900176</v>
      </c>
      <c r="T11" s="46">
        <f>VLOOKUP(T$2,Amphibole!$GU$7:$GY$480,4,FALSE)/100</f>
        <v>1.8515728826485418</v>
      </c>
      <c r="U11" s="46">
        <f>VLOOKUP(U$2,Amphibole!$GU$7:$GY$480,4,FALSE)/100</f>
        <v>0.89742722736493841</v>
      </c>
      <c r="V11" s="46">
        <f>VLOOKUP(V$2,Amphibole!$GU$7:$GY$480,4,FALSE)/100</f>
        <v>0.98267206409683572</v>
      </c>
      <c r="W11" s="46">
        <f>VLOOKUP(W$2,Amphibole!$GU$7:$GY$480,4,FALSE)/100</f>
        <v>1.0959696102015239</v>
      </c>
      <c r="X11" s="46">
        <f>VLOOKUP(X$2,Amphibole!$GU$7:$GY$480,4,FALSE)/100</f>
        <v>0.96864497133664518</v>
      </c>
      <c r="Y11" s="46">
        <f>VLOOKUP(Y$2,Amphibole!$GU$7:$GY$480,4,FALSE)/100</f>
        <v>1.1004503098819229</v>
      </c>
      <c r="Z11" s="46">
        <f>VLOOKUP(Z$2,Amphibole!$GU$7:$GY$480,4,FALSE)/100</f>
        <v>0.91961233858204383</v>
      </c>
      <c r="AA11" s="46">
        <f>VLOOKUP(AA$2,Amphibole!$GU$7:$GY$480,4,FALSE)/100</f>
        <v>0.98570638850618719</v>
      </c>
      <c r="AB11" s="46">
        <f>VLOOKUP(AB$2,Amphibole!$GU$7:$GY$480,4,FALSE)/100</f>
        <v>1.0699478747491684</v>
      </c>
      <c r="AC11" s="46">
        <f>VLOOKUP(AC$2,Amphibole!$GU$7:$GY$480,4,FALSE)/100</f>
        <v>1.1464641444437045</v>
      </c>
      <c r="AD11" s="46">
        <f>VLOOKUP(AD$2,Amphibole!$GU$7:$GY$480,4,FALSE)/100</f>
        <v>1.6021648622018483</v>
      </c>
      <c r="AE11" s="46">
        <f>VLOOKUP(AE$2,Amphibole!$GU$7:$GY$480,4,FALSE)/100</f>
        <v>1.0122495784884828</v>
      </c>
      <c r="AF11" s="46">
        <f>VLOOKUP(AF$2,Amphibole!$GU$7:$GY$480,4,FALSE)/100</f>
        <v>1.0893784463912584</v>
      </c>
      <c r="AG11" s="46">
        <f>VLOOKUP(AG$2,Amphibole!$GU$7:$GY$480,4,FALSE)/100</f>
        <v>4.2352345021869011</v>
      </c>
      <c r="AH11" s="46">
        <f>VLOOKUP(AH$2,Amphibole!$GU$7:$GY$480,4,FALSE)/100</f>
        <v>4.2182532048132169</v>
      </c>
      <c r="AI11" s="46">
        <f>VLOOKUP(AI$2,Amphibole!$GU$7:$GY$480,4,FALSE)/100</f>
        <v>4.6799850993812298</v>
      </c>
      <c r="AJ11" s="46">
        <f>VLOOKUP(AJ$2,Amphibole!$GU$7:$GY$480,4,FALSE)/100</f>
        <v>0.98982873895354029</v>
      </c>
      <c r="AK11" s="46">
        <f>VLOOKUP(AK$2,Amphibole!$GU$7:$GY$480,4,FALSE)/100</f>
        <v>4.2546765138894225</v>
      </c>
      <c r="AL11" s="46">
        <f>VLOOKUP(AL$2,Amphibole!$GU$7:$GY$480,4,FALSE)/100</f>
        <v>4.2284882570200351</v>
      </c>
      <c r="AM11" s="46">
        <f>VLOOKUP(AM$2,Amphibole!$GU$7:$GY$480,4,FALSE)/100</f>
        <v>3.9497009353315997</v>
      </c>
      <c r="AN11" s="46">
        <f>VLOOKUP(AN$2,Amphibole!$GU$7:$GY$480,4,FALSE)/100</f>
        <v>4.1473136772309678</v>
      </c>
      <c r="AO11" s="46">
        <f>VLOOKUP(AO$2,Amphibole!$GU$7:$GY$480,4,FALSE)/100</f>
        <v>3.5768587185590572</v>
      </c>
      <c r="AP11" s="46">
        <f>VLOOKUP(AP$2,Amphibole!$GU$7:$GY$480,4,FALSE)/100</f>
        <v>3.6565939913193155</v>
      </c>
      <c r="AQ11" s="46">
        <f>VLOOKUP(AQ$2,Amphibole!$GU$7:$GY$480,4,FALSE)/100</f>
        <v>1.1772667795228597</v>
      </c>
      <c r="AR11" s="46">
        <f>VLOOKUP(AR$2,Amphibole!$GU$7:$GY$480,4,FALSE)/100</f>
        <v>1.1054414000508204</v>
      </c>
      <c r="AS11" s="46">
        <f>VLOOKUP(AS$2,Amphibole!$GU$7:$GY$480,4,FALSE)/100</f>
        <v>1.5769228415006376</v>
      </c>
      <c r="AT11" s="46">
        <f>VLOOKUP(AT$2,Amphibole!$GU$7:$GY$480,4,FALSE)/100</f>
        <v>1.4296201886815039</v>
      </c>
      <c r="AU11" s="46">
        <f>VLOOKUP(AU$2,Amphibole!$GU$7:$GY$480,4,FALSE)/100</f>
        <v>3.581892982759058</v>
      </c>
      <c r="AV11" s="46">
        <f>VLOOKUP(AV$2,Amphibole!$GU$7:$GY$480,4,FALSE)/100</f>
        <v>3.1866654779070611</v>
      </c>
      <c r="AW11" s="46">
        <f>VLOOKUP(AW$2,Amphibole!$GU$7:$GY$480,4,FALSE)/100</f>
        <v>2.8969280429420503</v>
      </c>
      <c r="AX11" s="46">
        <f>VLOOKUP(AX$2,Amphibole!$GU$7:$GY$480,4,FALSE)/100</f>
        <v>3.3278268850115693</v>
      </c>
      <c r="AY11" s="46">
        <f>VLOOKUP(AY$2,Amphibole!$GU$7:$GY$480,4,FALSE)/100</f>
        <v>3.7882324795116862</v>
      </c>
      <c r="AZ11" s="46">
        <f>VLOOKUP(AZ$2,Amphibole!$GU$7:$GY$480,4,FALSE)/100</f>
        <v>3.4671761178603218</v>
      </c>
      <c r="BA11" s="46">
        <f>VLOOKUP(BA$2,Amphibole!$GU$7:$GY$480,4,FALSE)/100</f>
        <v>3.0001315454775757</v>
      </c>
      <c r="BB11" s="46">
        <f>VLOOKUP(BB$2,Amphibole!$GU$7:$GY$480,4,FALSE)/100</f>
        <v>1.1299344179040196</v>
      </c>
      <c r="BC11" s="46">
        <f>VLOOKUP(BC$2,Amphibole!$GU$7:$GY$480,4,FALSE)/100</f>
        <v>1.2412278056347212</v>
      </c>
      <c r="BD11" s="46">
        <f>VLOOKUP(BD$2,Amphibole!$GU$7:$GY$480,4,FALSE)/100</f>
        <v>1.1451674632036066</v>
      </c>
      <c r="BE11" s="46">
        <f>VLOOKUP(BE$2,Amphibole!$GU$7:$GY$480,4,FALSE)/100</f>
        <v>1.3815456456278332</v>
      </c>
      <c r="BF11" s="46">
        <f>VLOOKUP(BF$2,Amphibole!$GU$7:$GY$480,4,FALSE)/100</f>
        <v>1.4553810903015931</v>
      </c>
      <c r="BG11" s="46">
        <f>VLOOKUP(BG$2,Amphibole!$GU$7:$GY$480,4,FALSE)/100</f>
        <v>1.0375509441314534</v>
      </c>
      <c r="BH11" s="46">
        <f>VLOOKUP(BH$2,Amphibole!$GU$7:$GY$480,4,FALSE)/100</f>
        <v>0.92831973966870363</v>
      </c>
      <c r="BI11" s="46">
        <f>VLOOKUP(BI$2,Amphibole!$GU$7:$GY$480,4,FALSE)/100</f>
        <v>1.0687701310096103</v>
      </c>
      <c r="BJ11" s="46">
        <f>VLOOKUP(BJ$2,Amphibole!$GU$7:$GY$480,4,FALSE)/100</f>
        <v>1.2597494389872743</v>
      </c>
    </row>
    <row r="12" spans="1:62">
      <c r="A12" s="1"/>
      <c r="B12" s="6" t="s">
        <v>6</v>
      </c>
      <c r="C12" s="6" t="s">
        <v>73</v>
      </c>
      <c r="D12" s="6" t="s">
        <v>74</v>
      </c>
      <c r="E12" s="29" t="s">
        <v>84</v>
      </c>
      <c r="F12" s="30" t="str">
        <f>VLOOKUP(F$2,Amphibole!$CN$7:$CW$63,10,FALSE)</f>
        <v>18aHP01.10</v>
      </c>
      <c r="G12" s="30" t="str">
        <f>VLOOKUP(G$2,Amphibole!$CN$7:$CW$63,10,FALSE)</f>
        <v>18aHP01.12</v>
      </c>
      <c r="H12" s="30" t="str">
        <f>VLOOKUP(H$2,Amphibole!$CN$7:$CW$63,10,FALSE)</f>
        <v>18aHP01.2</v>
      </c>
      <c r="I12" s="30" t="str">
        <f>VLOOKUP(I$2,Amphibole!$CN$7:$CW$63,10,FALSE)</f>
        <v>18aHP01.4</v>
      </c>
      <c r="J12" s="30" t="str">
        <f>VLOOKUP(J$2,Amphibole!$CN$7:$CW$63,10,FALSE)</f>
        <v>18aHP01.6</v>
      </c>
      <c r="K12" s="30" t="str">
        <f>VLOOKUP(K$2,Amphibole!$CN$7:$CW$63,10,FALSE)</f>
        <v>18aHP01.8</v>
      </c>
      <c r="L12" s="30" t="str">
        <f>VLOOKUP(L$2,Amphibole!$CN$7:$CW$63,10,FALSE)</f>
        <v>18aHP02.1</v>
      </c>
      <c r="M12" s="30" t="str">
        <f>VLOOKUP(M$2,Amphibole!$CN$7:$CW$63,10,FALSE)</f>
        <v>18aHP02.3</v>
      </c>
      <c r="N12" s="30" t="str">
        <f>VLOOKUP(N$2,Amphibole!$CN$7:$CW$63,10,FALSE)</f>
        <v>18aHP02.5</v>
      </c>
      <c r="O12" s="30" t="str">
        <f>VLOOKUP(O$2,Amphibole!$CN$7:$CW$63,10,FALSE)</f>
        <v>18aHP02.6</v>
      </c>
      <c r="P12" s="30" t="str">
        <f>VLOOKUP(P$2,Amphibole!$CN$7:$CW$63,10,FALSE)</f>
        <v>18aHP03.2</v>
      </c>
      <c r="Q12" s="30" t="str">
        <f>VLOOKUP(Q$2,Amphibole!$CN$7:$CW$63,10,FALSE)</f>
        <v>18aHP03.4</v>
      </c>
      <c r="R12" s="30" t="str">
        <f>VLOOKUP(R$2,Amphibole!$CN$7:$CW$63,10,FALSE)</f>
        <v>18eHP02.1</v>
      </c>
      <c r="S12" s="30" t="str">
        <f>VLOOKUP(S$2,Amphibole!$CN$7:$CW$63,10,FALSE)</f>
        <v>18eHP02.4</v>
      </c>
      <c r="T12" s="30" t="str">
        <f>VLOOKUP(T$2,Amphibole!$CN$7:$CW$63,10,FALSE)</f>
        <v>18eHP02.6</v>
      </c>
      <c r="U12" s="30" t="str">
        <f>VLOOKUP(U$2,Amphibole!$CN$7:$CW$63,10,FALSE)</f>
        <v>18eHP03.1</v>
      </c>
      <c r="V12" s="30" t="str">
        <f>VLOOKUP(V$2,Amphibole!$CN$7:$CW$63,10,FALSE)</f>
        <v>18eHP03.3</v>
      </c>
      <c r="W12" s="30" t="str">
        <f>VLOOKUP(W$2,Amphibole!$CN$7:$CW$63,10,FALSE)</f>
        <v>18eHP03.5</v>
      </c>
      <c r="X12" s="30" t="str">
        <f>VLOOKUP(X$2,Amphibole!$CN$7:$CW$63,10,FALSE)</f>
        <v>18eHP03.7</v>
      </c>
      <c r="Y12" s="30" t="str">
        <f>VLOOKUP(Y$2,Amphibole!$CN$7:$CW$63,10,FALSE)</f>
        <v>18eHP04.1</v>
      </c>
      <c r="Z12" s="30" t="str">
        <f>VLOOKUP(Z$2,Amphibole!$CN$7:$CW$63,10,FALSE)</f>
        <v>18eHP04.5</v>
      </c>
      <c r="AA12" s="30" t="str">
        <f>VLOOKUP(AA$2,Amphibole!$CN$7:$CW$63,10,FALSE)</f>
        <v>18eHP04.6</v>
      </c>
      <c r="AB12" s="30" t="str">
        <f>VLOOKUP(AB$2,Amphibole!$CN$7:$CW$63,10,FALSE)</f>
        <v>18eHP04.7</v>
      </c>
      <c r="AC12" s="30" t="str">
        <f>VLOOKUP(AC$2,Amphibole!$CN$7:$CW$63,10,FALSE)</f>
        <v>18eHP04.9</v>
      </c>
      <c r="AD12" s="30" t="str">
        <f>VLOOKUP(AD$2,Amphibole!$CN$7:$CW$63,10,FALSE)</f>
        <v>18eHP05.1</v>
      </c>
      <c r="AE12" s="30" t="str">
        <f>VLOOKUP(AE$2,Amphibole!$CN$7:$CW$63,10,FALSE)</f>
        <v>18eHP06.1</v>
      </c>
      <c r="AF12" s="30" t="str">
        <f>VLOOKUP(AF$2,Amphibole!$CN$7:$CW$63,10,FALSE)</f>
        <v>18eHP06.3</v>
      </c>
      <c r="AG12" s="30" t="str">
        <f>VLOOKUP(AG$2,Amphibole!$CN$7:$CW$63,10,FALSE)</f>
        <v>26dHP01.1</v>
      </c>
      <c r="AH12" s="30" t="str">
        <f>VLOOKUP(AH$2,Amphibole!$CN$7:$CW$63,10,FALSE)</f>
        <v>26dHP01.2</v>
      </c>
      <c r="AI12" s="30" t="str">
        <f>VLOOKUP(AI$2,Amphibole!$CN$7:$CW$63,10,FALSE)</f>
        <v>26dHP01.5</v>
      </c>
      <c r="AJ12" s="30" t="str">
        <f>VLOOKUP(AJ$2,Amphibole!$CN$7:$CW$63,10,FALSE)</f>
        <v>26dHP02.1</v>
      </c>
      <c r="AK12" s="30" t="str">
        <f>VLOOKUP(AK$2,Amphibole!$CN$7:$CW$63,10,FALSE)</f>
        <v>26eHP01.10</v>
      </c>
      <c r="AL12" s="30" t="str">
        <f>VLOOKUP(AL$2,Amphibole!$CN$7:$CW$63,10,FALSE)</f>
        <v>26eHP01.11</v>
      </c>
      <c r="AM12" s="30" t="str">
        <f>VLOOKUP(AM$2,Amphibole!$CN$7:$CW$63,10,FALSE)</f>
        <v>26eHP01.12</v>
      </c>
      <c r="AN12" s="30" t="str">
        <f>VLOOKUP(AN$2,Amphibole!$CN$7:$CW$63,10,FALSE)</f>
        <v>26eHP01.7</v>
      </c>
      <c r="AO12" s="30" t="str">
        <f>VLOOKUP(AO$2,Amphibole!$CN$7:$CW$63,10,FALSE)</f>
        <v>26eHP01.8</v>
      </c>
      <c r="AP12" s="30" t="str">
        <f>VLOOKUP(AP$2,Amphibole!$CN$7:$CW$63,10,FALSE)</f>
        <v>26eHP01.9</v>
      </c>
      <c r="AQ12" s="30" t="str">
        <f>VLOOKUP(AQ$2,Amphibole!$CN$7:$CW$63,10,FALSE)</f>
        <v>26hHP01.2</v>
      </c>
      <c r="AR12" s="30" t="str">
        <f>VLOOKUP(AR$2,Amphibole!$CN$7:$CW$63,10,FALSE)</f>
        <v>26hHP02.5</v>
      </c>
      <c r="AS12" s="30" t="str">
        <f>VLOOKUP(AS$2,Amphibole!$CN$7:$CW$63,10,FALSE)</f>
        <v>26hHP02.6</v>
      </c>
      <c r="AT12" s="30" t="str">
        <f>VLOOKUP(AT$2,Amphibole!$CN$7:$CW$63,10,FALSE)</f>
        <v>26hHP02.7</v>
      </c>
      <c r="AU12" s="30" t="str">
        <f>VLOOKUP(AU$2,Amphibole!$CN$7:$CW$63,10,FALSE)</f>
        <v>26hHP02.8</v>
      </c>
      <c r="AV12" s="30" t="str">
        <f>VLOOKUP(AV$2,Amphibole!$CN$7:$CW$63,10,FALSE)</f>
        <v>26hHP04.10</v>
      </c>
      <c r="AW12" s="30" t="str">
        <f>VLOOKUP(AW$2,Amphibole!$CN$7:$CW$63,10,FALSE)</f>
        <v>26hHP04.11</v>
      </c>
      <c r="AX12" s="30" t="str">
        <f>VLOOKUP(AX$2,Amphibole!$CN$7:$CW$63,10,FALSE)</f>
        <v>26hHP04.12</v>
      </c>
      <c r="AY12" s="30" t="str">
        <f>VLOOKUP(AY$2,Amphibole!$CN$7:$CW$63,10,FALSE)</f>
        <v>26hHP04.7</v>
      </c>
      <c r="AZ12" s="30" t="str">
        <f>VLOOKUP(AZ$2,Amphibole!$CN$7:$CW$63,10,FALSE)</f>
        <v>26hHP04.8</v>
      </c>
      <c r="BA12" s="30" t="str">
        <f>VLOOKUP(BA$2,Amphibole!$CN$7:$CW$63,10,FALSE)</f>
        <v>26hHP04.9</v>
      </c>
      <c r="BB12" s="30" t="str">
        <f>VLOOKUP(BB$2,Amphibole!$CN$7:$CW$63,10,FALSE)</f>
        <v>26hHP06.10</v>
      </c>
      <c r="BC12" s="30" t="str">
        <f>VLOOKUP(BC$2,Amphibole!$CN$7:$CW$63,10,FALSE)</f>
        <v>26hHP06.6</v>
      </c>
      <c r="BD12" s="30" t="str">
        <f>VLOOKUP(BD$2,Amphibole!$CN$7:$CW$63,10,FALSE)</f>
        <v>26hHP06.7</v>
      </c>
      <c r="BE12" s="30" t="str">
        <f>VLOOKUP(BE$2,Amphibole!$CN$7:$CW$63,10,FALSE)</f>
        <v>26hHP06.8</v>
      </c>
      <c r="BF12" s="30" t="str">
        <f>VLOOKUP(BF$2,Amphibole!$CN$7:$CW$63,10,FALSE)</f>
        <v>26hHP06.9</v>
      </c>
      <c r="BG12" s="30" t="str">
        <f>VLOOKUP(BG$2,Amphibole!$CN$7:$CW$63,10,FALSE)</f>
        <v>26hHP08.6</v>
      </c>
      <c r="BH12" s="30" t="str">
        <f>VLOOKUP(BH$2,Amphibole!$CN$7:$CW$63,10,FALSE)</f>
        <v>26hHP08.7</v>
      </c>
      <c r="BI12" s="30" t="str">
        <f>VLOOKUP(BI$2,Amphibole!$CN$7:$CW$63,10,FALSE)</f>
        <v>26hHP08.8</v>
      </c>
      <c r="BJ12" s="30" t="str">
        <f>VLOOKUP(BJ$2,Amphibole!$CN$7:$CW$63,10,FALSE)</f>
        <v>26hHP08.9</v>
      </c>
    </row>
    <row r="13" spans="1:62" ht="14" customHeight="1">
      <c r="A13" s="54" t="s">
        <v>72</v>
      </c>
      <c r="B13" s="37">
        <v>16126.999999999998</v>
      </c>
      <c r="C13" s="34">
        <f>VLOOKUP($B13,Plagioclase!$AV$7:$BA$478,3,FALSE)</f>
        <v>0.71744511531709632</v>
      </c>
      <c r="D13" s="34">
        <f>VLOOKUP($B13,Plagioclase!$AV$7:$BA$478,4,FALSE)</f>
        <v>0</v>
      </c>
      <c r="E13" s="29" t="str">
        <f>VLOOKUP($B13,Plagioclase!$AV$7:$BA$478,6,FALSE)</f>
        <v>18aHP03.1</v>
      </c>
      <c r="F13" s="31">
        <f>(-76.95+0.79*F$11+$D13+39.4*F$8+22.4*F$6+(41.5-2.89*F$11)*F$5)/(-0.065-$C$6*LN((27*F$7*F$3*$C13)/(256*F$8*F$4)))-273.15</f>
        <v>753.53082927830349</v>
      </c>
      <c r="G13" s="31">
        <f t="shared" ref="G13:V20" si="0">(-76.95+0.79*G$11+$D13+39.4*G$8+22.4*G$6+(41.5-2.89*G$11)*G$5)/(-0.065-$C$6*LN((27*G$7*G$3*$C13)/(256*G$8*G$4)))-273.15</f>
        <v>751.47915169745613</v>
      </c>
      <c r="H13" s="31">
        <f t="shared" si="0"/>
        <v>753.60651886182666</v>
      </c>
      <c r="I13" s="31">
        <f t="shared" si="0"/>
        <v>758.15455656507686</v>
      </c>
      <c r="J13" s="31">
        <f t="shared" si="0"/>
        <v>752.27769601693183</v>
      </c>
      <c r="K13" s="31">
        <f t="shared" si="0"/>
        <v>757.31176132036182</v>
      </c>
      <c r="L13" s="31">
        <f t="shared" si="0"/>
        <v>752.85337118142559</v>
      </c>
      <c r="M13" s="31">
        <f t="shared" si="0"/>
        <v>763.84173676251123</v>
      </c>
      <c r="N13" s="31">
        <f t="shared" si="0"/>
        <v>757.43509093757336</v>
      </c>
      <c r="O13" s="31">
        <f t="shared" si="0"/>
        <v>745.76526538300573</v>
      </c>
      <c r="P13" s="31">
        <f t="shared" si="0"/>
        <v>763.70747751283614</v>
      </c>
      <c r="Q13" s="31">
        <f t="shared" si="0"/>
        <v>810.92592994536597</v>
      </c>
      <c r="R13" s="31">
        <f t="shared" si="0"/>
        <v>757.27059054740778</v>
      </c>
      <c r="S13" s="31">
        <f t="shared" si="0"/>
        <v>739.5602993193429</v>
      </c>
      <c r="T13" s="31">
        <f t="shared" si="0"/>
        <v>807.16661436909828</v>
      </c>
      <c r="U13" s="31">
        <f t="shared" si="0"/>
        <v>729.54323703660191</v>
      </c>
      <c r="V13" s="31">
        <f t="shared" si="0"/>
        <v>749.78705354421697</v>
      </c>
      <c r="W13" s="31">
        <f t="shared" ref="W13:AL20" si="1">(-76.95+0.79*W$11+$D13+39.4*W$8+22.4*W$6+(41.5-2.89*W$11)*W$5)/(-0.065-$C$6*LN((27*W$7*W$3*$C13)/(256*W$8*W$4)))-273.15</f>
        <v>751.02307160208886</v>
      </c>
      <c r="X13" s="31">
        <f t="shared" si="1"/>
        <v>760.32651986204962</v>
      </c>
      <c r="Y13" s="31">
        <f t="shared" si="1"/>
        <v>765.35428587802119</v>
      </c>
      <c r="Z13" s="31">
        <f t="shared" si="1"/>
        <v>719.42378094374772</v>
      </c>
      <c r="AA13" s="31">
        <f t="shared" si="1"/>
        <v>747.04140489161045</v>
      </c>
      <c r="AB13" s="31">
        <f t="shared" si="1"/>
        <v>748.43245254068813</v>
      </c>
      <c r="AC13" s="31">
        <f t="shared" si="1"/>
        <v>755.06814456819222</v>
      </c>
      <c r="AD13" s="31">
        <f t="shared" si="1"/>
        <v>765.86093969605656</v>
      </c>
      <c r="AE13" s="31">
        <f t="shared" si="1"/>
        <v>742.16467450561458</v>
      </c>
      <c r="AF13" s="31">
        <f t="shared" si="1"/>
        <v>752.12012350448288</v>
      </c>
      <c r="AG13" s="31">
        <f t="shared" si="1"/>
        <v>863.47197826230047</v>
      </c>
      <c r="AH13" s="31">
        <f t="shared" si="1"/>
        <v>859.49587648079353</v>
      </c>
      <c r="AI13" s="31">
        <f t="shared" si="1"/>
        <v>860.69638455956203</v>
      </c>
      <c r="AJ13" s="31">
        <f t="shared" si="1"/>
        <v>735.02671510045946</v>
      </c>
      <c r="AK13" s="31">
        <f t="shared" si="1"/>
        <v>877.07323718034934</v>
      </c>
      <c r="AL13" s="31">
        <f t="shared" si="1"/>
        <v>877.57635317976235</v>
      </c>
      <c r="AM13" s="31">
        <f t="shared" ref="AM13:AX20" si="2">(-76.95+0.79*AM$11+$D13+39.4*AM$8+22.4*AM$6+(41.5-2.89*AM$11)*AM$5)/(-0.065-$C$6*LN((27*AM$7*AM$3*$C13)/(256*AM$8*AM$4)))-273.15</f>
        <v>872.09711990941366</v>
      </c>
      <c r="AN13" s="31">
        <f t="shared" si="2"/>
        <v>869.6209810096301</v>
      </c>
      <c r="AO13" s="31">
        <f t="shared" si="2"/>
        <v>847.02948678706696</v>
      </c>
      <c r="AP13" s="31">
        <f t="shared" si="2"/>
        <v>897.02903979848463</v>
      </c>
      <c r="AQ13" s="31">
        <f t="shared" si="2"/>
        <v>758.85943358741713</v>
      </c>
      <c r="AR13" s="31">
        <f t="shared" si="2"/>
        <v>755.94826481653638</v>
      </c>
      <c r="AS13" s="31">
        <f t="shared" si="2"/>
        <v>791.04388612268679</v>
      </c>
      <c r="AT13" s="31">
        <f t="shared" si="2"/>
        <v>785.93481896314631</v>
      </c>
      <c r="AU13" s="31">
        <f t="shared" si="2"/>
        <v>897.86148112139324</v>
      </c>
      <c r="AV13" s="31">
        <f t="shared" si="2"/>
        <v>828.51418448527363</v>
      </c>
      <c r="AW13" s="31">
        <f t="shared" si="2"/>
        <v>819.21433618934941</v>
      </c>
      <c r="AX13" s="31">
        <f t="shared" si="2"/>
        <v>828.50651467257524</v>
      </c>
      <c r="AY13" s="31">
        <f t="shared" ref="AY13:BB20" si="3">(-76.95+0.79*AY$11+$D13+39.4*AY$8+22.4*AY$6+(41.5-2.89*AY$11)*AY$5)/(-0.065-$C$6*LN((27*AY$7*AY$3*$C13)/(256*AY$8*AY$4)))-273.15</f>
        <v>859.55358352985797</v>
      </c>
      <c r="AZ13" s="31">
        <f t="shared" si="3"/>
        <v>843.00810114645026</v>
      </c>
      <c r="BA13" s="31">
        <f t="shared" si="3"/>
        <v>827.51270550462834</v>
      </c>
      <c r="BB13" s="31">
        <f t="shared" si="3"/>
        <v>762.38510113437212</v>
      </c>
      <c r="BC13" s="31">
        <f t="shared" ref="BC13:BJ20" si="4">(-76.95+0.79*BC$11+$D13+39.4*BC$8+22.4*BC$6+(41.5-2.89*BC$11)*BC$5)/(-0.065-$C$6*LN((27*BC$7*BC$3*$C13)/(256*BC$8*BC$4)))-273.15</f>
        <v>776.01693909705398</v>
      </c>
      <c r="BD13" s="31">
        <f t="shared" si="4"/>
        <v>751.87927119193102</v>
      </c>
      <c r="BE13" s="31">
        <f t="shared" si="4"/>
        <v>788.19179144674206</v>
      </c>
      <c r="BF13" s="31">
        <f t="shared" si="4"/>
        <v>787.41458150335382</v>
      </c>
      <c r="BG13" s="31">
        <f t="shared" si="4"/>
        <v>768.42327119875119</v>
      </c>
      <c r="BH13" s="31">
        <f t="shared" si="4"/>
        <v>750.22873593563986</v>
      </c>
      <c r="BI13" s="31">
        <f t="shared" si="4"/>
        <v>767.71988115288343</v>
      </c>
      <c r="BJ13" s="31">
        <f t="shared" si="4"/>
        <v>764.65920360552593</v>
      </c>
    </row>
    <row r="14" spans="1:62">
      <c r="A14" s="54"/>
      <c r="B14" s="37">
        <v>16129.000000000002</v>
      </c>
      <c r="C14" s="34">
        <f>VLOOKUP($B14,Plagioclase!$AV$7:$BA$478,3,FALSE)</f>
        <v>0.56679821598949554</v>
      </c>
      <c r="D14" s="34">
        <f>VLOOKUP($B14,Plagioclase!$AV$7:$BA$478,4,FALSE)</f>
        <v>0</v>
      </c>
      <c r="E14" s="29" t="str">
        <f>VLOOKUP($B14,Plagioclase!$AV$7:$BA$478,6,FALSE)</f>
        <v>18aHP03.3</v>
      </c>
      <c r="F14" s="31">
        <f t="shared" ref="F14:U21" si="5">(-76.95+0.79*F$11+$D14+39.4*F$8+22.4*F$6+(41.5-2.89*F$11)*F$5)/(-0.065-$C$6*LN((27*F$7*F$3*$C14)/(256*F$8*F$4)))-273.15</f>
        <v>788.74795075693453</v>
      </c>
      <c r="G14" s="31">
        <f t="shared" si="0"/>
        <v>786.8830799717565</v>
      </c>
      <c r="H14" s="31">
        <f t="shared" si="0"/>
        <v>788.14709983618707</v>
      </c>
      <c r="I14" s="31">
        <f t="shared" si="0"/>
        <v>793.26189740236339</v>
      </c>
      <c r="J14" s="31">
        <f t="shared" si="0"/>
        <v>786.44359911256004</v>
      </c>
      <c r="K14" s="31">
        <f t="shared" si="0"/>
        <v>793.3443443434968</v>
      </c>
      <c r="L14" s="31">
        <f t="shared" si="0"/>
        <v>787.68437238173385</v>
      </c>
      <c r="M14" s="31">
        <f t="shared" si="0"/>
        <v>800.87637452066053</v>
      </c>
      <c r="N14" s="31">
        <f t="shared" si="0"/>
        <v>792.94522222356488</v>
      </c>
      <c r="O14" s="31">
        <f t="shared" si="0"/>
        <v>780.18799661308901</v>
      </c>
      <c r="P14" s="31">
        <f t="shared" si="0"/>
        <v>799.35686125040695</v>
      </c>
      <c r="Q14" s="31">
        <f t="shared" si="0"/>
        <v>854.05591762331426</v>
      </c>
      <c r="R14" s="31">
        <f t="shared" si="0"/>
        <v>792.7852742406784</v>
      </c>
      <c r="S14" s="31">
        <f t="shared" si="0"/>
        <v>774.15783496450706</v>
      </c>
      <c r="T14" s="31">
        <f t="shared" si="0"/>
        <v>850.92986104512431</v>
      </c>
      <c r="U14" s="31">
        <f t="shared" si="0"/>
        <v>761.8948172459335</v>
      </c>
      <c r="V14" s="31">
        <f t="shared" si="0"/>
        <v>784.49398141890185</v>
      </c>
      <c r="W14" s="31">
        <f t="shared" si="1"/>
        <v>786.40714592428242</v>
      </c>
      <c r="X14" s="31">
        <f t="shared" si="1"/>
        <v>796.0071225125713</v>
      </c>
      <c r="Y14" s="31">
        <f t="shared" si="1"/>
        <v>801.33379579724476</v>
      </c>
      <c r="Z14" s="31">
        <f t="shared" si="1"/>
        <v>751.05977510441392</v>
      </c>
      <c r="AA14" s="31">
        <f t="shared" si="1"/>
        <v>780.58969871789679</v>
      </c>
      <c r="AB14" s="31">
        <f t="shared" si="1"/>
        <v>783.48743778115283</v>
      </c>
      <c r="AC14" s="31">
        <f t="shared" si="1"/>
        <v>791.09202655521347</v>
      </c>
      <c r="AD14" s="31">
        <f t="shared" si="1"/>
        <v>805.0866363040351</v>
      </c>
      <c r="AE14" s="31">
        <f t="shared" si="1"/>
        <v>776.32251578982266</v>
      </c>
      <c r="AF14" s="31">
        <f t="shared" si="1"/>
        <v>787.78109383149911</v>
      </c>
      <c r="AG14" s="31">
        <f t="shared" si="1"/>
        <v>919.09733087747975</v>
      </c>
      <c r="AH14" s="31">
        <f t="shared" si="1"/>
        <v>915.35747488589311</v>
      </c>
      <c r="AI14" s="31">
        <f t="shared" si="1"/>
        <v>917.89562816837145</v>
      </c>
      <c r="AJ14" s="31">
        <f t="shared" si="1"/>
        <v>767.3563293227661</v>
      </c>
      <c r="AK14" s="31">
        <f t="shared" si="1"/>
        <v>933.83788987175524</v>
      </c>
      <c r="AL14" s="31">
        <f t="shared" si="1"/>
        <v>935.79907804757329</v>
      </c>
      <c r="AM14" s="31">
        <f t="shared" si="2"/>
        <v>926.9018543055389</v>
      </c>
      <c r="AN14" s="31">
        <f t="shared" si="2"/>
        <v>923.51728438689622</v>
      </c>
      <c r="AO14" s="31">
        <f t="shared" si="2"/>
        <v>899.42893295035276</v>
      </c>
      <c r="AP14" s="31">
        <f t="shared" si="2"/>
        <v>956.42777703818149</v>
      </c>
      <c r="AQ14" s="31">
        <f t="shared" si="2"/>
        <v>795.4245257597114</v>
      </c>
      <c r="AR14" s="31">
        <f t="shared" si="2"/>
        <v>790.15748204976319</v>
      </c>
      <c r="AS14" s="31">
        <f t="shared" si="2"/>
        <v>831.04076189005116</v>
      </c>
      <c r="AT14" s="31">
        <f t="shared" si="2"/>
        <v>825.53448828066928</v>
      </c>
      <c r="AU14" s="31">
        <f t="shared" si="2"/>
        <v>960.5371442450911</v>
      </c>
      <c r="AV14" s="31">
        <f t="shared" si="2"/>
        <v>877.1258228234193</v>
      </c>
      <c r="AW14" s="31">
        <f t="shared" si="2"/>
        <v>867.95046879111044</v>
      </c>
      <c r="AX14" s="31">
        <f t="shared" si="2"/>
        <v>878.26195911273851</v>
      </c>
      <c r="AY14" s="31">
        <f t="shared" si="3"/>
        <v>913.2709894777712</v>
      </c>
      <c r="AZ14" s="31">
        <f t="shared" si="3"/>
        <v>895.50240034534079</v>
      </c>
      <c r="BA14" s="31">
        <f t="shared" si="3"/>
        <v>877.23919669655095</v>
      </c>
      <c r="BB14" s="31">
        <f t="shared" si="3"/>
        <v>799.09711395301167</v>
      </c>
      <c r="BC14" s="31">
        <f t="shared" si="4"/>
        <v>814.88079097997604</v>
      </c>
      <c r="BD14" s="31">
        <f t="shared" si="4"/>
        <v>787.24952647168641</v>
      </c>
      <c r="BE14" s="31">
        <f t="shared" si="4"/>
        <v>827.97636612134113</v>
      </c>
      <c r="BF14" s="31">
        <f t="shared" si="4"/>
        <v>827.78897072185703</v>
      </c>
      <c r="BG14" s="31">
        <f t="shared" si="4"/>
        <v>804.58073952148686</v>
      </c>
      <c r="BH14" s="31">
        <f t="shared" si="4"/>
        <v>784.10855798211003</v>
      </c>
      <c r="BI14" s="31">
        <f t="shared" si="4"/>
        <v>804.76079168954254</v>
      </c>
      <c r="BJ14" s="31">
        <f t="shared" si="4"/>
        <v>802.4884084241379</v>
      </c>
    </row>
    <row r="15" spans="1:62">
      <c r="A15" s="54"/>
      <c r="B15" s="37">
        <v>16132.000000000002</v>
      </c>
      <c r="C15" s="34">
        <f>VLOOKUP($B15,Plagioclase!$AV$7:$BA$478,3,FALSE)</f>
        <v>0.70059932039967565</v>
      </c>
      <c r="D15" s="34">
        <f>VLOOKUP($B15,Plagioclase!$AV$7:$BA$478,4,FALSE)</f>
        <v>0</v>
      </c>
      <c r="E15" s="29" t="str">
        <f>VLOOKUP($B15,Plagioclase!$AV$7:$BA$478,6,FALSE)</f>
        <v>18eHP02.2</v>
      </c>
      <c r="F15" s="31">
        <f t="shared" si="5"/>
        <v>756.97485339339403</v>
      </c>
      <c r="G15" s="31">
        <f t="shared" si="0"/>
        <v>754.94068651669556</v>
      </c>
      <c r="H15" s="31">
        <f t="shared" si="0"/>
        <v>756.98633138451521</v>
      </c>
      <c r="I15" s="31">
        <f t="shared" si="0"/>
        <v>761.58862432465537</v>
      </c>
      <c r="J15" s="31">
        <f t="shared" si="0"/>
        <v>755.6217853405027</v>
      </c>
      <c r="K15" s="31">
        <f t="shared" si="0"/>
        <v>760.83348833297566</v>
      </c>
      <c r="L15" s="31">
        <f t="shared" si="0"/>
        <v>756.26068624493894</v>
      </c>
      <c r="M15" s="31">
        <f t="shared" si="0"/>
        <v>767.459049008325</v>
      </c>
      <c r="N15" s="31">
        <f t="shared" si="0"/>
        <v>760.90730212777441</v>
      </c>
      <c r="O15" s="31">
        <f t="shared" si="0"/>
        <v>749.13312525259937</v>
      </c>
      <c r="P15" s="31">
        <f t="shared" si="0"/>
        <v>767.19353033876143</v>
      </c>
      <c r="Q15" s="31">
        <f t="shared" si="0"/>
        <v>815.12370784388929</v>
      </c>
      <c r="R15" s="31">
        <f t="shared" si="0"/>
        <v>760.74321683488949</v>
      </c>
      <c r="S15" s="31">
        <f t="shared" si="0"/>
        <v>742.94414076689134</v>
      </c>
      <c r="T15" s="31">
        <f t="shared" si="0"/>
        <v>811.42334864550446</v>
      </c>
      <c r="U15" s="31">
        <f t="shared" si="0"/>
        <v>732.71266055215165</v>
      </c>
      <c r="V15" s="31">
        <f t="shared" si="0"/>
        <v>753.18228908919116</v>
      </c>
      <c r="W15" s="31">
        <f t="shared" si="1"/>
        <v>754.48267731199428</v>
      </c>
      <c r="X15" s="31">
        <f t="shared" si="1"/>
        <v>763.81519131542007</v>
      </c>
      <c r="Y15" s="31">
        <f t="shared" si="1"/>
        <v>768.87181279179447</v>
      </c>
      <c r="Z15" s="31">
        <f t="shared" si="1"/>
        <v>722.52416184632841</v>
      </c>
      <c r="AA15" s="31">
        <f t="shared" si="1"/>
        <v>750.32628957162433</v>
      </c>
      <c r="AB15" s="31">
        <f t="shared" si="1"/>
        <v>751.86058338551163</v>
      </c>
      <c r="AC15" s="31">
        <f t="shared" si="1"/>
        <v>758.58881295319554</v>
      </c>
      <c r="AD15" s="31">
        <f t="shared" si="1"/>
        <v>769.68546570815067</v>
      </c>
      <c r="AE15" s="31">
        <f t="shared" si="1"/>
        <v>745.50702953171105</v>
      </c>
      <c r="AF15" s="31">
        <f t="shared" si="1"/>
        <v>755.60609349772642</v>
      </c>
      <c r="AG15" s="31">
        <f t="shared" si="1"/>
        <v>868.84322609827689</v>
      </c>
      <c r="AH15" s="31">
        <f t="shared" si="1"/>
        <v>864.88816988715814</v>
      </c>
      <c r="AI15" s="31">
        <f t="shared" si="1"/>
        <v>866.21244520908624</v>
      </c>
      <c r="AJ15" s="31">
        <f t="shared" si="1"/>
        <v>738.19453273973261</v>
      </c>
      <c r="AK15" s="31">
        <f t="shared" si="1"/>
        <v>882.55255372779413</v>
      </c>
      <c r="AL15" s="31">
        <f t="shared" si="1"/>
        <v>883.19039263634807</v>
      </c>
      <c r="AM15" s="31">
        <f t="shared" si="2"/>
        <v>877.39407843197557</v>
      </c>
      <c r="AN15" s="31">
        <f t="shared" si="2"/>
        <v>874.83324442603919</v>
      </c>
      <c r="AO15" s="31">
        <f t="shared" si="2"/>
        <v>852.09867440284472</v>
      </c>
      <c r="AP15" s="31">
        <f t="shared" si="2"/>
        <v>902.75566732221307</v>
      </c>
      <c r="AQ15" s="31">
        <f t="shared" si="2"/>
        <v>762.43176296675949</v>
      </c>
      <c r="AR15" s="31">
        <f t="shared" si="2"/>
        <v>759.29681801412869</v>
      </c>
      <c r="AS15" s="31">
        <f t="shared" si="2"/>
        <v>794.94417479725428</v>
      </c>
      <c r="AT15" s="31">
        <f t="shared" si="2"/>
        <v>789.79702495010281</v>
      </c>
      <c r="AU15" s="31">
        <f t="shared" si="2"/>
        <v>903.88971733771848</v>
      </c>
      <c r="AV15" s="31">
        <f t="shared" si="2"/>
        <v>833.2277216350443</v>
      </c>
      <c r="AW15" s="31">
        <f t="shared" si="2"/>
        <v>823.93794439013584</v>
      </c>
      <c r="AX15" s="31">
        <f t="shared" si="2"/>
        <v>833.32662928486741</v>
      </c>
      <c r="AY15" s="31">
        <f t="shared" si="3"/>
        <v>864.74737551877467</v>
      </c>
      <c r="AZ15" s="31">
        <f t="shared" si="3"/>
        <v>848.08535427394384</v>
      </c>
      <c r="BA15" s="31">
        <f t="shared" si="3"/>
        <v>832.32995498798107</v>
      </c>
      <c r="BB15" s="31">
        <f t="shared" si="3"/>
        <v>765.97171792949359</v>
      </c>
      <c r="BC15" s="31">
        <f t="shared" si="4"/>
        <v>779.80852734131088</v>
      </c>
      <c r="BD15" s="31">
        <f t="shared" si="4"/>
        <v>755.33765347270457</v>
      </c>
      <c r="BE15" s="31">
        <f t="shared" si="4"/>
        <v>792.07171182417471</v>
      </c>
      <c r="BF15" s="31">
        <f t="shared" si="4"/>
        <v>791.35002464225875</v>
      </c>
      <c r="BG15" s="31">
        <f t="shared" si="4"/>
        <v>771.95798418515517</v>
      </c>
      <c r="BH15" s="31">
        <f t="shared" si="4"/>
        <v>753.54544051454548</v>
      </c>
      <c r="BI15" s="31">
        <f t="shared" si="4"/>
        <v>771.33820654840531</v>
      </c>
      <c r="BJ15" s="31">
        <f t="shared" si="4"/>
        <v>768.35175170662035</v>
      </c>
    </row>
    <row r="16" spans="1:62">
      <c r="A16" s="54"/>
      <c r="B16" s="37">
        <v>16133</v>
      </c>
      <c r="C16" s="34">
        <f>VLOOKUP($B16,Plagioclase!$AV$7:$BA$478,3,FALSE)</f>
        <v>0.51440569893045907</v>
      </c>
      <c r="D16" s="34">
        <f>VLOOKUP($B16,Plagioclase!$AV$7:$BA$478,4,FALSE)</f>
        <v>0</v>
      </c>
      <c r="E16" s="29" t="str">
        <f>VLOOKUP($B16,Plagioclase!$AV$7:$BA$478,6,FALSE)</f>
        <v>18eHP02.3</v>
      </c>
      <c r="F16" s="31">
        <f t="shared" si="5"/>
        <v>803.95203695378484</v>
      </c>
      <c r="G16" s="31">
        <f t="shared" si="0"/>
        <v>802.17312638255942</v>
      </c>
      <c r="H16" s="31">
        <f t="shared" si="0"/>
        <v>803.04545753330228</v>
      </c>
      <c r="I16" s="31">
        <f t="shared" si="0"/>
        <v>808.41312931935965</v>
      </c>
      <c r="J16" s="31">
        <f t="shared" si="0"/>
        <v>801.17378149926333</v>
      </c>
      <c r="K16" s="31">
        <f t="shared" si="0"/>
        <v>808.91481950326613</v>
      </c>
      <c r="L16" s="31">
        <f t="shared" si="0"/>
        <v>802.71440007513877</v>
      </c>
      <c r="M16" s="31">
        <f t="shared" si="0"/>
        <v>816.89638730990566</v>
      </c>
      <c r="N16" s="31">
        <f t="shared" si="0"/>
        <v>808.27908389234165</v>
      </c>
      <c r="O16" s="31">
        <f t="shared" si="0"/>
        <v>795.03846716736859</v>
      </c>
      <c r="P16" s="31">
        <f t="shared" si="0"/>
        <v>814.74927480204281</v>
      </c>
      <c r="Q16" s="31">
        <f t="shared" si="0"/>
        <v>872.81783124288552</v>
      </c>
      <c r="R16" s="31">
        <f t="shared" si="0"/>
        <v>808.12131225725045</v>
      </c>
      <c r="S16" s="31">
        <f t="shared" si="0"/>
        <v>789.09156524049456</v>
      </c>
      <c r="T16" s="31">
        <f t="shared" si="0"/>
        <v>869.98629194584998</v>
      </c>
      <c r="U16" s="31">
        <f t="shared" si="0"/>
        <v>775.82242599717313</v>
      </c>
      <c r="V16" s="31">
        <f t="shared" si="0"/>
        <v>799.4700649275859</v>
      </c>
      <c r="W16" s="31">
        <f t="shared" si="1"/>
        <v>801.68853335622418</v>
      </c>
      <c r="X16" s="31">
        <f t="shared" si="1"/>
        <v>811.41605843664718</v>
      </c>
      <c r="Y16" s="31">
        <f t="shared" si="1"/>
        <v>816.87441246669084</v>
      </c>
      <c r="Z16" s="31">
        <f t="shared" si="1"/>
        <v>764.67192116915078</v>
      </c>
      <c r="AA16" s="31">
        <f t="shared" si="1"/>
        <v>795.04490700827034</v>
      </c>
      <c r="AB16" s="31">
        <f t="shared" si="1"/>
        <v>798.62178724572607</v>
      </c>
      <c r="AC16" s="31">
        <f t="shared" si="1"/>
        <v>806.66020309632324</v>
      </c>
      <c r="AD16" s="31">
        <f t="shared" si="1"/>
        <v>822.10233575280984</v>
      </c>
      <c r="AE16" s="31">
        <f t="shared" si="1"/>
        <v>791.0558303137783</v>
      </c>
      <c r="AF16" s="31">
        <f t="shared" si="1"/>
        <v>803.18703413374271</v>
      </c>
      <c r="AG16" s="31">
        <f t="shared" si="1"/>
        <v>943.60171362221502</v>
      </c>
      <c r="AH16" s="31">
        <f t="shared" si="1"/>
        <v>939.97878689529364</v>
      </c>
      <c r="AI16" s="31">
        <f t="shared" si="1"/>
        <v>943.14556301859864</v>
      </c>
      <c r="AJ16" s="31">
        <f t="shared" si="1"/>
        <v>781.2706768620809</v>
      </c>
      <c r="AK16" s="31">
        <f t="shared" si="1"/>
        <v>958.85830767515642</v>
      </c>
      <c r="AL16" s="31">
        <f t="shared" si="1"/>
        <v>961.50608663979995</v>
      </c>
      <c r="AM16" s="31">
        <f t="shared" si="2"/>
        <v>951.0087723458829</v>
      </c>
      <c r="AN16" s="31">
        <f t="shared" si="2"/>
        <v>947.2020996286941</v>
      </c>
      <c r="AO16" s="31">
        <f t="shared" si="2"/>
        <v>922.44376424711243</v>
      </c>
      <c r="AP16" s="31">
        <f t="shared" si="2"/>
        <v>982.6599267647656</v>
      </c>
      <c r="AQ16" s="31">
        <f t="shared" si="2"/>
        <v>811.23524689893895</v>
      </c>
      <c r="AR16" s="31">
        <f t="shared" si="2"/>
        <v>804.90477101426347</v>
      </c>
      <c r="AS16" s="31">
        <f t="shared" si="2"/>
        <v>848.38694664653269</v>
      </c>
      <c r="AT16" s="31">
        <f t="shared" si="2"/>
        <v>842.70381207814364</v>
      </c>
      <c r="AU16" s="31">
        <f t="shared" si="2"/>
        <v>988.32149801648882</v>
      </c>
      <c r="AV16" s="31">
        <f t="shared" si="2"/>
        <v>898.39920959885637</v>
      </c>
      <c r="AW16" s="31">
        <f t="shared" si="2"/>
        <v>889.29271791210033</v>
      </c>
      <c r="AX16" s="31">
        <f t="shared" si="2"/>
        <v>900.06704696736654</v>
      </c>
      <c r="AY16" s="31">
        <f t="shared" si="3"/>
        <v>936.88566607318205</v>
      </c>
      <c r="AZ16" s="31">
        <f t="shared" si="3"/>
        <v>918.56693033629597</v>
      </c>
      <c r="BA16" s="31">
        <f t="shared" si="3"/>
        <v>899.0320299921101</v>
      </c>
      <c r="BB16" s="31">
        <f t="shared" si="3"/>
        <v>814.97183009020125</v>
      </c>
      <c r="BC16" s="31">
        <f t="shared" si="4"/>
        <v>831.72298529408283</v>
      </c>
      <c r="BD16" s="31">
        <f t="shared" si="4"/>
        <v>802.52405070907128</v>
      </c>
      <c r="BE16" s="31">
        <f t="shared" si="4"/>
        <v>845.22811740154577</v>
      </c>
      <c r="BF16" s="31">
        <f t="shared" si="4"/>
        <v>845.31060498981503</v>
      </c>
      <c r="BG16" s="31">
        <f t="shared" si="4"/>
        <v>820.19970821666004</v>
      </c>
      <c r="BH16" s="31">
        <f t="shared" si="4"/>
        <v>798.71109489117805</v>
      </c>
      <c r="BI16" s="31">
        <f t="shared" si="4"/>
        <v>820.78070260920742</v>
      </c>
      <c r="BJ16" s="31">
        <f t="shared" si="4"/>
        <v>818.86882310917724</v>
      </c>
    </row>
    <row r="17" spans="1:62">
      <c r="A17" s="54"/>
      <c r="B17" s="37">
        <v>16137</v>
      </c>
      <c r="C17" s="34">
        <f>VLOOKUP($B17,Plagioclase!$AV$7:$BA$478,3,FALSE)</f>
        <v>0.68932086143830085</v>
      </c>
      <c r="D17" s="34">
        <f>VLOOKUP($B17,Plagioclase!$AV$7:$BA$478,4,FALSE)</f>
        <v>0</v>
      </c>
      <c r="E17" s="29" t="str">
        <f>VLOOKUP($B17,Plagioclase!$AV$7:$BA$478,6,FALSE)</f>
        <v>18eHP02.7</v>
      </c>
      <c r="F17" s="31">
        <f t="shared" si="5"/>
        <v>759.34057786696906</v>
      </c>
      <c r="G17" s="31">
        <f t="shared" si="0"/>
        <v>757.31853438890823</v>
      </c>
      <c r="H17" s="31">
        <f t="shared" si="0"/>
        <v>759.30770340425317</v>
      </c>
      <c r="I17" s="31">
        <f t="shared" si="0"/>
        <v>763.94741177574599</v>
      </c>
      <c r="J17" s="31">
        <f t="shared" si="0"/>
        <v>757.91850337742301</v>
      </c>
      <c r="K17" s="31">
        <f t="shared" si="0"/>
        <v>763.25284411397377</v>
      </c>
      <c r="L17" s="31">
        <f t="shared" si="0"/>
        <v>758.601062940936</v>
      </c>
      <c r="M17" s="31">
        <f t="shared" si="0"/>
        <v>769.94436512860705</v>
      </c>
      <c r="N17" s="31">
        <f t="shared" si="0"/>
        <v>763.29244721795033</v>
      </c>
      <c r="O17" s="31">
        <f t="shared" si="0"/>
        <v>751.44634067524828</v>
      </c>
      <c r="P17" s="31">
        <f t="shared" si="0"/>
        <v>769.58815526978344</v>
      </c>
      <c r="Q17" s="31">
        <f t="shared" si="0"/>
        <v>818.00970173764028</v>
      </c>
      <c r="R17" s="31">
        <f t="shared" si="0"/>
        <v>763.12865083807958</v>
      </c>
      <c r="S17" s="31">
        <f t="shared" si="0"/>
        <v>745.26847394865058</v>
      </c>
      <c r="T17" s="31">
        <f t="shared" si="0"/>
        <v>814.35021012805794</v>
      </c>
      <c r="U17" s="31">
        <f t="shared" si="0"/>
        <v>734.88905135350183</v>
      </c>
      <c r="V17" s="31">
        <f t="shared" si="0"/>
        <v>755.51436147800234</v>
      </c>
      <c r="W17" s="31">
        <f t="shared" si="1"/>
        <v>756.85919849742083</v>
      </c>
      <c r="X17" s="31">
        <f t="shared" si="1"/>
        <v>766.2116695476476</v>
      </c>
      <c r="Y17" s="31">
        <f t="shared" si="1"/>
        <v>771.28815923387367</v>
      </c>
      <c r="Z17" s="31">
        <f t="shared" si="1"/>
        <v>724.65300859081572</v>
      </c>
      <c r="AA17" s="31">
        <f t="shared" si="1"/>
        <v>752.58218927246696</v>
      </c>
      <c r="AB17" s="31">
        <f t="shared" si="1"/>
        <v>754.21539534630381</v>
      </c>
      <c r="AC17" s="31">
        <f t="shared" si="1"/>
        <v>761.00746761571224</v>
      </c>
      <c r="AD17" s="31">
        <f t="shared" si="1"/>
        <v>772.31400163166188</v>
      </c>
      <c r="AE17" s="31">
        <f t="shared" si="1"/>
        <v>747.8026752318367</v>
      </c>
      <c r="AF17" s="31">
        <f t="shared" si="1"/>
        <v>758.00081418453635</v>
      </c>
      <c r="AG17" s="31">
        <f t="shared" si="1"/>
        <v>872.54128723899714</v>
      </c>
      <c r="AH17" s="31">
        <f t="shared" si="1"/>
        <v>868.60094016994015</v>
      </c>
      <c r="AI17" s="31">
        <f t="shared" si="1"/>
        <v>870.01109786893323</v>
      </c>
      <c r="AJ17" s="31">
        <f t="shared" si="1"/>
        <v>740.36975210760772</v>
      </c>
      <c r="AK17" s="31">
        <f t="shared" si="1"/>
        <v>886.32526070360825</v>
      </c>
      <c r="AL17" s="31">
        <f t="shared" si="1"/>
        <v>887.05660825388452</v>
      </c>
      <c r="AM17" s="31">
        <f t="shared" si="2"/>
        <v>881.04037633225937</v>
      </c>
      <c r="AN17" s="31">
        <f t="shared" si="2"/>
        <v>878.42085380954074</v>
      </c>
      <c r="AO17" s="31">
        <f t="shared" si="2"/>
        <v>855.58759491214084</v>
      </c>
      <c r="AP17" s="31">
        <f t="shared" si="2"/>
        <v>906.69951902236733</v>
      </c>
      <c r="AQ17" s="31">
        <f t="shared" si="2"/>
        <v>764.88606272390223</v>
      </c>
      <c r="AR17" s="31">
        <f t="shared" si="2"/>
        <v>761.59657363226245</v>
      </c>
      <c r="AS17" s="31">
        <f t="shared" si="2"/>
        <v>797.62470948752855</v>
      </c>
      <c r="AT17" s="31">
        <f t="shared" si="2"/>
        <v>792.45130515498465</v>
      </c>
      <c r="AU17" s="31">
        <f t="shared" si="2"/>
        <v>908.0430558425827</v>
      </c>
      <c r="AV17" s="31">
        <f t="shared" si="2"/>
        <v>836.47051679784215</v>
      </c>
      <c r="AW17" s="31">
        <f t="shared" si="2"/>
        <v>827.18791750784078</v>
      </c>
      <c r="AX17" s="31">
        <f t="shared" si="2"/>
        <v>836.64328648030039</v>
      </c>
      <c r="AY17" s="31">
        <f t="shared" si="3"/>
        <v>868.32241657431007</v>
      </c>
      <c r="AZ17" s="31">
        <f t="shared" si="3"/>
        <v>851.57996415081413</v>
      </c>
      <c r="BA17" s="31">
        <f t="shared" si="3"/>
        <v>835.64464823297442</v>
      </c>
      <c r="BB17" s="31">
        <f t="shared" si="3"/>
        <v>768.43584191312482</v>
      </c>
      <c r="BC17" s="31">
        <f t="shared" si="4"/>
        <v>782.41413204968023</v>
      </c>
      <c r="BD17" s="31">
        <f t="shared" si="4"/>
        <v>757.71331820602461</v>
      </c>
      <c r="BE17" s="31">
        <f t="shared" si="4"/>
        <v>794.73820620364165</v>
      </c>
      <c r="BF17" s="31">
        <f t="shared" si="4"/>
        <v>794.05492753843407</v>
      </c>
      <c r="BG17" s="31">
        <f t="shared" si="4"/>
        <v>774.3861631256317</v>
      </c>
      <c r="BH17" s="31">
        <f t="shared" si="4"/>
        <v>755.82327325260678</v>
      </c>
      <c r="BI17" s="31">
        <f t="shared" si="4"/>
        <v>773.82416851342452</v>
      </c>
      <c r="BJ17" s="31">
        <f t="shared" si="4"/>
        <v>770.88905699019972</v>
      </c>
    </row>
    <row r="18" spans="1:62">
      <c r="A18" s="1"/>
      <c r="B18" s="37">
        <v>16143</v>
      </c>
      <c r="C18" s="34">
        <f>VLOOKUP($B18,Plagioclase!$AV$7:$BA$478,3,FALSE)</f>
        <v>0.695624026579586</v>
      </c>
      <c r="D18" s="34">
        <f>VLOOKUP($B18,Plagioclase!$AV$7:$BA$478,4,FALSE)</f>
        <v>0</v>
      </c>
      <c r="E18" s="29" t="str">
        <f>VLOOKUP($B18,Plagioclase!$AV$7:$BA$478,6,FALSE)</f>
        <v>18eHP03.6</v>
      </c>
      <c r="F18" s="31">
        <f t="shared" si="5"/>
        <v>758.01238507954179</v>
      </c>
      <c r="G18" s="31">
        <f t="shared" si="0"/>
        <v>755.98352559822467</v>
      </c>
      <c r="H18" s="31">
        <f t="shared" si="0"/>
        <v>758.00443606002489</v>
      </c>
      <c r="I18" s="31">
        <f t="shared" si="0"/>
        <v>762.62312347147247</v>
      </c>
      <c r="J18" s="31">
        <f t="shared" si="0"/>
        <v>756.62908913597528</v>
      </c>
      <c r="K18" s="31">
        <f t="shared" si="0"/>
        <v>761.89451527527274</v>
      </c>
      <c r="L18" s="31">
        <f t="shared" si="0"/>
        <v>757.28711444142562</v>
      </c>
      <c r="M18" s="31">
        <f t="shared" si="0"/>
        <v>768.54897375851544</v>
      </c>
      <c r="N18" s="31">
        <f t="shared" si="0"/>
        <v>761.95334519298501</v>
      </c>
      <c r="O18" s="31">
        <f t="shared" si="0"/>
        <v>750.14764731361151</v>
      </c>
      <c r="P18" s="31">
        <f t="shared" si="0"/>
        <v>768.24373377646805</v>
      </c>
      <c r="Q18" s="31">
        <f t="shared" si="0"/>
        <v>816.3891612966944</v>
      </c>
      <c r="R18" s="31">
        <f t="shared" si="0"/>
        <v>761.78938622919497</v>
      </c>
      <c r="S18" s="31">
        <f t="shared" si="0"/>
        <v>743.96352469855742</v>
      </c>
      <c r="T18" s="31">
        <f t="shared" si="0"/>
        <v>812.70668817454282</v>
      </c>
      <c r="U18" s="31">
        <f t="shared" si="0"/>
        <v>733.66722752428666</v>
      </c>
      <c r="V18" s="31">
        <f t="shared" si="0"/>
        <v>754.20507596184405</v>
      </c>
      <c r="W18" s="31">
        <f t="shared" si="1"/>
        <v>755.52493470801585</v>
      </c>
      <c r="X18" s="31">
        <f t="shared" si="1"/>
        <v>764.86620208292095</v>
      </c>
      <c r="Y18" s="31">
        <f t="shared" si="1"/>
        <v>769.93153239390438</v>
      </c>
      <c r="Z18" s="31">
        <f t="shared" si="1"/>
        <v>723.45788934774168</v>
      </c>
      <c r="AA18" s="31">
        <f t="shared" si="1"/>
        <v>751.3157067999324</v>
      </c>
      <c r="AB18" s="31">
        <f t="shared" si="1"/>
        <v>752.8933287199153</v>
      </c>
      <c r="AC18" s="31">
        <f t="shared" si="1"/>
        <v>759.64952979383895</v>
      </c>
      <c r="AD18" s="31">
        <f t="shared" si="1"/>
        <v>770.83811351516749</v>
      </c>
      <c r="AE18" s="31">
        <f t="shared" si="1"/>
        <v>746.51385110896933</v>
      </c>
      <c r="AF18" s="31">
        <f t="shared" si="1"/>
        <v>756.65632362425606</v>
      </c>
      <c r="AG18" s="31">
        <f t="shared" si="1"/>
        <v>870.46422330266398</v>
      </c>
      <c r="AH18" s="31">
        <f t="shared" si="1"/>
        <v>866.51559262367834</v>
      </c>
      <c r="AI18" s="31">
        <f t="shared" si="1"/>
        <v>867.87744613594111</v>
      </c>
      <c r="AJ18" s="31">
        <f t="shared" si="1"/>
        <v>739.14859280725079</v>
      </c>
      <c r="AK18" s="31">
        <f t="shared" si="1"/>
        <v>884.20624673299619</v>
      </c>
      <c r="AL18" s="31">
        <f t="shared" si="1"/>
        <v>884.88499833270214</v>
      </c>
      <c r="AM18" s="31">
        <f t="shared" si="2"/>
        <v>878.99244768574238</v>
      </c>
      <c r="AN18" s="31">
        <f t="shared" si="2"/>
        <v>876.40592612312446</v>
      </c>
      <c r="AO18" s="31">
        <f t="shared" si="2"/>
        <v>853.62811540466407</v>
      </c>
      <c r="AP18" s="31">
        <f t="shared" si="2"/>
        <v>904.48429172865542</v>
      </c>
      <c r="AQ18" s="31">
        <f t="shared" si="2"/>
        <v>763.50809669017565</v>
      </c>
      <c r="AR18" s="31">
        <f t="shared" si="2"/>
        <v>760.30545687169922</v>
      </c>
      <c r="AS18" s="31">
        <f t="shared" si="2"/>
        <v>796.11963194353473</v>
      </c>
      <c r="AT18" s="31">
        <f t="shared" si="2"/>
        <v>790.96097726602409</v>
      </c>
      <c r="AU18" s="31">
        <f t="shared" si="2"/>
        <v>905.70998355936752</v>
      </c>
      <c r="AV18" s="31">
        <f t="shared" si="2"/>
        <v>834.64940344320905</v>
      </c>
      <c r="AW18" s="31">
        <f t="shared" si="2"/>
        <v>825.36274808255587</v>
      </c>
      <c r="AX18" s="31">
        <f t="shared" si="2"/>
        <v>834.78063899270876</v>
      </c>
      <c r="AY18" s="31">
        <f t="shared" si="3"/>
        <v>866.31453308980406</v>
      </c>
      <c r="AZ18" s="31">
        <f t="shared" si="3"/>
        <v>849.61727545738916</v>
      </c>
      <c r="BA18" s="31">
        <f t="shared" si="3"/>
        <v>833.78310295416202</v>
      </c>
      <c r="BB18" s="31">
        <f t="shared" si="3"/>
        <v>767.0523592340204</v>
      </c>
      <c r="BC18" s="31">
        <f t="shared" si="4"/>
        <v>780.95114895140011</v>
      </c>
      <c r="BD18" s="31">
        <f t="shared" si="4"/>
        <v>756.37953686732556</v>
      </c>
      <c r="BE18" s="31">
        <f t="shared" si="4"/>
        <v>793.2410162705936</v>
      </c>
      <c r="BF18" s="31">
        <f t="shared" si="4"/>
        <v>792.53614679829855</v>
      </c>
      <c r="BG18" s="31">
        <f t="shared" si="4"/>
        <v>773.02289041179586</v>
      </c>
      <c r="BH18" s="31">
        <f t="shared" si="4"/>
        <v>754.54446928719892</v>
      </c>
      <c r="BI18" s="31">
        <f t="shared" si="4"/>
        <v>772.42841956994369</v>
      </c>
      <c r="BJ18" s="31">
        <f t="shared" si="4"/>
        <v>769.46444624724325</v>
      </c>
    </row>
    <row r="19" spans="1:62">
      <c r="A19" s="1"/>
      <c r="B19" s="37">
        <v>16145</v>
      </c>
      <c r="C19" s="34">
        <f>VLOOKUP($B19,Plagioclase!$AV$7:$BA$478,3,FALSE)</f>
        <v>0.7158957298825237</v>
      </c>
      <c r="D19" s="34">
        <f>VLOOKUP($B19,Plagioclase!$AV$7:$BA$478,4,FALSE)</f>
        <v>0</v>
      </c>
      <c r="E19" s="29" t="str">
        <f>VLOOKUP($B19,Plagioclase!$AV$7:$BA$478,6,FALSE)</f>
        <v>18eHP03.8</v>
      </c>
      <c r="F19" s="31">
        <f t="shared" si="5"/>
        <v>753.84324434197276</v>
      </c>
      <c r="G19" s="31">
        <f t="shared" si="0"/>
        <v>751.7931484214995</v>
      </c>
      <c r="H19" s="31">
        <f t="shared" si="0"/>
        <v>753.91312659533753</v>
      </c>
      <c r="I19" s="31">
        <f t="shared" si="0"/>
        <v>758.46607543702919</v>
      </c>
      <c r="J19" s="31">
        <f t="shared" si="0"/>
        <v>752.58107144110534</v>
      </c>
      <c r="K19" s="31">
        <f t="shared" si="0"/>
        <v>757.63120671960189</v>
      </c>
      <c r="L19" s="31">
        <f t="shared" si="0"/>
        <v>753.16246568737927</v>
      </c>
      <c r="M19" s="31">
        <f t="shared" si="0"/>
        <v>764.1698314075137</v>
      </c>
      <c r="N19" s="31">
        <f t="shared" si="0"/>
        <v>757.75005873384032</v>
      </c>
      <c r="O19" s="31">
        <f t="shared" si="0"/>
        <v>746.07078503702883</v>
      </c>
      <c r="P19" s="31">
        <f t="shared" si="0"/>
        <v>764.02370291307136</v>
      </c>
      <c r="Q19" s="31">
        <f t="shared" si="0"/>
        <v>811.30654111848582</v>
      </c>
      <c r="R19" s="31">
        <f t="shared" si="0"/>
        <v>757.58559572902652</v>
      </c>
      <c r="S19" s="31">
        <f t="shared" si="0"/>
        <v>739.86725873817784</v>
      </c>
      <c r="T19" s="31">
        <f t="shared" si="0"/>
        <v>807.55254730940817</v>
      </c>
      <c r="U19" s="31">
        <f t="shared" si="0"/>
        <v>729.8307929257785</v>
      </c>
      <c r="V19" s="31">
        <f t="shared" si="0"/>
        <v>750.0950527744078</v>
      </c>
      <c r="W19" s="31">
        <f t="shared" si="1"/>
        <v>751.33689344395214</v>
      </c>
      <c r="X19" s="31">
        <f t="shared" si="1"/>
        <v>760.64297892109187</v>
      </c>
      <c r="Y19" s="31">
        <f t="shared" si="1"/>
        <v>765.67335912097053</v>
      </c>
      <c r="Z19" s="31">
        <f t="shared" si="1"/>
        <v>719.70508224427795</v>
      </c>
      <c r="AA19" s="31">
        <f t="shared" si="1"/>
        <v>747.33942043045806</v>
      </c>
      <c r="AB19" s="31">
        <f t="shared" si="1"/>
        <v>748.74342555695534</v>
      </c>
      <c r="AC19" s="31">
        <f t="shared" si="1"/>
        <v>755.38749208230922</v>
      </c>
      <c r="AD19" s="31">
        <f t="shared" si="1"/>
        <v>766.20776833666002</v>
      </c>
      <c r="AE19" s="31">
        <f t="shared" si="1"/>
        <v>742.467884137444</v>
      </c>
      <c r="AF19" s="31">
        <f t="shared" si="1"/>
        <v>752.43633052527787</v>
      </c>
      <c r="AG19" s="31">
        <f t="shared" si="1"/>
        <v>863.95861139324177</v>
      </c>
      <c r="AH19" s="31">
        <f t="shared" si="1"/>
        <v>859.98440078160536</v>
      </c>
      <c r="AI19" s="31">
        <f t="shared" si="1"/>
        <v>861.19607468302581</v>
      </c>
      <c r="AJ19" s="31">
        <f t="shared" si="1"/>
        <v>735.31413018526348</v>
      </c>
      <c r="AK19" s="31">
        <f t="shared" si="1"/>
        <v>877.56964419058579</v>
      </c>
      <c r="AL19" s="31">
        <f t="shared" si="1"/>
        <v>878.084912685929</v>
      </c>
      <c r="AM19" s="31">
        <f t="shared" si="2"/>
        <v>872.57706609487002</v>
      </c>
      <c r="AN19" s="31">
        <f t="shared" si="2"/>
        <v>870.09328055217759</v>
      </c>
      <c r="AO19" s="31">
        <f t="shared" si="2"/>
        <v>847.48883664382777</v>
      </c>
      <c r="AP19" s="31">
        <f t="shared" si="2"/>
        <v>897.54779123531955</v>
      </c>
      <c r="AQ19" s="31">
        <f t="shared" si="2"/>
        <v>759.18345608459333</v>
      </c>
      <c r="AR19" s="31">
        <f t="shared" si="2"/>
        <v>756.25204721116268</v>
      </c>
      <c r="AS19" s="31">
        <f t="shared" si="2"/>
        <v>791.39759042917956</v>
      </c>
      <c r="AT19" s="31">
        <f t="shared" si="2"/>
        <v>786.2850754765276</v>
      </c>
      <c r="AU19" s="31">
        <f t="shared" si="2"/>
        <v>898.40742850257686</v>
      </c>
      <c r="AV19" s="31">
        <f t="shared" si="2"/>
        <v>828.94140213587855</v>
      </c>
      <c r="AW19" s="31">
        <f t="shared" si="2"/>
        <v>819.64244894855972</v>
      </c>
      <c r="AX19" s="31">
        <f t="shared" si="2"/>
        <v>828.94335383317423</v>
      </c>
      <c r="AY19" s="31">
        <f t="shared" si="3"/>
        <v>860.02419899524159</v>
      </c>
      <c r="AZ19" s="31">
        <f t="shared" si="3"/>
        <v>843.46817206786147</v>
      </c>
      <c r="BA19" s="31">
        <f t="shared" si="3"/>
        <v>827.94928447060909</v>
      </c>
      <c r="BB19" s="31">
        <f t="shared" si="3"/>
        <v>762.71041895600422</v>
      </c>
      <c r="BC19" s="31">
        <f t="shared" si="4"/>
        <v>776.36080164399471</v>
      </c>
      <c r="BD19" s="31">
        <f t="shared" si="4"/>
        <v>752.19298319766278</v>
      </c>
      <c r="BE19" s="31">
        <f t="shared" si="4"/>
        <v>788.54365159774477</v>
      </c>
      <c r="BF19" s="31">
        <f t="shared" si="4"/>
        <v>787.77145907969191</v>
      </c>
      <c r="BG19" s="31">
        <f t="shared" si="4"/>
        <v>768.74390148794566</v>
      </c>
      <c r="BH19" s="31">
        <f t="shared" si="4"/>
        <v>750.52963253558687</v>
      </c>
      <c r="BI19" s="31">
        <f t="shared" si="4"/>
        <v>768.04807126741377</v>
      </c>
      <c r="BJ19" s="31">
        <f t="shared" si="4"/>
        <v>764.9941010689023</v>
      </c>
    </row>
    <row r="20" spans="1:62">
      <c r="A20" s="1"/>
      <c r="B20" s="37">
        <v>16146.999999999998</v>
      </c>
      <c r="C20" s="34">
        <f>VLOOKUP($B20,Plagioclase!$AV$7:$BA$478,3,FALSE)</f>
        <v>0.70714774311094464</v>
      </c>
      <c r="D20" s="34">
        <f>VLOOKUP($B20,Plagioclase!$AV$7:$BA$478,4,FALSE)</f>
        <v>0</v>
      </c>
      <c r="E20" s="29" t="str">
        <f>VLOOKUP($B20,Plagioclase!$AV$7:$BA$478,6,FALSE)</f>
        <v>18eHP04.2</v>
      </c>
      <c r="F20" s="31">
        <f t="shared" si="5"/>
        <v>755.62357870691187</v>
      </c>
      <c r="G20" s="31">
        <f t="shared" si="0"/>
        <v>753.58252186412744</v>
      </c>
      <c r="H20" s="31">
        <f t="shared" si="0"/>
        <v>755.66030076077152</v>
      </c>
      <c r="I20" s="31">
        <f t="shared" si="0"/>
        <v>760.24127619838498</v>
      </c>
      <c r="J20" s="31">
        <f t="shared" si="0"/>
        <v>754.30979459756975</v>
      </c>
      <c r="K20" s="31">
        <f t="shared" si="0"/>
        <v>759.45167384809645</v>
      </c>
      <c r="L20" s="31">
        <f t="shared" si="0"/>
        <v>754.92384165543115</v>
      </c>
      <c r="M20" s="31">
        <f t="shared" si="0"/>
        <v>766.03966917098421</v>
      </c>
      <c r="N20" s="31">
        <f t="shared" si="0"/>
        <v>759.54495606503053</v>
      </c>
      <c r="O20" s="31">
        <f t="shared" si="0"/>
        <v>747.81177322994097</v>
      </c>
      <c r="P20" s="31">
        <f t="shared" si="0"/>
        <v>765.8257592392971</v>
      </c>
      <c r="Q20" s="31">
        <f t="shared" si="0"/>
        <v>813.47617899932322</v>
      </c>
      <c r="R20" s="31">
        <f t="shared" si="0"/>
        <v>759.38070712964247</v>
      </c>
      <c r="S20" s="31">
        <f t="shared" si="0"/>
        <v>741.61648953083932</v>
      </c>
      <c r="T20" s="31">
        <f t="shared" si="0"/>
        <v>809.7526120144347</v>
      </c>
      <c r="U20" s="31">
        <f t="shared" si="0"/>
        <v>731.46927217472182</v>
      </c>
      <c r="V20" s="31">
        <f t="shared" ref="V20:AK30" si="6">(-76.95+0.79*V$11+$D20+39.4*V$8+22.4*V$6+(41.5-2.89*V$11)*V$5)/(-0.065-$C$6*LN((27*V$7*V$3*$C20)/(256*V$8*V$4)))-273.15</f>
        <v>751.85018533959453</v>
      </c>
      <c r="W20" s="31">
        <f t="shared" si="1"/>
        <v>753.12526987469016</v>
      </c>
      <c r="X20" s="31">
        <f t="shared" si="1"/>
        <v>762.44638156569147</v>
      </c>
      <c r="Y20" s="31">
        <f t="shared" si="1"/>
        <v>767.49167179423819</v>
      </c>
      <c r="Z20" s="31">
        <f t="shared" si="1"/>
        <v>721.30788690640384</v>
      </c>
      <c r="AA20" s="31">
        <f t="shared" si="1"/>
        <v>749.03755889524302</v>
      </c>
      <c r="AB20" s="31">
        <f t="shared" si="1"/>
        <v>750.51554351389302</v>
      </c>
      <c r="AC20" s="31">
        <f t="shared" si="1"/>
        <v>757.20740846335991</v>
      </c>
      <c r="AD20" s="31">
        <f t="shared" si="1"/>
        <v>768.18460320661654</v>
      </c>
      <c r="AE20" s="31">
        <f t="shared" si="1"/>
        <v>744.19569476534843</v>
      </c>
      <c r="AF20" s="31">
        <f t="shared" si="1"/>
        <v>754.23832349118891</v>
      </c>
      <c r="AG20" s="31">
        <f t="shared" si="1"/>
        <v>866.73404958329354</v>
      </c>
      <c r="AH20" s="31">
        <f t="shared" si="1"/>
        <v>862.7706842034612</v>
      </c>
      <c r="AI20" s="31">
        <f t="shared" si="1"/>
        <v>864.04622137868398</v>
      </c>
      <c r="AJ20" s="31">
        <f t="shared" si="1"/>
        <v>736.95178850165064</v>
      </c>
      <c r="AK20" s="31">
        <f t="shared" si="1"/>
        <v>880.40089137543794</v>
      </c>
      <c r="AL20" s="31">
        <f t="shared" ref="AL20:AX30" si="7">(-76.95+0.79*AL$11+$D20+39.4*AL$8+22.4*AL$6+(41.5-2.89*AL$11)*AL$5)/(-0.065-$C$6*LN((27*AL$7*AL$3*$C20)/(256*AL$8*AL$4)))-273.15</f>
        <v>880.98567297855527</v>
      </c>
      <c r="AM20" s="31">
        <f t="shared" si="2"/>
        <v>875.31420008311909</v>
      </c>
      <c r="AN20" s="31">
        <f t="shared" si="2"/>
        <v>872.78670135367668</v>
      </c>
      <c r="AO20" s="31">
        <f t="shared" si="2"/>
        <v>850.10835162030037</v>
      </c>
      <c r="AP20" s="31">
        <f t="shared" si="2"/>
        <v>900.50671205891115</v>
      </c>
      <c r="AQ20" s="31">
        <f t="shared" si="2"/>
        <v>761.03005644290454</v>
      </c>
      <c r="AR20" s="31">
        <f t="shared" si="2"/>
        <v>757.98308175812429</v>
      </c>
      <c r="AS20" s="31">
        <f t="shared" si="2"/>
        <v>793.41359542314819</v>
      </c>
      <c r="AT20" s="31">
        <f t="shared" si="2"/>
        <v>788.28140702860162</v>
      </c>
      <c r="AU20" s="31">
        <f t="shared" si="2"/>
        <v>901.52195114364542</v>
      </c>
      <c r="AV20" s="31">
        <f t="shared" si="2"/>
        <v>831.37731459458212</v>
      </c>
      <c r="AW20" s="31">
        <f t="shared" si="2"/>
        <v>822.08353253365874</v>
      </c>
      <c r="AX20" s="31">
        <f t="shared" si="2"/>
        <v>831.43427206613717</v>
      </c>
      <c r="AY20" s="31">
        <f t="shared" si="3"/>
        <v>862.70805519181374</v>
      </c>
      <c r="AZ20" s="31">
        <f t="shared" si="3"/>
        <v>846.09183635578813</v>
      </c>
      <c r="BA20" s="31">
        <f t="shared" si="3"/>
        <v>830.43872106595643</v>
      </c>
      <c r="BB20" s="31">
        <f t="shared" si="3"/>
        <v>764.56440361142256</v>
      </c>
      <c r="BC20" s="31">
        <f t="shared" si="4"/>
        <v>778.32065101271621</v>
      </c>
      <c r="BD20" s="31">
        <f t="shared" si="4"/>
        <v>753.98072935826769</v>
      </c>
      <c r="BE20" s="31">
        <f t="shared" si="4"/>
        <v>790.54913413475776</v>
      </c>
      <c r="BF20" s="31">
        <f t="shared" si="4"/>
        <v>789.8056069866351</v>
      </c>
      <c r="BG20" s="31">
        <f t="shared" si="4"/>
        <v>770.57109456390015</v>
      </c>
      <c r="BH20" s="31">
        <f t="shared" si="4"/>
        <v>752.24420960708483</v>
      </c>
      <c r="BI20" s="31">
        <f t="shared" si="4"/>
        <v>769.91843950248619</v>
      </c>
      <c r="BJ20" s="31">
        <f t="shared" si="4"/>
        <v>766.90278924364304</v>
      </c>
    </row>
    <row r="21" spans="1:62">
      <c r="A21" s="1"/>
      <c r="B21" s="37">
        <v>16148</v>
      </c>
      <c r="C21" s="34">
        <f>VLOOKUP($B21,Plagioclase!$AV$7:$BA$478,3,FALSE)</f>
        <v>0.70087051685863433</v>
      </c>
      <c r="D21" s="34">
        <f>VLOOKUP($B21,Plagioclase!$AV$7:$BA$478,4,FALSE)</f>
        <v>0</v>
      </c>
      <c r="E21" s="29" t="str">
        <f>VLOOKUP($B21,Plagioclase!$AV$7:$BA$478,6,FALSE)</f>
        <v>18eHP04.3</v>
      </c>
      <c r="F21" s="31">
        <f t="shared" si="5"/>
        <v>756.91857067934063</v>
      </c>
      <c r="G21" s="31">
        <f t="shared" si="5"/>
        <v>754.88411632003124</v>
      </c>
      <c r="H21" s="31">
        <f t="shared" si="5"/>
        <v>756.93110142488933</v>
      </c>
      <c r="I21" s="31">
        <f t="shared" si="5"/>
        <v>761.53250567733642</v>
      </c>
      <c r="J21" s="31">
        <f t="shared" si="5"/>
        <v>755.56714077629397</v>
      </c>
      <c r="K21" s="31">
        <f t="shared" si="5"/>
        <v>760.77593222738631</v>
      </c>
      <c r="L21" s="31">
        <f t="shared" si="5"/>
        <v>756.20500526747276</v>
      </c>
      <c r="M21" s="31">
        <f t="shared" si="5"/>
        <v>767.39992664441331</v>
      </c>
      <c r="N21" s="31">
        <f t="shared" si="5"/>
        <v>760.85055796213408</v>
      </c>
      <c r="O21" s="31">
        <f t="shared" si="5"/>
        <v>749.07808987894396</v>
      </c>
      <c r="P21" s="31">
        <f t="shared" si="5"/>
        <v>767.13656036070563</v>
      </c>
      <c r="Q21" s="31">
        <f t="shared" si="5"/>
        <v>815.05507236546521</v>
      </c>
      <c r="R21" s="31">
        <f t="shared" si="5"/>
        <v>760.686465833238</v>
      </c>
      <c r="S21" s="31">
        <f t="shared" si="5"/>
        <v>742.88884227920505</v>
      </c>
      <c r="T21" s="31">
        <f t="shared" si="5"/>
        <v>811.35374456420129</v>
      </c>
      <c r="U21" s="31">
        <f t="shared" si="5"/>
        <v>732.66087523007207</v>
      </c>
      <c r="V21" s="31">
        <f t="shared" si="6"/>
        <v>753.12680561122068</v>
      </c>
      <c r="W21" s="31">
        <f t="shared" si="6"/>
        <v>754.4261386628508</v>
      </c>
      <c r="X21" s="31">
        <f t="shared" si="6"/>
        <v>763.75817778668454</v>
      </c>
      <c r="Y21" s="31">
        <f t="shared" si="6"/>
        <v>768.81432704853239</v>
      </c>
      <c r="Z21" s="31">
        <f t="shared" si="6"/>
        <v>722.47350646835957</v>
      </c>
      <c r="AA21" s="31">
        <f t="shared" si="6"/>
        <v>750.27261462252181</v>
      </c>
      <c r="AB21" s="31">
        <f t="shared" si="6"/>
        <v>751.80456033644111</v>
      </c>
      <c r="AC21" s="31">
        <f t="shared" si="6"/>
        <v>758.53127378634838</v>
      </c>
      <c r="AD21" s="31">
        <f t="shared" si="6"/>
        <v>769.62294477981266</v>
      </c>
      <c r="AE21" s="31">
        <f t="shared" si="6"/>
        <v>745.45241165908146</v>
      </c>
      <c r="AF21" s="31">
        <f t="shared" si="6"/>
        <v>755.54912275567392</v>
      </c>
      <c r="AG21" s="31">
        <f t="shared" si="6"/>
        <v>868.75533044325823</v>
      </c>
      <c r="AH21" s="31">
        <f t="shared" si="6"/>
        <v>864.79992680199268</v>
      </c>
      <c r="AI21" s="31">
        <f t="shared" si="6"/>
        <v>866.12216751341987</v>
      </c>
      <c r="AJ21" s="31">
        <f t="shared" si="6"/>
        <v>738.14277460951962</v>
      </c>
      <c r="AK21" s="31">
        <f t="shared" si="6"/>
        <v>882.4628862829444</v>
      </c>
      <c r="AL21" s="31">
        <f t="shared" si="7"/>
        <v>883.09851014716753</v>
      </c>
      <c r="AM21" s="31">
        <f t="shared" si="7"/>
        <v>877.30740697984049</v>
      </c>
      <c r="AN21" s="31">
        <f t="shared" si="7"/>
        <v>874.74796414901641</v>
      </c>
      <c r="AO21" s="31">
        <f t="shared" si="7"/>
        <v>852.01573795829438</v>
      </c>
      <c r="AP21" s="31">
        <f t="shared" si="7"/>
        <v>902.66194076768545</v>
      </c>
      <c r="AQ21" s="31">
        <f t="shared" si="7"/>
        <v>762.37337734622986</v>
      </c>
      <c r="AR21" s="31">
        <f t="shared" si="7"/>
        <v>759.24210089867881</v>
      </c>
      <c r="AS21" s="31">
        <f t="shared" si="7"/>
        <v>794.88041634323429</v>
      </c>
      <c r="AT21" s="31">
        <f t="shared" si="7"/>
        <v>789.73389016900921</v>
      </c>
      <c r="AU21" s="31">
        <f t="shared" si="7"/>
        <v>903.79102987655995</v>
      </c>
      <c r="AV21" s="31">
        <f t="shared" si="7"/>
        <v>833.15062258535784</v>
      </c>
      <c r="AW21" s="31">
        <f t="shared" si="7"/>
        <v>823.86067715462025</v>
      </c>
      <c r="AX21" s="31">
        <f t="shared" si="7"/>
        <v>833.24777948090048</v>
      </c>
      <c r="AY21" s="31">
        <f t="shared" ref="AY21:BB30" si="8">(-76.95+0.79*AY$11+$D21+39.4*AY$8+22.4*AY$6+(41.5-2.89*AY$11)*AY$5)/(-0.065-$C$6*LN((27*AY$7*AY$3*$C21)/(256*AY$8*AY$4)))-273.15</f>
        <v>864.66239544517714</v>
      </c>
      <c r="AZ21" s="31">
        <f t="shared" si="8"/>
        <v>848.00228395641591</v>
      </c>
      <c r="BA21" s="31">
        <f t="shared" si="8"/>
        <v>832.25115194920829</v>
      </c>
      <c r="BB21" s="31">
        <f t="shared" si="8"/>
        <v>765.91309868196538</v>
      </c>
      <c r="BC21" s="31">
        <f t="shared" ref="BC21:BJ30" si="9">(-76.95+0.79*BC$11+$D21+39.4*BC$8+22.4*BC$6+(41.5-2.89*BC$11)*BC$5)/(-0.065-$C$6*LN((27*BC$7*BC$3*$C21)/(256*BC$8*BC$4)))-273.15</f>
        <v>779.7465489302657</v>
      </c>
      <c r="BD21" s="31">
        <f t="shared" si="9"/>
        <v>755.28113503993643</v>
      </c>
      <c r="BE21" s="31">
        <f t="shared" si="9"/>
        <v>792.00828691370236</v>
      </c>
      <c r="BF21" s="31">
        <f t="shared" si="9"/>
        <v>791.2856886335943</v>
      </c>
      <c r="BG21" s="31">
        <f t="shared" si="9"/>
        <v>771.9002172065326</v>
      </c>
      <c r="BH21" s="31">
        <f t="shared" si="9"/>
        <v>753.4912445096021</v>
      </c>
      <c r="BI21" s="31">
        <f t="shared" si="9"/>
        <v>771.27906832229417</v>
      </c>
      <c r="BJ21" s="31">
        <f t="shared" si="9"/>
        <v>768.29139554063988</v>
      </c>
    </row>
    <row r="22" spans="1:62">
      <c r="A22" s="1"/>
      <c r="B22" s="37">
        <v>16149</v>
      </c>
      <c r="C22" s="34">
        <f>VLOOKUP($B22,Plagioclase!$AV$7:$BA$478,3,FALSE)</f>
        <v>0.71689274056942931</v>
      </c>
      <c r="D22" s="34">
        <f>VLOOKUP($B22,Plagioclase!$AV$7:$BA$478,4,FALSE)</f>
        <v>0</v>
      </c>
      <c r="E22" s="29" t="str">
        <f>VLOOKUP($B22,Plagioclase!$AV$7:$BA$478,6,FALSE)</f>
        <v>18eHP04.4</v>
      </c>
      <c r="F22" s="31">
        <f t="shared" ref="F22:U32" si="10">(-76.95+0.79*F$11+$D22+39.4*F$8+22.4*F$6+(41.5-2.89*F$11)*F$5)/(-0.065-$C$6*LN((27*F$7*F$3*$C22)/(256*F$8*F$4)))-273.15</f>
        <v>753.64210979096208</v>
      </c>
      <c r="G22" s="31">
        <f t="shared" si="10"/>
        <v>751.59099543378909</v>
      </c>
      <c r="H22" s="31">
        <f t="shared" si="10"/>
        <v>753.71573123483483</v>
      </c>
      <c r="I22" s="31">
        <f t="shared" si="10"/>
        <v>758.26551801870789</v>
      </c>
      <c r="J22" s="31">
        <f t="shared" si="10"/>
        <v>752.38575724739383</v>
      </c>
      <c r="K22" s="31">
        <f t="shared" si="10"/>
        <v>757.42554558168706</v>
      </c>
      <c r="L22" s="31">
        <f t="shared" si="10"/>
        <v>752.96346914494018</v>
      </c>
      <c r="M22" s="31">
        <f t="shared" si="10"/>
        <v>763.95860134536531</v>
      </c>
      <c r="N22" s="31">
        <f t="shared" si="10"/>
        <v>757.54728062380889</v>
      </c>
      <c r="O22" s="31">
        <f t="shared" si="10"/>
        <v>745.87409010055615</v>
      </c>
      <c r="P22" s="31">
        <f t="shared" si="10"/>
        <v>763.82011519634841</v>
      </c>
      <c r="Q22" s="31">
        <f t="shared" si="10"/>
        <v>811.0614974507979</v>
      </c>
      <c r="R22" s="31">
        <f t="shared" si="10"/>
        <v>757.38279354394342</v>
      </c>
      <c r="S22" s="31">
        <f t="shared" si="10"/>
        <v>739.66963664527032</v>
      </c>
      <c r="T22" s="31">
        <f t="shared" si="10"/>
        <v>807.30407685749344</v>
      </c>
      <c r="U22" s="31">
        <f t="shared" si="10"/>
        <v>729.64566400369256</v>
      </c>
      <c r="V22" s="31">
        <f t="shared" si="6"/>
        <v>749.89676138765731</v>
      </c>
      <c r="W22" s="31">
        <f t="shared" si="6"/>
        <v>751.1348530489123</v>
      </c>
      <c r="X22" s="31">
        <f t="shared" si="6"/>
        <v>760.43924068470949</v>
      </c>
      <c r="Y22" s="31">
        <f t="shared" si="6"/>
        <v>765.46793778164886</v>
      </c>
      <c r="Z22" s="31">
        <f t="shared" si="6"/>
        <v>719.52398025376658</v>
      </c>
      <c r="AA22" s="31">
        <f t="shared" si="6"/>
        <v>747.14755720547555</v>
      </c>
      <c r="AB22" s="31">
        <f t="shared" si="6"/>
        <v>748.54321939642944</v>
      </c>
      <c r="AC22" s="31">
        <f t="shared" si="6"/>
        <v>755.1818939209553</v>
      </c>
      <c r="AD22" s="31">
        <f t="shared" si="6"/>
        <v>765.98447578758271</v>
      </c>
      <c r="AE22" s="31">
        <f t="shared" si="6"/>
        <v>742.27267648795419</v>
      </c>
      <c r="AF22" s="31">
        <f t="shared" si="6"/>
        <v>752.23275439277893</v>
      </c>
      <c r="AG22" s="31">
        <f t="shared" si="6"/>
        <v>863.64530046911739</v>
      </c>
      <c r="AH22" s="31">
        <f t="shared" si="6"/>
        <v>859.66987190287716</v>
      </c>
      <c r="AI22" s="31">
        <f t="shared" si="6"/>
        <v>860.87435578502721</v>
      </c>
      <c r="AJ22" s="31">
        <f t="shared" si="6"/>
        <v>735.12909202522962</v>
      </c>
      <c r="AK22" s="31">
        <f t="shared" si="6"/>
        <v>877.25004012047691</v>
      </c>
      <c r="AL22" s="31">
        <f t="shared" si="7"/>
        <v>877.75748320792343</v>
      </c>
      <c r="AM22" s="31">
        <f t="shared" si="7"/>
        <v>872.26806145023818</v>
      </c>
      <c r="AN22" s="31">
        <f t="shared" si="7"/>
        <v>869.78919968595426</v>
      </c>
      <c r="AO22" s="31">
        <f t="shared" si="7"/>
        <v>847.19309352029029</v>
      </c>
      <c r="AP22" s="31">
        <f t="shared" si="7"/>
        <v>897.21379965216431</v>
      </c>
      <c r="AQ22" s="31">
        <f t="shared" si="7"/>
        <v>758.97484788473537</v>
      </c>
      <c r="AR22" s="31">
        <f t="shared" si="7"/>
        <v>756.05647105435276</v>
      </c>
      <c r="AS22" s="31">
        <f t="shared" si="7"/>
        <v>791.16987135836519</v>
      </c>
      <c r="AT22" s="31">
        <f t="shared" si="7"/>
        <v>786.05957626888392</v>
      </c>
      <c r="AU22" s="31">
        <f t="shared" si="7"/>
        <v>898.05592428623947</v>
      </c>
      <c r="AV22" s="31">
        <f t="shared" si="7"/>
        <v>828.66634886535405</v>
      </c>
      <c r="AW22" s="31">
        <f t="shared" si="7"/>
        <v>819.3668189806159</v>
      </c>
      <c r="AX22" s="31">
        <f t="shared" si="7"/>
        <v>828.66210512217242</v>
      </c>
      <c r="AY22" s="31">
        <f t="shared" si="8"/>
        <v>859.72120215344592</v>
      </c>
      <c r="AZ22" s="31">
        <f t="shared" si="8"/>
        <v>843.17196447748654</v>
      </c>
      <c r="BA22" s="31">
        <f t="shared" si="8"/>
        <v>827.66820326767458</v>
      </c>
      <c r="BB22" s="31">
        <f t="shared" si="8"/>
        <v>762.50097680263696</v>
      </c>
      <c r="BC22" s="31">
        <f t="shared" si="9"/>
        <v>776.13941918010448</v>
      </c>
      <c r="BD22" s="31">
        <f t="shared" si="9"/>
        <v>751.99101354190077</v>
      </c>
      <c r="BE22" s="31">
        <f t="shared" si="9"/>
        <v>788.31711988444397</v>
      </c>
      <c r="BF22" s="31">
        <f t="shared" si="9"/>
        <v>787.54169668189331</v>
      </c>
      <c r="BG22" s="31">
        <f t="shared" si="9"/>
        <v>768.53747766922345</v>
      </c>
      <c r="BH22" s="31">
        <f t="shared" si="9"/>
        <v>750.3359143440905</v>
      </c>
      <c r="BI22" s="31">
        <f t="shared" si="9"/>
        <v>767.83677982297957</v>
      </c>
      <c r="BJ22" s="31">
        <f t="shared" si="9"/>
        <v>764.77849081156899</v>
      </c>
    </row>
    <row r="23" spans="1:62">
      <c r="B23" s="37">
        <v>16157</v>
      </c>
      <c r="C23" s="34">
        <f>VLOOKUP($B23,Plagioclase!$AV$7:$BA$478,3,FALSE)</f>
        <v>0.70216789508481736</v>
      </c>
      <c r="D23" s="34">
        <f>VLOOKUP($B23,Plagioclase!$AV$7:$BA$478,4,FALSE)</f>
        <v>0</v>
      </c>
      <c r="E23" s="29" t="str">
        <f>VLOOKUP($B23,Plagioclase!$AV$7:$BA$478,6,FALSE)</f>
        <v>18eHP05.2</v>
      </c>
      <c r="F23" s="31">
        <f t="shared" si="10"/>
        <v>756.64970533171356</v>
      </c>
      <c r="G23" s="31">
        <f t="shared" si="10"/>
        <v>754.61387825890563</v>
      </c>
      <c r="H23" s="31">
        <f t="shared" si="10"/>
        <v>756.66726357927439</v>
      </c>
      <c r="I23" s="31">
        <f t="shared" si="10"/>
        <v>761.26442346183114</v>
      </c>
      <c r="J23" s="31">
        <f t="shared" si="10"/>
        <v>755.30609865954796</v>
      </c>
      <c r="K23" s="31">
        <f t="shared" si="10"/>
        <v>760.50098545691264</v>
      </c>
      <c r="L23" s="31">
        <f t="shared" si="10"/>
        <v>755.93901360566053</v>
      </c>
      <c r="M23" s="31">
        <f t="shared" si="10"/>
        <v>767.11749970141329</v>
      </c>
      <c r="N23" s="31">
        <f t="shared" si="10"/>
        <v>760.57948861059901</v>
      </c>
      <c r="O23" s="31">
        <f t="shared" si="10"/>
        <v>748.81518192223439</v>
      </c>
      <c r="P23" s="31">
        <f t="shared" si="10"/>
        <v>766.86441211335443</v>
      </c>
      <c r="Q23" s="31">
        <f t="shared" si="10"/>
        <v>814.72721321356369</v>
      </c>
      <c r="R23" s="31">
        <f t="shared" si="10"/>
        <v>760.41536384977496</v>
      </c>
      <c r="S23" s="31">
        <f t="shared" si="10"/>
        <v>742.62467830340688</v>
      </c>
      <c r="T23" s="31">
        <f t="shared" si="10"/>
        <v>811.02126070190218</v>
      </c>
      <c r="U23" s="31">
        <f t="shared" si="10"/>
        <v>732.41348964265478</v>
      </c>
      <c r="V23" s="31">
        <f t="shared" si="6"/>
        <v>752.86175737115002</v>
      </c>
      <c r="W23" s="31">
        <f t="shared" si="6"/>
        <v>754.15605129583935</v>
      </c>
      <c r="X23" s="31">
        <f t="shared" si="6"/>
        <v>763.48582184250665</v>
      </c>
      <c r="Y23" s="31">
        <f t="shared" si="6"/>
        <v>768.539715612039</v>
      </c>
      <c r="Z23" s="31">
        <f t="shared" si="6"/>
        <v>722.23151792888723</v>
      </c>
      <c r="AA23" s="31">
        <f t="shared" si="6"/>
        <v>750.01620345014567</v>
      </c>
      <c r="AB23" s="31">
        <f t="shared" si="6"/>
        <v>751.53693545126805</v>
      </c>
      <c r="AC23" s="31">
        <f t="shared" si="6"/>
        <v>758.25640809885783</v>
      </c>
      <c r="AD23" s="31">
        <f t="shared" si="6"/>
        <v>769.32428834228278</v>
      </c>
      <c r="AE23" s="31">
        <f t="shared" si="6"/>
        <v>745.19149780600117</v>
      </c>
      <c r="AF23" s="31">
        <f t="shared" si="6"/>
        <v>755.27697182964619</v>
      </c>
      <c r="AG23" s="31">
        <f t="shared" si="6"/>
        <v>868.33550265405722</v>
      </c>
      <c r="AH23" s="31">
        <f t="shared" si="6"/>
        <v>864.37844093028036</v>
      </c>
      <c r="AI23" s="31">
        <f t="shared" si="6"/>
        <v>865.69096771499687</v>
      </c>
      <c r="AJ23" s="31">
        <f t="shared" si="6"/>
        <v>737.89551848433223</v>
      </c>
      <c r="AK23" s="31">
        <f t="shared" si="6"/>
        <v>882.03459719085129</v>
      </c>
      <c r="AL23" s="31">
        <f t="shared" si="7"/>
        <v>882.6596458280286</v>
      </c>
      <c r="AM23" s="31">
        <f t="shared" si="7"/>
        <v>876.89342260218916</v>
      </c>
      <c r="AN23" s="31">
        <f t="shared" si="7"/>
        <v>874.34062223393346</v>
      </c>
      <c r="AO23" s="31">
        <f t="shared" si="7"/>
        <v>851.61959004545395</v>
      </c>
      <c r="AP23" s="31">
        <f t="shared" si="7"/>
        <v>902.2142691555872</v>
      </c>
      <c r="AQ23" s="31">
        <f t="shared" si="7"/>
        <v>762.09446911709495</v>
      </c>
      <c r="AR23" s="31">
        <f t="shared" si="7"/>
        <v>758.98071201856635</v>
      </c>
      <c r="AS23" s="31">
        <f t="shared" si="7"/>
        <v>794.57584790901285</v>
      </c>
      <c r="AT23" s="31">
        <f t="shared" si="7"/>
        <v>789.43230044592462</v>
      </c>
      <c r="AU23" s="31">
        <f t="shared" si="7"/>
        <v>903.31967446398983</v>
      </c>
      <c r="AV23" s="31">
        <f t="shared" si="7"/>
        <v>832.78234857847872</v>
      </c>
      <c r="AW23" s="31">
        <f t="shared" si="7"/>
        <v>823.49160137045908</v>
      </c>
      <c r="AX23" s="31">
        <f t="shared" si="7"/>
        <v>832.87114618934049</v>
      </c>
      <c r="AY23" s="31">
        <f t="shared" si="8"/>
        <v>864.25648837948518</v>
      </c>
      <c r="AZ23" s="31">
        <f t="shared" si="8"/>
        <v>847.60549747450762</v>
      </c>
      <c r="BA23" s="31">
        <f t="shared" si="8"/>
        <v>831.87474208359129</v>
      </c>
      <c r="BB23" s="31">
        <f t="shared" si="8"/>
        <v>765.63307446918259</v>
      </c>
      <c r="BC23" s="31">
        <f t="shared" si="9"/>
        <v>779.45048217830765</v>
      </c>
      <c r="BD23" s="31">
        <f t="shared" si="9"/>
        <v>755.01114414535016</v>
      </c>
      <c r="BE23" s="31">
        <f t="shared" si="9"/>
        <v>791.7053115208638</v>
      </c>
      <c r="BF23" s="31">
        <f t="shared" si="9"/>
        <v>790.97836259364033</v>
      </c>
      <c r="BG23" s="31">
        <f t="shared" si="9"/>
        <v>771.62426246803409</v>
      </c>
      <c r="BH23" s="31">
        <f t="shared" si="9"/>
        <v>753.23234470896602</v>
      </c>
      <c r="BI23" s="31">
        <f t="shared" si="9"/>
        <v>770.99656528612479</v>
      </c>
      <c r="BJ23" s="31">
        <f t="shared" si="9"/>
        <v>768.00307662960711</v>
      </c>
    </row>
    <row r="24" spans="1:62">
      <c r="B24" s="37">
        <v>16158.999999999998</v>
      </c>
      <c r="C24" s="34">
        <f>VLOOKUP($B24,Plagioclase!$AV$7:$BA$478,3,FALSE)</f>
        <v>0.69718440775261314</v>
      </c>
      <c r="D24" s="34">
        <f>VLOOKUP($B24,Plagioclase!$AV$7:$BA$478,4,FALSE)</f>
        <v>0</v>
      </c>
      <c r="E24" s="29" t="str">
        <f>VLOOKUP($B24,Plagioclase!$AV$7:$BA$478,6,FALSE)</f>
        <v>18eHP06.2</v>
      </c>
      <c r="F24" s="31">
        <f t="shared" si="10"/>
        <v>757.68596648844175</v>
      </c>
      <c r="G24" s="31">
        <f t="shared" si="10"/>
        <v>755.65543563628751</v>
      </c>
      <c r="H24" s="31">
        <f t="shared" si="10"/>
        <v>757.68413355319001</v>
      </c>
      <c r="I24" s="31">
        <f t="shared" si="10"/>
        <v>762.29766060364398</v>
      </c>
      <c r="J24" s="31">
        <f t="shared" si="10"/>
        <v>756.31218665157473</v>
      </c>
      <c r="K24" s="31">
        <f t="shared" si="10"/>
        <v>761.56070049023663</v>
      </c>
      <c r="L24" s="31">
        <f t="shared" si="10"/>
        <v>756.9641913576296</v>
      </c>
      <c r="M24" s="31">
        <f t="shared" si="10"/>
        <v>768.2060623093397</v>
      </c>
      <c r="N24" s="31">
        <f t="shared" si="10"/>
        <v>761.62424783915219</v>
      </c>
      <c r="O24" s="31">
        <f t="shared" si="10"/>
        <v>749.82847102777987</v>
      </c>
      <c r="P24" s="31">
        <f t="shared" si="10"/>
        <v>767.91332799902614</v>
      </c>
      <c r="Q24" s="31">
        <f t="shared" si="10"/>
        <v>815.99099365565837</v>
      </c>
      <c r="R24" s="31">
        <f t="shared" si="10"/>
        <v>761.46024906703849</v>
      </c>
      <c r="S24" s="31">
        <f t="shared" si="10"/>
        <v>743.64281645350468</v>
      </c>
      <c r="T24" s="31">
        <f t="shared" si="10"/>
        <v>812.30288712744766</v>
      </c>
      <c r="U24" s="31">
        <f t="shared" si="10"/>
        <v>733.36692248664235</v>
      </c>
      <c r="V24" s="31">
        <f t="shared" si="6"/>
        <v>753.88329859240832</v>
      </c>
      <c r="W24" s="31">
        <f t="shared" si="6"/>
        <v>755.19702777705686</v>
      </c>
      <c r="X24" s="31">
        <f t="shared" si="6"/>
        <v>764.53554138962124</v>
      </c>
      <c r="Y24" s="31">
        <f t="shared" si="6"/>
        <v>769.59813101086354</v>
      </c>
      <c r="Z24" s="31">
        <f t="shared" si="6"/>
        <v>723.16414262645196</v>
      </c>
      <c r="AA24" s="31">
        <f t="shared" si="6"/>
        <v>751.00443415830375</v>
      </c>
      <c r="AB24" s="31">
        <f t="shared" si="6"/>
        <v>752.56841588723285</v>
      </c>
      <c r="AC24" s="31">
        <f t="shared" si="6"/>
        <v>759.31581212993945</v>
      </c>
      <c r="AD24" s="31">
        <f t="shared" si="6"/>
        <v>770.47545379840096</v>
      </c>
      <c r="AE24" s="31">
        <f t="shared" si="6"/>
        <v>746.19709832671003</v>
      </c>
      <c r="AF24" s="31">
        <f t="shared" si="6"/>
        <v>756.32590687200707</v>
      </c>
      <c r="AG24" s="31">
        <f t="shared" si="6"/>
        <v>869.95409626977823</v>
      </c>
      <c r="AH24" s="31">
        <f t="shared" si="6"/>
        <v>866.00343977118507</v>
      </c>
      <c r="AI24" s="31">
        <f t="shared" si="6"/>
        <v>867.35345612944013</v>
      </c>
      <c r="AJ24" s="31">
        <f t="shared" si="6"/>
        <v>738.84844840110804</v>
      </c>
      <c r="AK24" s="31">
        <f t="shared" si="6"/>
        <v>883.68582626869545</v>
      </c>
      <c r="AL24" s="31">
        <f t="shared" si="7"/>
        <v>884.35168993947775</v>
      </c>
      <c r="AM24" s="31">
        <f t="shared" si="7"/>
        <v>878.48945205920052</v>
      </c>
      <c r="AN24" s="31">
        <f t="shared" si="7"/>
        <v>875.91102072020578</v>
      </c>
      <c r="AO24" s="31">
        <f t="shared" si="7"/>
        <v>853.1468209072774</v>
      </c>
      <c r="AP24" s="31">
        <f t="shared" si="7"/>
        <v>903.94027563415659</v>
      </c>
      <c r="AQ24" s="31">
        <f t="shared" si="7"/>
        <v>763.16946310537594</v>
      </c>
      <c r="AR24" s="31">
        <f t="shared" si="7"/>
        <v>759.98813484682785</v>
      </c>
      <c r="AS24" s="31">
        <f t="shared" si="7"/>
        <v>795.74979689320105</v>
      </c>
      <c r="AT24" s="31">
        <f t="shared" si="7"/>
        <v>790.59476336749492</v>
      </c>
      <c r="AU24" s="31">
        <f t="shared" si="7"/>
        <v>905.13709686760092</v>
      </c>
      <c r="AV24" s="31">
        <f t="shared" si="7"/>
        <v>834.20204203747437</v>
      </c>
      <c r="AW24" s="31">
        <f t="shared" si="7"/>
        <v>824.91440009956034</v>
      </c>
      <c r="AX24" s="31">
        <f t="shared" si="7"/>
        <v>834.32309583528411</v>
      </c>
      <c r="AY24" s="31">
        <f t="shared" si="8"/>
        <v>865.82136360800985</v>
      </c>
      <c r="AZ24" s="31">
        <f t="shared" si="8"/>
        <v>849.1351981453264</v>
      </c>
      <c r="BA24" s="31">
        <f t="shared" si="8"/>
        <v>833.32583084004148</v>
      </c>
      <c r="BB24" s="31">
        <f t="shared" si="8"/>
        <v>766.71237026742722</v>
      </c>
      <c r="BC24" s="31">
        <f t="shared" si="9"/>
        <v>780.59164875450062</v>
      </c>
      <c r="BD24" s="31">
        <f t="shared" si="9"/>
        <v>756.05174787262501</v>
      </c>
      <c r="BE24" s="31">
        <f t="shared" si="9"/>
        <v>792.87311775662158</v>
      </c>
      <c r="BF24" s="31">
        <f t="shared" si="9"/>
        <v>792.16295269810087</v>
      </c>
      <c r="BG24" s="31">
        <f t="shared" si="9"/>
        <v>772.68785680060284</v>
      </c>
      <c r="BH24" s="31">
        <f t="shared" si="9"/>
        <v>754.23017147207918</v>
      </c>
      <c r="BI24" s="31">
        <f t="shared" si="9"/>
        <v>772.08541827371926</v>
      </c>
      <c r="BJ24" s="31">
        <f t="shared" si="9"/>
        <v>769.11436595585121</v>
      </c>
    </row>
    <row r="25" spans="1:62">
      <c r="B25" s="37">
        <v>16161.000000000002</v>
      </c>
      <c r="C25" s="34">
        <f>VLOOKUP($B25,Plagioclase!$AV$7:$BA$478,3,FALSE)</f>
        <v>0.64252265165981248</v>
      </c>
      <c r="D25" s="34">
        <f>VLOOKUP($B25,Plagioclase!$AV$7:$BA$478,4,FALSE)</f>
        <v>0</v>
      </c>
      <c r="E25" s="29" t="str">
        <f>VLOOKUP($B25,Plagioclase!$AV$7:$BA$478,6,FALSE)</f>
        <v>18eHP06.4</v>
      </c>
      <c r="F25" s="31">
        <f t="shared" si="10"/>
        <v>769.71557697399101</v>
      </c>
      <c r="G25" s="31">
        <f t="shared" si="10"/>
        <v>767.74761666607958</v>
      </c>
      <c r="H25" s="31">
        <f t="shared" si="10"/>
        <v>769.48583653759704</v>
      </c>
      <c r="I25" s="31">
        <f t="shared" si="10"/>
        <v>774.29104649012913</v>
      </c>
      <c r="J25" s="31">
        <f t="shared" si="10"/>
        <v>767.98740561667398</v>
      </c>
      <c r="K25" s="31">
        <f t="shared" si="10"/>
        <v>773.86551485702751</v>
      </c>
      <c r="L25" s="31">
        <f t="shared" si="10"/>
        <v>768.86362815514701</v>
      </c>
      <c r="M25" s="31">
        <f t="shared" si="10"/>
        <v>780.84921685863389</v>
      </c>
      <c r="N25" s="31">
        <f t="shared" si="10"/>
        <v>773.75318111393528</v>
      </c>
      <c r="O25" s="31">
        <f t="shared" si="10"/>
        <v>761.5892194684069</v>
      </c>
      <c r="P25" s="31">
        <f t="shared" si="10"/>
        <v>780.09019341398755</v>
      </c>
      <c r="Q25" s="31">
        <f t="shared" si="10"/>
        <v>830.69057207182721</v>
      </c>
      <c r="R25" s="31">
        <f t="shared" si="10"/>
        <v>773.59068813293777</v>
      </c>
      <c r="S25" s="31">
        <f t="shared" si="10"/>
        <v>755.46145530630326</v>
      </c>
      <c r="T25" s="31">
        <f t="shared" si="10"/>
        <v>827.21388357655485</v>
      </c>
      <c r="U25" s="31">
        <f t="shared" si="10"/>
        <v>744.42690989326218</v>
      </c>
      <c r="V25" s="31">
        <f t="shared" si="6"/>
        <v>765.74044236832549</v>
      </c>
      <c r="W25" s="31">
        <f t="shared" si="6"/>
        <v>767.28244744235337</v>
      </c>
      <c r="X25" s="31">
        <f t="shared" si="6"/>
        <v>776.72236011358621</v>
      </c>
      <c r="Y25" s="31">
        <f t="shared" si="6"/>
        <v>781.88643676067716</v>
      </c>
      <c r="Z25" s="31">
        <f t="shared" si="6"/>
        <v>733.98122601594389</v>
      </c>
      <c r="AA25" s="31">
        <f t="shared" si="6"/>
        <v>762.47063729523222</v>
      </c>
      <c r="AB25" s="31">
        <f t="shared" si="6"/>
        <v>764.54258217551944</v>
      </c>
      <c r="AC25" s="31">
        <f t="shared" si="6"/>
        <v>771.61731435974127</v>
      </c>
      <c r="AD25" s="31">
        <f t="shared" si="6"/>
        <v>783.85546278536128</v>
      </c>
      <c r="AE25" s="31">
        <f t="shared" si="6"/>
        <v>757.86801798733006</v>
      </c>
      <c r="AF25" s="31">
        <f t="shared" si="6"/>
        <v>768.50474078184936</v>
      </c>
      <c r="AG25" s="31">
        <f t="shared" si="6"/>
        <v>888.84171605079007</v>
      </c>
      <c r="AH25" s="31">
        <f t="shared" si="6"/>
        <v>884.96833756912577</v>
      </c>
      <c r="AI25" s="31">
        <f t="shared" si="6"/>
        <v>886.76356402710883</v>
      </c>
      <c r="AJ25" s="31">
        <f t="shared" si="6"/>
        <v>749.90181720857299</v>
      </c>
      <c r="AK25" s="31">
        <f t="shared" si="6"/>
        <v>902.95706240100196</v>
      </c>
      <c r="AL25" s="31">
        <f t="shared" si="7"/>
        <v>904.10790561056285</v>
      </c>
      <c r="AM25" s="31">
        <f t="shared" si="7"/>
        <v>897.1066605534794</v>
      </c>
      <c r="AN25" s="31">
        <f t="shared" si="7"/>
        <v>894.22479305873378</v>
      </c>
      <c r="AO25" s="31">
        <f t="shared" si="7"/>
        <v>870.95476138052925</v>
      </c>
      <c r="AP25" s="31">
        <f t="shared" si="7"/>
        <v>924.09419204640415</v>
      </c>
      <c r="AQ25" s="31">
        <f t="shared" si="7"/>
        <v>775.65376118386723</v>
      </c>
      <c r="AR25" s="31">
        <f t="shared" si="7"/>
        <v>771.67852169875903</v>
      </c>
      <c r="AS25" s="31">
        <f t="shared" si="7"/>
        <v>809.39379720229738</v>
      </c>
      <c r="AT25" s="31">
        <f t="shared" si="7"/>
        <v>804.10433438472944</v>
      </c>
      <c r="AU25" s="31">
        <f t="shared" si="7"/>
        <v>926.37896240906105</v>
      </c>
      <c r="AV25" s="31">
        <f t="shared" si="7"/>
        <v>850.74056892232954</v>
      </c>
      <c r="AW25" s="31">
        <f t="shared" si="7"/>
        <v>841.49197202271955</v>
      </c>
      <c r="AX25" s="31">
        <f t="shared" si="7"/>
        <v>851.24359870466481</v>
      </c>
      <c r="AY25" s="31">
        <f t="shared" si="8"/>
        <v>884.07240391451057</v>
      </c>
      <c r="AZ25" s="31">
        <f t="shared" si="8"/>
        <v>866.97353107462425</v>
      </c>
      <c r="BA25" s="31">
        <f t="shared" si="8"/>
        <v>850.2363876860444</v>
      </c>
      <c r="BB25" s="31">
        <f t="shared" si="8"/>
        <v>779.24672221715161</v>
      </c>
      <c r="BC25" s="31">
        <f t="shared" si="9"/>
        <v>793.85207607564587</v>
      </c>
      <c r="BD25" s="31">
        <f t="shared" si="9"/>
        <v>768.1326565551534</v>
      </c>
      <c r="BE25" s="31">
        <f t="shared" si="9"/>
        <v>806.44524517535717</v>
      </c>
      <c r="BF25" s="31">
        <f t="shared" si="9"/>
        <v>805.93300889341197</v>
      </c>
      <c r="BG25" s="31">
        <f t="shared" si="9"/>
        <v>785.0365949421074</v>
      </c>
      <c r="BH25" s="31">
        <f t="shared" si="9"/>
        <v>765.80863707321976</v>
      </c>
      <c r="BI25" s="31">
        <f t="shared" si="9"/>
        <v>784.73137026258053</v>
      </c>
      <c r="BJ25" s="31">
        <f t="shared" si="9"/>
        <v>782.02488728663286</v>
      </c>
    </row>
    <row r="26" spans="1:62">
      <c r="B26" s="37">
        <v>16164.000000000002</v>
      </c>
      <c r="C26" s="34">
        <f>VLOOKUP($B26,Plagioclase!$AV$7:$BA$478,3,FALSE)</f>
        <v>0.44506709050230248</v>
      </c>
      <c r="D26" s="34">
        <f>VLOOKUP($B26,Plagioclase!$AV$7:$BA$478,4,FALSE)</f>
        <v>0.69540640852295788</v>
      </c>
      <c r="E26" s="29" t="str">
        <f>VLOOKUP($B26,Plagioclase!$AV$7:$BA$478,6,FALSE)</f>
        <v>26dHP01.3</v>
      </c>
      <c r="F26" s="31">
        <f t="shared" si="10"/>
        <v>814.85985469966124</v>
      </c>
      <c r="G26" s="31">
        <f t="shared" si="10"/>
        <v>813.1245475143661</v>
      </c>
      <c r="H26" s="31">
        <f t="shared" si="10"/>
        <v>813.71601899970972</v>
      </c>
      <c r="I26" s="31">
        <f t="shared" si="10"/>
        <v>819.3318645845203</v>
      </c>
      <c r="J26" s="31">
        <f t="shared" si="10"/>
        <v>811.69899513771486</v>
      </c>
      <c r="K26" s="31">
        <f t="shared" si="10"/>
        <v>820.15270454313406</v>
      </c>
      <c r="L26" s="31">
        <f t="shared" si="10"/>
        <v>813.47894825503602</v>
      </c>
      <c r="M26" s="31">
        <f t="shared" si="10"/>
        <v>828.56494638936249</v>
      </c>
      <c r="N26" s="31">
        <f t="shared" si="10"/>
        <v>819.33273233808939</v>
      </c>
      <c r="O26" s="31">
        <f t="shared" si="10"/>
        <v>805.58395117189082</v>
      </c>
      <c r="P26" s="31">
        <f t="shared" si="10"/>
        <v>825.91992364934538</v>
      </c>
      <c r="Q26" s="31">
        <f t="shared" si="10"/>
        <v>887.29813426513135</v>
      </c>
      <c r="R26" s="31">
        <f t="shared" si="10"/>
        <v>819.1747963923732</v>
      </c>
      <c r="S26" s="31">
        <f t="shared" si="10"/>
        <v>799.63050735449463</v>
      </c>
      <c r="T26" s="31">
        <f t="shared" si="10"/>
        <v>884.66824807463456</v>
      </c>
      <c r="U26" s="31">
        <f t="shared" si="10"/>
        <v>785.48361615408305</v>
      </c>
      <c r="V26" s="31">
        <f t="shared" si="6"/>
        <v>810.15813876372943</v>
      </c>
      <c r="W26" s="31">
        <f t="shared" si="6"/>
        <v>812.62797797092423</v>
      </c>
      <c r="X26" s="31">
        <f t="shared" si="6"/>
        <v>822.5614789569903</v>
      </c>
      <c r="Y26" s="31">
        <f t="shared" si="6"/>
        <v>828.18067647027203</v>
      </c>
      <c r="Z26" s="31">
        <f t="shared" si="6"/>
        <v>773.98606540210096</v>
      </c>
      <c r="AA26" s="31">
        <f t="shared" si="6"/>
        <v>805.29998265595134</v>
      </c>
      <c r="AB26" s="31">
        <f t="shared" si="6"/>
        <v>809.41725965463309</v>
      </c>
      <c r="AC26" s="31">
        <f t="shared" si="6"/>
        <v>817.87036934846594</v>
      </c>
      <c r="AD26" s="31">
        <f t="shared" si="6"/>
        <v>834.58966093196943</v>
      </c>
      <c r="AE26" s="31">
        <f t="shared" si="6"/>
        <v>801.47044949147869</v>
      </c>
      <c r="AF26" s="31">
        <f t="shared" si="6"/>
        <v>814.23622148899415</v>
      </c>
      <c r="AG26" s="31">
        <f t="shared" si="6"/>
        <v>963.83039632097905</v>
      </c>
      <c r="AH26" s="31">
        <f t="shared" si="6"/>
        <v>960.25746070048547</v>
      </c>
      <c r="AI26" s="31">
        <f t="shared" si="6"/>
        <v>964.01663300861389</v>
      </c>
      <c r="AJ26" s="31">
        <f t="shared" si="6"/>
        <v>790.98176289701689</v>
      </c>
      <c r="AK26" s="31">
        <f t="shared" si="6"/>
        <v>979.75347396944301</v>
      </c>
      <c r="AL26" s="31">
        <f t="shared" si="7"/>
        <v>983.04427331482464</v>
      </c>
      <c r="AM26" s="31">
        <f t="shared" si="7"/>
        <v>970.9947609357738</v>
      </c>
      <c r="AN26" s="31">
        <f t="shared" si="7"/>
        <v>966.76881994849293</v>
      </c>
      <c r="AO26" s="31">
        <f t="shared" si="7"/>
        <v>941.09535465361716</v>
      </c>
      <c r="AP26" s="31">
        <f t="shared" si="7"/>
        <v>1004.9675686046306</v>
      </c>
      <c r="AQ26" s="31">
        <f t="shared" si="7"/>
        <v>822.68013815109873</v>
      </c>
      <c r="AR26" s="31">
        <f t="shared" si="7"/>
        <v>815.48376243757968</v>
      </c>
      <c r="AS26" s="31">
        <f t="shared" si="7"/>
        <v>861.44742538620665</v>
      </c>
      <c r="AT26" s="31">
        <f t="shared" si="7"/>
        <v>855.55853824610438</v>
      </c>
      <c r="AU26" s="31">
        <f t="shared" si="7"/>
        <v>1012.1105661406301</v>
      </c>
      <c r="AV26" s="31">
        <f t="shared" si="7"/>
        <v>915.26053927071473</v>
      </c>
      <c r="AW26" s="31">
        <f t="shared" si="7"/>
        <v>906.08856431371407</v>
      </c>
      <c r="AX26" s="31">
        <f t="shared" si="7"/>
        <v>917.39303615880874</v>
      </c>
      <c r="AY26" s="31">
        <f t="shared" si="8"/>
        <v>956.25039626566911</v>
      </c>
      <c r="AZ26" s="31">
        <f t="shared" si="8"/>
        <v>937.20704362315939</v>
      </c>
      <c r="BA26" s="31">
        <f t="shared" si="8"/>
        <v>916.33372043984411</v>
      </c>
      <c r="BB26" s="31">
        <f t="shared" si="8"/>
        <v>826.50829193695847</v>
      </c>
      <c r="BC26" s="31">
        <f t="shared" si="9"/>
        <v>844.19364432341024</v>
      </c>
      <c r="BD26" s="31">
        <f t="shared" si="9"/>
        <v>813.46795778241733</v>
      </c>
      <c r="BE26" s="31">
        <f t="shared" si="9"/>
        <v>858.17715800352141</v>
      </c>
      <c r="BF26" s="31">
        <f t="shared" si="9"/>
        <v>858.47144815662284</v>
      </c>
      <c r="BG26" s="31">
        <f t="shared" si="9"/>
        <v>831.60277515974747</v>
      </c>
      <c r="BH26" s="31">
        <f t="shared" si="9"/>
        <v>809.11486644030413</v>
      </c>
      <c r="BI26" s="31">
        <f t="shared" si="9"/>
        <v>832.49431458377205</v>
      </c>
      <c r="BJ26" s="31">
        <f t="shared" si="9"/>
        <v>830.83358161294211</v>
      </c>
    </row>
    <row r="27" spans="1:62">
      <c r="B27" s="37">
        <v>16165</v>
      </c>
      <c r="C27" s="34">
        <f>VLOOKUP($B27,Plagioclase!$AV$7:$BA$478,3,FALSE)</f>
        <v>0.45163401861372482</v>
      </c>
      <c r="D27" s="34">
        <f>VLOOKUP($B27,Plagioclase!$AV$7:$BA$478,4,FALSE)</f>
        <v>0.60846299450079133</v>
      </c>
      <c r="E27" s="29" t="str">
        <f>VLOOKUP($B27,Plagioclase!$AV$7:$BA$478,6,FALSE)</f>
        <v>26dHP01.4</v>
      </c>
      <c r="F27" s="31">
        <f t="shared" si="10"/>
        <v>814.0351642923066</v>
      </c>
      <c r="G27" s="31">
        <f t="shared" si="10"/>
        <v>812.29746919774141</v>
      </c>
      <c r="H27" s="31">
        <f t="shared" si="10"/>
        <v>812.91023518702389</v>
      </c>
      <c r="I27" s="31">
        <f t="shared" si="10"/>
        <v>818.50386153417219</v>
      </c>
      <c r="J27" s="31">
        <f t="shared" si="10"/>
        <v>810.9054898387493</v>
      </c>
      <c r="K27" s="31">
        <f t="shared" si="10"/>
        <v>819.29955355702293</v>
      </c>
      <c r="L27" s="31">
        <f t="shared" si="10"/>
        <v>812.66606062370386</v>
      </c>
      <c r="M27" s="31">
        <f t="shared" si="10"/>
        <v>827.67360671611925</v>
      </c>
      <c r="N27" s="31">
        <f t="shared" si="10"/>
        <v>818.49429657151188</v>
      </c>
      <c r="O27" s="31">
        <f t="shared" si="10"/>
        <v>804.79226897839806</v>
      </c>
      <c r="P27" s="31">
        <f t="shared" si="10"/>
        <v>825.06879672577031</v>
      </c>
      <c r="Q27" s="31">
        <f t="shared" si="10"/>
        <v>886.15012334923779</v>
      </c>
      <c r="R27" s="31">
        <f t="shared" si="10"/>
        <v>818.33646088250077</v>
      </c>
      <c r="S27" s="31">
        <f t="shared" si="10"/>
        <v>798.84269659185463</v>
      </c>
      <c r="T27" s="31">
        <f t="shared" si="10"/>
        <v>883.505368068032</v>
      </c>
      <c r="U27" s="31">
        <f t="shared" si="10"/>
        <v>784.77026896874656</v>
      </c>
      <c r="V27" s="31">
        <f t="shared" si="6"/>
        <v>809.35297315363221</v>
      </c>
      <c r="W27" s="31">
        <f t="shared" si="6"/>
        <v>811.80210153165183</v>
      </c>
      <c r="X27" s="31">
        <f t="shared" si="6"/>
        <v>821.71415194355643</v>
      </c>
      <c r="Y27" s="31">
        <f t="shared" si="6"/>
        <v>827.3177691710797</v>
      </c>
      <c r="Z27" s="31">
        <f t="shared" si="6"/>
        <v>773.30515471322121</v>
      </c>
      <c r="AA27" s="31">
        <f t="shared" si="6"/>
        <v>804.53066570007525</v>
      </c>
      <c r="AB27" s="31">
        <f t="shared" si="6"/>
        <v>808.60426203361351</v>
      </c>
      <c r="AC27" s="31">
        <f t="shared" si="6"/>
        <v>817.02064825952709</v>
      </c>
      <c r="AD27" s="31">
        <f t="shared" si="6"/>
        <v>833.63083189231895</v>
      </c>
      <c r="AE27" s="31">
        <f t="shared" si="6"/>
        <v>800.69107264401362</v>
      </c>
      <c r="AF27" s="31">
        <f t="shared" si="6"/>
        <v>813.40098274585432</v>
      </c>
      <c r="AG27" s="31">
        <f t="shared" si="6"/>
        <v>962.16088507537199</v>
      </c>
      <c r="AH27" s="31">
        <f t="shared" si="6"/>
        <v>958.58582309867654</v>
      </c>
      <c r="AI27" s="31">
        <f t="shared" si="6"/>
        <v>962.29243905454643</v>
      </c>
      <c r="AJ27" s="31">
        <f t="shared" si="6"/>
        <v>790.26161016580852</v>
      </c>
      <c r="AK27" s="31">
        <f t="shared" si="6"/>
        <v>978.01793986288192</v>
      </c>
      <c r="AL27" s="31">
        <f t="shared" si="7"/>
        <v>981.25181527208167</v>
      </c>
      <c r="AM27" s="31">
        <f t="shared" si="7"/>
        <v>969.34172090170944</v>
      </c>
      <c r="AN27" s="31">
        <f t="shared" si="7"/>
        <v>965.1537705123975</v>
      </c>
      <c r="AO27" s="31">
        <f t="shared" si="7"/>
        <v>939.57227090380263</v>
      </c>
      <c r="AP27" s="31">
        <f t="shared" si="7"/>
        <v>1003.0962921708903</v>
      </c>
      <c r="AQ27" s="31">
        <f t="shared" si="7"/>
        <v>821.8095156006367</v>
      </c>
      <c r="AR27" s="31">
        <f t="shared" si="7"/>
        <v>814.68406811677676</v>
      </c>
      <c r="AS27" s="31">
        <f t="shared" si="7"/>
        <v>860.42795424202529</v>
      </c>
      <c r="AT27" s="31">
        <f t="shared" si="7"/>
        <v>854.55871376167613</v>
      </c>
      <c r="AU27" s="31">
        <f t="shared" si="7"/>
        <v>1010.1068694608003</v>
      </c>
      <c r="AV27" s="31">
        <f t="shared" si="7"/>
        <v>913.901632432062</v>
      </c>
      <c r="AW27" s="31">
        <f t="shared" si="7"/>
        <v>904.74047400624852</v>
      </c>
      <c r="AX27" s="31">
        <f t="shared" si="7"/>
        <v>915.9944321858344</v>
      </c>
      <c r="AY27" s="31">
        <f t="shared" si="8"/>
        <v>954.65845649169216</v>
      </c>
      <c r="AZ27" s="31">
        <f t="shared" si="8"/>
        <v>935.68721759161383</v>
      </c>
      <c r="BA27" s="31">
        <f t="shared" si="8"/>
        <v>914.93775737850785</v>
      </c>
      <c r="BB27" s="31">
        <f t="shared" si="8"/>
        <v>825.62839638209869</v>
      </c>
      <c r="BC27" s="31">
        <f t="shared" si="9"/>
        <v>843.23059706618335</v>
      </c>
      <c r="BD27" s="31">
        <f t="shared" si="9"/>
        <v>812.64126506034938</v>
      </c>
      <c r="BE27" s="31">
        <f t="shared" si="9"/>
        <v>857.16837742359428</v>
      </c>
      <c r="BF27" s="31">
        <f t="shared" si="9"/>
        <v>857.44564111905368</v>
      </c>
      <c r="BG27" s="31">
        <f t="shared" si="9"/>
        <v>830.73045760482557</v>
      </c>
      <c r="BH27" s="31">
        <f t="shared" si="9"/>
        <v>808.33208870218266</v>
      </c>
      <c r="BI27" s="31">
        <f t="shared" si="9"/>
        <v>831.59725964556458</v>
      </c>
      <c r="BJ27" s="31">
        <f t="shared" si="9"/>
        <v>829.91783947528177</v>
      </c>
    </row>
    <row r="28" spans="1:62">
      <c r="B28" s="37">
        <v>16167.000000000002</v>
      </c>
      <c r="C28" s="34">
        <f>VLOOKUP($B28,Plagioclase!$AV$7:$BA$478,3,FALSE)</f>
        <v>0.5749237689804918</v>
      </c>
      <c r="D28" s="34">
        <f>VLOOKUP($B28,Plagioclase!$AV$7:$BA$478,4,FALSE)</f>
        <v>0</v>
      </c>
      <c r="E28" s="29" t="str">
        <f>VLOOKUP($B28,Plagioclase!$AV$7:$BA$478,6,FALSE)</f>
        <v>26dHP01.6</v>
      </c>
      <c r="F28" s="31">
        <f t="shared" si="10"/>
        <v>786.55269319546517</v>
      </c>
      <c r="G28" s="31">
        <f t="shared" si="10"/>
        <v>784.6756756452404</v>
      </c>
      <c r="H28" s="31">
        <f t="shared" si="10"/>
        <v>785.99530552071099</v>
      </c>
      <c r="I28" s="31">
        <f t="shared" si="10"/>
        <v>791.07399931576276</v>
      </c>
      <c r="J28" s="31">
        <f t="shared" si="10"/>
        <v>784.3157676812333</v>
      </c>
      <c r="K28" s="31">
        <f t="shared" si="10"/>
        <v>791.096899975459</v>
      </c>
      <c r="L28" s="31">
        <f t="shared" si="10"/>
        <v>785.51387979317394</v>
      </c>
      <c r="M28" s="31">
        <f t="shared" si="10"/>
        <v>798.56486811048705</v>
      </c>
      <c r="N28" s="31">
        <f t="shared" si="10"/>
        <v>790.73139014750234</v>
      </c>
      <c r="O28" s="31">
        <f t="shared" si="10"/>
        <v>778.043265421706</v>
      </c>
      <c r="P28" s="31">
        <f t="shared" si="10"/>
        <v>797.1344970197116</v>
      </c>
      <c r="Q28" s="31">
        <f t="shared" si="10"/>
        <v>851.35405229607102</v>
      </c>
      <c r="R28" s="31">
        <f t="shared" si="10"/>
        <v>790.57113844461662</v>
      </c>
      <c r="S28" s="31">
        <f t="shared" si="10"/>
        <v>772.00147025606304</v>
      </c>
      <c r="T28" s="31">
        <f t="shared" si="10"/>
        <v>848.18653458976326</v>
      </c>
      <c r="U28" s="31">
        <f t="shared" si="10"/>
        <v>759.88190802214865</v>
      </c>
      <c r="V28" s="31">
        <f t="shared" si="6"/>
        <v>782.33125876006454</v>
      </c>
      <c r="W28" s="31">
        <f t="shared" si="6"/>
        <v>784.2009874694196</v>
      </c>
      <c r="X28" s="31">
        <f t="shared" si="6"/>
        <v>793.78252441071697</v>
      </c>
      <c r="Y28" s="31">
        <f t="shared" si="6"/>
        <v>799.0903162020428</v>
      </c>
      <c r="Z28" s="31">
        <f t="shared" si="6"/>
        <v>749.0920905001858</v>
      </c>
      <c r="AA28" s="31">
        <f t="shared" si="6"/>
        <v>778.50115523311945</v>
      </c>
      <c r="AB28" s="31">
        <f t="shared" si="6"/>
        <v>781.30226225440981</v>
      </c>
      <c r="AC28" s="31">
        <f t="shared" si="6"/>
        <v>788.84498680374293</v>
      </c>
      <c r="AD28" s="31">
        <f t="shared" si="6"/>
        <v>802.63385623544934</v>
      </c>
      <c r="AE28" s="31">
        <f t="shared" si="6"/>
        <v>774.194561102791</v>
      </c>
      <c r="AF28" s="31">
        <f t="shared" si="6"/>
        <v>785.55720147546333</v>
      </c>
      <c r="AG28" s="31">
        <f t="shared" si="6"/>
        <v>915.58395644038762</v>
      </c>
      <c r="AH28" s="31">
        <f t="shared" si="6"/>
        <v>911.8279802092369</v>
      </c>
      <c r="AI28" s="31">
        <f t="shared" si="6"/>
        <v>914.27797951979926</v>
      </c>
      <c r="AJ28" s="31">
        <f t="shared" si="6"/>
        <v>765.34514732891364</v>
      </c>
      <c r="AK28" s="31">
        <f t="shared" si="6"/>
        <v>930.25123703116003</v>
      </c>
      <c r="AL28" s="31">
        <f t="shared" si="7"/>
        <v>932.11620720193298</v>
      </c>
      <c r="AM28" s="31">
        <f t="shared" si="7"/>
        <v>923.44366622347741</v>
      </c>
      <c r="AN28" s="31">
        <f t="shared" si="7"/>
        <v>920.11852046118167</v>
      </c>
      <c r="AO28" s="31">
        <f t="shared" si="7"/>
        <v>896.12570117974803</v>
      </c>
      <c r="AP28" s="31">
        <f t="shared" si="7"/>
        <v>952.66996866020406</v>
      </c>
      <c r="AQ28" s="31">
        <f t="shared" si="7"/>
        <v>793.14290968629723</v>
      </c>
      <c r="AR28" s="31">
        <f t="shared" si="7"/>
        <v>788.02710143346769</v>
      </c>
      <c r="AS28" s="31">
        <f t="shared" si="7"/>
        <v>828.54014123817944</v>
      </c>
      <c r="AT28" s="31">
        <f t="shared" si="7"/>
        <v>823.0591345202082</v>
      </c>
      <c r="AU28" s="31">
        <f t="shared" si="7"/>
        <v>956.5622614367395</v>
      </c>
      <c r="AV28" s="31">
        <f t="shared" si="7"/>
        <v>874.06864805634234</v>
      </c>
      <c r="AW28" s="31">
        <f t="shared" si="7"/>
        <v>864.88411773874793</v>
      </c>
      <c r="AX28" s="31">
        <f t="shared" si="7"/>
        <v>875.12993411532955</v>
      </c>
      <c r="AY28" s="31">
        <f t="shared" si="8"/>
        <v>909.88271524359436</v>
      </c>
      <c r="AZ28" s="31">
        <f t="shared" si="8"/>
        <v>892.19243817769359</v>
      </c>
      <c r="BA28" s="31">
        <f t="shared" si="8"/>
        <v>874.10895363853376</v>
      </c>
      <c r="BB28" s="31">
        <f t="shared" si="8"/>
        <v>796.80628613959209</v>
      </c>
      <c r="BC28" s="31">
        <f t="shared" si="9"/>
        <v>812.4521965210173</v>
      </c>
      <c r="BD28" s="31">
        <f t="shared" si="9"/>
        <v>785.04431424625807</v>
      </c>
      <c r="BE28" s="31">
        <f t="shared" si="9"/>
        <v>825.48924118292518</v>
      </c>
      <c r="BF28" s="31">
        <f t="shared" si="9"/>
        <v>825.26364265630752</v>
      </c>
      <c r="BG28" s="31">
        <f t="shared" si="9"/>
        <v>802.32602292628519</v>
      </c>
      <c r="BH28" s="31">
        <f t="shared" si="9"/>
        <v>781.99895104833683</v>
      </c>
      <c r="BI28" s="31">
        <f t="shared" si="9"/>
        <v>802.44915963907226</v>
      </c>
      <c r="BJ28" s="31">
        <f t="shared" si="9"/>
        <v>800.12573309991797</v>
      </c>
    </row>
    <row r="29" spans="1:62">
      <c r="B29" s="37">
        <v>16169</v>
      </c>
      <c r="C29" s="34">
        <f>VLOOKUP($B29,Plagioclase!$AV$7:$BA$478,3,FALSE)</f>
        <v>0.69198760076402566</v>
      </c>
      <c r="D29" s="34">
        <f>VLOOKUP($B29,Plagioclase!$AV$7:$BA$478,4,FALSE)</f>
        <v>0</v>
      </c>
      <c r="E29" s="29" t="str">
        <f>VLOOKUP($B29,Plagioclase!$AV$7:$BA$478,6,FALSE)</f>
        <v>26dHP02.2</v>
      </c>
      <c r="F29" s="31">
        <f t="shared" si="10"/>
        <v>758.7767530769039</v>
      </c>
      <c r="G29" s="31">
        <f t="shared" si="10"/>
        <v>756.75181318540092</v>
      </c>
      <c r="H29" s="31">
        <f t="shared" si="10"/>
        <v>758.75446727852102</v>
      </c>
      <c r="I29" s="31">
        <f t="shared" si="10"/>
        <v>763.38524752985325</v>
      </c>
      <c r="J29" s="31">
        <f t="shared" si="10"/>
        <v>757.37115158585163</v>
      </c>
      <c r="K29" s="31">
        <f t="shared" si="10"/>
        <v>762.67621836424121</v>
      </c>
      <c r="L29" s="31">
        <f t="shared" si="10"/>
        <v>758.0432890666533</v>
      </c>
      <c r="M29" s="31">
        <f t="shared" si="10"/>
        <v>769.35199666209803</v>
      </c>
      <c r="N29" s="31">
        <f t="shared" si="10"/>
        <v>762.72398955829169</v>
      </c>
      <c r="O29" s="31">
        <f t="shared" si="10"/>
        <v>750.89504454354449</v>
      </c>
      <c r="P29" s="31">
        <f t="shared" si="10"/>
        <v>769.01744034837736</v>
      </c>
      <c r="Q29" s="31">
        <f t="shared" si="10"/>
        <v>817.32169504035517</v>
      </c>
      <c r="R29" s="31">
        <f t="shared" si="10"/>
        <v>762.56012404217029</v>
      </c>
      <c r="S29" s="31">
        <f t="shared" si="10"/>
        <v>744.71451777328866</v>
      </c>
      <c r="T29" s="31">
        <f t="shared" si="10"/>
        <v>813.6524360332977</v>
      </c>
      <c r="U29" s="31">
        <f t="shared" si="10"/>
        <v>734.37040295364875</v>
      </c>
      <c r="V29" s="31">
        <f t="shared" si="6"/>
        <v>754.95856727777448</v>
      </c>
      <c r="W29" s="31">
        <f t="shared" si="6"/>
        <v>756.29279360002545</v>
      </c>
      <c r="X29" s="31">
        <f t="shared" si="6"/>
        <v>765.64050889540329</v>
      </c>
      <c r="Y29" s="31">
        <f t="shared" si="6"/>
        <v>770.71225988856861</v>
      </c>
      <c r="Z29" s="31">
        <f t="shared" si="6"/>
        <v>724.14570013076491</v>
      </c>
      <c r="AA29" s="31">
        <f t="shared" si="6"/>
        <v>752.04457684606439</v>
      </c>
      <c r="AB29" s="31">
        <f t="shared" si="6"/>
        <v>753.65417099670492</v>
      </c>
      <c r="AC29" s="31">
        <f t="shared" si="6"/>
        <v>760.43100703731682</v>
      </c>
      <c r="AD29" s="31">
        <f t="shared" si="6"/>
        <v>771.68743415835058</v>
      </c>
      <c r="AE29" s="31">
        <f t="shared" si="6"/>
        <v>747.25557021946236</v>
      </c>
      <c r="AF29" s="31">
        <f t="shared" si="6"/>
        <v>757.43006515670652</v>
      </c>
      <c r="AG29" s="31">
        <f t="shared" si="6"/>
        <v>871.65929512118635</v>
      </c>
      <c r="AH29" s="31">
        <f t="shared" si="6"/>
        <v>867.71542365235825</v>
      </c>
      <c r="AI29" s="31">
        <f t="shared" si="6"/>
        <v>869.10504869665772</v>
      </c>
      <c r="AJ29" s="31">
        <f t="shared" si="6"/>
        <v>739.85138794521777</v>
      </c>
      <c r="AK29" s="31">
        <f t="shared" si="6"/>
        <v>885.42544758501492</v>
      </c>
      <c r="AL29" s="31">
        <f t="shared" si="7"/>
        <v>886.13443742959078</v>
      </c>
      <c r="AM29" s="31">
        <f t="shared" si="7"/>
        <v>880.17077539581999</v>
      </c>
      <c r="AN29" s="31">
        <f t="shared" si="7"/>
        <v>877.56527803544498</v>
      </c>
      <c r="AO29" s="31">
        <f t="shared" si="7"/>
        <v>854.75557005016833</v>
      </c>
      <c r="AP29" s="31">
        <f t="shared" si="7"/>
        <v>905.75882299910347</v>
      </c>
      <c r="AQ29" s="31">
        <f t="shared" si="7"/>
        <v>764.30109508400972</v>
      </c>
      <c r="AR29" s="31">
        <f t="shared" si="7"/>
        <v>761.04850001156831</v>
      </c>
      <c r="AS29" s="31">
        <f t="shared" si="7"/>
        <v>796.98575230427662</v>
      </c>
      <c r="AT29" s="31">
        <f t="shared" si="7"/>
        <v>791.8186122662413</v>
      </c>
      <c r="AU29" s="31">
        <f t="shared" si="7"/>
        <v>907.05226119738825</v>
      </c>
      <c r="AV29" s="31">
        <f t="shared" si="7"/>
        <v>835.69728655823326</v>
      </c>
      <c r="AW29" s="31">
        <f t="shared" si="7"/>
        <v>826.41295726238593</v>
      </c>
      <c r="AX29" s="31">
        <f t="shared" si="7"/>
        <v>835.852404235378</v>
      </c>
      <c r="AY29" s="31">
        <f t="shared" si="8"/>
        <v>867.4698273250159</v>
      </c>
      <c r="AZ29" s="31">
        <f t="shared" si="8"/>
        <v>850.74657227766522</v>
      </c>
      <c r="BA29" s="31">
        <f t="shared" si="8"/>
        <v>834.85423375136668</v>
      </c>
      <c r="BB29" s="31">
        <f t="shared" si="8"/>
        <v>767.84853211159077</v>
      </c>
      <c r="BC29" s="31">
        <f t="shared" si="9"/>
        <v>781.79305243016017</v>
      </c>
      <c r="BD29" s="31">
        <f t="shared" si="9"/>
        <v>757.14711861541457</v>
      </c>
      <c r="BE29" s="31">
        <f t="shared" si="9"/>
        <v>794.10259889633164</v>
      </c>
      <c r="BF29" s="31">
        <f t="shared" si="9"/>
        <v>793.41014635901354</v>
      </c>
      <c r="BG29" s="31">
        <f t="shared" si="9"/>
        <v>773.80744171708272</v>
      </c>
      <c r="BH29" s="31">
        <f t="shared" si="9"/>
        <v>755.28042791466362</v>
      </c>
      <c r="BI29" s="31">
        <f t="shared" si="9"/>
        <v>773.23164982666469</v>
      </c>
      <c r="BJ29" s="31">
        <f t="shared" si="9"/>
        <v>770.2842750481949</v>
      </c>
    </row>
    <row r="30" spans="1:62">
      <c r="B30" s="37">
        <v>15205</v>
      </c>
      <c r="C30" s="34">
        <f>VLOOKUP($B30,Plagioclase!$AV$7:$BA$478,3,FALSE)</f>
        <v>0.63511201670339423</v>
      </c>
      <c r="D30" s="34">
        <f>VLOOKUP($B30,Plagioclase!$AV$7:$BA$478,4,FALSE)</f>
        <v>0</v>
      </c>
      <c r="E30" s="29" t="str">
        <f>VLOOKUP($B30,Plagioclase!$AV$7:$BA$478,6,FALSE)</f>
        <v>26eHP01.1</v>
      </c>
      <c r="F30" s="31">
        <f t="shared" si="10"/>
        <v>771.44758427461954</v>
      </c>
      <c r="G30" s="31">
        <f t="shared" si="10"/>
        <v>769.48879787069075</v>
      </c>
      <c r="H30" s="31">
        <f t="shared" si="10"/>
        <v>771.18460526574574</v>
      </c>
      <c r="I30" s="31">
        <f t="shared" si="10"/>
        <v>776.01766842399081</v>
      </c>
      <c r="J30" s="31">
        <f t="shared" si="10"/>
        <v>769.66776337081831</v>
      </c>
      <c r="K30" s="31">
        <f t="shared" si="10"/>
        <v>775.63759094309842</v>
      </c>
      <c r="L30" s="31">
        <f t="shared" si="10"/>
        <v>770.57666424934393</v>
      </c>
      <c r="M30" s="31">
        <f t="shared" si="10"/>
        <v>782.67053158450051</v>
      </c>
      <c r="N30" s="31">
        <f t="shared" si="10"/>
        <v>775.49959061454308</v>
      </c>
      <c r="O30" s="31">
        <f t="shared" si="10"/>
        <v>763.2821847673157</v>
      </c>
      <c r="P30" s="31">
        <f t="shared" si="10"/>
        <v>781.84345542121616</v>
      </c>
      <c r="Q30" s="31">
        <f t="shared" si="10"/>
        <v>832.81137068971236</v>
      </c>
      <c r="R30" s="31">
        <f t="shared" si="10"/>
        <v>775.33732099184829</v>
      </c>
      <c r="S30" s="31">
        <f t="shared" si="10"/>
        <v>757.16299807707981</v>
      </c>
      <c r="T30" s="31">
        <f t="shared" si="10"/>
        <v>829.36576926573991</v>
      </c>
      <c r="U30" s="31">
        <f t="shared" si="10"/>
        <v>746.01808532947382</v>
      </c>
      <c r="V30" s="31">
        <f t="shared" si="6"/>
        <v>767.44737738302126</v>
      </c>
      <c r="W30" s="31">
        <f t="shared" si="6"/>
        <v>769.02265243448494</v>
      </c>
      <c r="X30" s="31">
        <f t="shared" si="6"/>
        <v>778.47714980382409</v>
      </c>
      <c r="Y30" s="31">
        <f t="shared" si="6"/>
        <v>783.65592029171523</v>
      </c>
      <c r="Z30" s="31">
        <f t="shared" si="6"/>
        <v>735.53722425655053</v>
      </c>
      <c r="AA30" s="31">
        <f t="shared" si="6"/>
        <v>764.12064117924058</v>
      </c>
      <c r="AB30" s="31">
        <f t="shared" si="6"/>
        <v>766.26661482225029</v>
      </c>
      <c r="AC30" s="31">
        <f t="shared" si="6"/>
        <v>773.38895881276278</v>
      </c>
      <c r="AD30" s="31">
        <f t="shared" si="6"/>
        <v>785.78440625576707</v>
      </c>
      <c r="AE30" s="31">
        <f t="shared" si="6"/>
        <v>759.54796277100684</v>
      </c>
      <c r="AF30" s="31">
        <f t="shared" si="6"/>
        <v>770.25855106036431</v>
      </c>
      <c r="AG30" s="31">
        <f t="shared" si="6"/>
        <v>891.57606504251009</v>
      </c>
      <c r="AH30" s="31">
        <f t="shared" si="6"/>
        <v>887.71426098480413</v>
      </c>
      <c r="AI30" s="31">
        <f t="shared" si="6"/>
        <v>889.57512236222931</v>
      </c>
      <c r="AJ30" s="31">
        <f t="shared" si="6"/>
        <v>751.49192158722951</v>
      </c>
      <c r="AK30" s="31">
        <f t="shared" si="6"/>
        <v>905.74737295467628</v>
      </c>
      <c r="AL30" s="31">
        <f t="shared" si="7"/>
        <v>906.96975585625239</v>
      </c>
      <c r="AM30" s="31">
        <f t="shared" si="7"/>
        <v>899.80077794023885</v>
      </c>
      <c r="AN30" s="31">
        <f t="shared" si="7"/>
        <v>896.87431979560631</v>
      </c>
      <c r="AO30" s="31">
        <f t="shared" si="7"/>
        <v>873.53073880960562</v>
      </c>
      <c r="AP30" s="31">
        <f t="shared" si="7"/>
        <v>927.01382941652571</v>
      </c>
      <c r="AQ30" s="31">
        <f t="shared" si="7"/>
        <v>777.45200011949817</v>
      </c>
      <c r="AR30" s="31">
        <f t="shared" si="7"/>
        <v>773.36101363930345</v>
      </c>
      <c r="AS30" s="31">
        <f t="shared" si="7"/>
        <v>811.36067444658408</v>
      </c>
      <c r="AT30" s="31">
        <f t="shared" si="7"/>
        <v>806.05169077205358</v>
      </c>
      <c r="AU30" s="31">
        <f t="shared" si="7"/>
        <v>929.45934604112279</v>
      </c>
      <c r="AV30" s="31">
        <f t="shared" si="7"/>
        <v>853.13056066170873</v>
      </c>
      <c r="AW30" s="31">
        <f t="shared" si="7"/>
        <v>843.88804351607848</v>
      </c>
      <c r="AX30" s="31">
        <f t="shared" si="7"/>
        <v>853.68973658787161</v>
      </c>
      <c r="AY30" s="31">
        <f t="shared" si="8"/>
        <v>886.71311114216121</v>
      </c>
      <c r="AZ30" s="31">
        <f t="shared" si="8"/>
        <v>869.55414794943988</v>
      </c>
      <c r="BA30" s="31">
        <f t="shared" si="8"/>
        <v>852.68110088548258</v>
      </c>
      <c r="BB30" s="31">
        <f t="shared" si="8"/>
        <v>781.05218538641554</v>
      </c>
      <c r="BC30" s="31">
        <f t="shared" si="9"/>
        <v>795.76326905284816</v>
      </c>
      <c r="BD30" s="31">
        <f t="shared" si="9"/>
        <v>769.87218418347959</v>
      </c>
      <c r="BE30" s="31">
        <f t="shared" si="9"/>
        <v>808.40168855554532</v>
      </c>
      <c r="BF30" s="31">
        <f t="shared" si="9"/>
        <v>807.918419715612</v>
      </c>
      <c r="BG30" s="31">
        <f t="shared" si="9"/>
        <v>786.81482675725454</v>
      </c>
      <c r="BH30" s="31">
        <f t="shared" si="9"/>
        <v>767.47493539611912</v>
      </c>
      <c r="BI30" s="31">
        <f t="shared" si="9"/>
        <v>786.5530006989419</v>
      </c>
      <c r="BJ30" s="31">
        <f t="shared" si="9"/>
        <v>783.88523469062363</v>
      </c>
    </row>
    <row r="31" spans="1:62">
      <c r="B31" s="37">
        <v>15206</v>
      </c>
      <c r="C31" s="34">
        <f>VLOOKUP($B31,Plagioclase!$AV$7:$BA$478,3,FALSE)</f>
        <v>0.42863213702991532</v>
      </c>
      <c r="D31" s="34">
        <f>VLOOKUP($B31,Plagioclase!$AV$7:$BA$478,4,FALSE)</f>
        <v>0.91753481802001735</v>
      </c>
      <c r="E31" s="29" t="str">
        <f>VLOOKUP($B31,Plagioclase!$AV$7:$BA$478,6,FALSE)</f>
        <v>26eHP01.2</v>
      </c>
      <c r="F31" s="31">
        <f t="shared" si="10"/>
        <v>817.01730386402198</v>
      </c>
      <c r="G31" s="31">
        <f t="shared" si="10"/>
        <v>815.28847708579394</v>
      </c>
      <c r="H31" s="31">
        <f t="shared" si="10"/>
        <v>815.82374046434018</v>
      </c>
      <c r="I31" s="31">
        <f t="shared" si="10"/>
        <v>821.49758231537783</v>
      </c>
      <c r="J31" s="31">
        <f t="shared" si="10"/>
        <v>813.77455607475019</v>
      </c>
      <c r="K31" s="31">
        <f t="shared" si="10"/>
        <v>822.38464415873216</v>
      </c>
      <c r="L31" s="31">
        <f t="shared" si="10"/>
        <v>815.60542168482823</v>
      </c>
      <c r="M31" s="31">
        <f t="shared" si="10"/>
        <v>830.89669643711898</v>
      </c>
      <c r="N31" s="31">
        <f t="shared" si="10"/>
        <v>821.52595511186712</v>
      </c>
      <c r="O31" s="31">
        <f t="shared" si="10"/>
        <v>807.65533286903349</v>
      </c>
      <c r="P31" s="31">
        <f t="shared" si="10"/>
        <v>828.14591858660867</v>
      </c>
      <c r="Q31" s="31">
        <f t="shared" si="10"/>
        <v>890.30036616430004</v>
      </c>
      <c r="R31" s="31">
        <f t="shared" si="10"/>
        <v>821.36777140319043</v>
      </c>
      <c r="S31" s="31">
        <f t="shared" si="10"/>
        <v>801.69230677731196</v>
      </c>
      <c r="T31" s="31">
        <f t="shared" si="10"/>
        <v>887.7100542067484</v>
      </c>
      <c r="U31" s="31">
        <f t="shared" si="10"/>
        <v>787.35050947998559</v>
      </c>
      <c r="V31" s="31">
        <f t="shared" ref="V31:AK37" si="11">(-76.95+0.79*V$11+$D31+39.4*V$8+22.4*V$6+(41.5-2.89*V$11)*V$5)/(-0.065-$C$6*LN((27*V$7*V$3*$C31)/(256*V$8*V$4)))-273.15</f>
        <v>812.26459714972077</v>
      </c>
      <c r="W31" s="31">
        <f t="shared" si="11"/>
        <v>814.78879071322274</v>
      </c>
      <c r="X31" s="31">
        <f t="shared" si="11"/>
        <v>824.77780596560831</v>
      </c>
      <c r="Y31" s="31">
        <f t="shared" si="11"/>
        <v>830.43749195926023</v>
      </c>
      <c r="Z31" s="31">
        <f t="shared" si="11"/>
        <v>775.76858806360826</v>
      </c>
      <c r="AA31" s="31">
        <f t="shared" si="11"/>
        <v>807.31243190881185</v>
      </c>
      <c r="AB31" s="31">
        <f t="shared" si="11"/>
        <v>811.54444852215613</v>
      </c>
      <c r="AC31" s="31">
        <f t="shared" si="11"/>
        <v>820.09350836177839</v>
      </c>
      <c r="AD31" s="31">
        <f t="shared" si="11"/>
        <v>837.09881304813428</v>
      </c>
      <c r="AE31" s="31">
        <f t="shared" si="11"/>
        <v>803.50981127079024</v>
      </c>
      <c r="AF31" s="31">
        <f t="shared" si="11"/>
        <v>816.42155430226728</v>
      </c>
      <c r="AG31" s="31">
        <f t="shared" si="11"/>
        <v>968.20070154451798</v>
      </c>
      <c r="AH31" s="31">
        <f t="shared" si="11"/>
        <v>964.63396536124026</v>
      </c>
      <c r="AI31" s="31">
        <f t="shared" si="11"/>
        <v>968.53175505750676</v>
      </c>
      <c r="AJ31" s="31">
        <f t="shared" si="11"/>
        <v>792.86604896040706</v>
      </c>
      <c r="AK31" s="31">
        <f t="shared" si="11"/>
        <v>984.296081838129</v>
      </c>
      <c r="AL31" s="31">
        <f t="shared" ref="AL31:AX37" si="12">(-76.95+0.79*AL$11+$D31+39.4*AL$8+22.4*AL$6+(41.5-2.89*AL$11)*AL$5)/(-0.065-$C$6*LN((27*AL$7*AL$3*$C31)/(256*AL$8*AL$4)))-273.15</f>
        <v>987.73711843001831</v>
      </c>
      <c r="AM31" s="31">
        <f t="shared" si="12"/>
        <v>975.32035990073234</v>
      </c>
      <c r="AN31" s="31">
        <f t="shared" si="12"/>
        <v>970.99453416731774</v>
      </c>
      <c r="AO31" s="31">
        <f t="shared" si="12"/>
        <v>945.08156479279808</v>
      </c>
      <c r="AP31" s="31">
        <f t="shared" si="12"/>
        <v>1009.8656145432163</v>
      </c>
      <c r="AQ31" s="31">
        <f t="shared" si="12"/>
        <v>824.95788561026154</v>
      </c>
      <c r="AR31" s="31">
        <f t="shared" si="12"/>
        <v>817.57525478350601</v>
      </c>
      <c r="AS31" s="31">
        <f t="shared" si="12"/>
        <v>864.11350030194956</v>
      </c>
      <c r="AT31" s="31">
        <f t="shared" si="12"/>
        <v>858.17345155883288</v>
      </c>
      <c r="AU31" s="31">
        <f t="shared" si="12"/>
        <v>1017.3583794151047</v>
      </c>
      <c r="AV31" s="31">
        <f t="shared" si="12"/>
        <v>918.81624454384098</v>
      </c>
      <c r="AW31" s="31">
        <f t="shared" si="12"/>
        <v>909.61695387095563</v>
      </c>
      <c r="AX31" s="31">
        <f t="shared" si="12"/>
        <v>921.05340991517403</v>
      </c>
      <c r="AY31" s="31">
        <f t="shared" ref="AY31:BB37" si="13">(-76.95+0.79*AY$11+$D31+39.4*AY$8+22.4*AY$6+(41.5-2.89*AY$11)*AY$5)/(-0.065-$C$6*LN((27*AY$7*AY$3*$C31)/(256*AY$8*AY$4)))-273.15</f>
        <v>960.41653557903317</v>
      </c>
      <c r="AZ31" s="31">
        <f t="shared" si="13"/>
        <v>941.18521560646434</v>
      </c>
      <c r="BA31" s="31">
        <f t="shared" si="13"/>
        <v>919.98726120922186</v>
      </c>
      <c r="BB31" s="31">
        <f t="shared" si="13"/>
        <v>828.81008151850904</v>
      </c>
      <c r="BC31" s="31">
        <f t="shared" ref="BC31:BJ37" si="14">(-76.95+0.79*BC$11+$D31+39.4*BC$8+22.4*BC$6+(41.5-2.89*BC$11)*BC$5)/(-0.065-$C$6*LN((27*BC$7*BC$3*$C31)/(256*BC$8*BC$4)))-273.15</f>
        <v>846.7128185417597</v>
      </c>
      <c r="BD31" s="31">
        <f t="shared" si="14"/>
        <v>815.63083396249669</v>
      </c>
      <c r="BE31" s="31">
        <f t="shared" si="14"/>
        <v>860.81540151783281</v>
      </c>
      <c r="BF31" s="31">
        <f t="shared" si="14"/>
        <v>861.15458048419362</v>
      </c>
      <c r="BG31" s="31">
        <f t="shared" si="14"/>
        <v>833.8840412267856</v>
      </c>
      <c r="BH31" s="31">
        <f t="shared" si="14"/>
        <v>811.16241228521869</v>
      </c>
      <c r="BI31" s="31">
        <f t="shared" si="14"/>
        <v>834.84071099301048</v>
      </c>
      <c r="BJ31" s="31">
        <f t="shared" si="14"/>
        <v>833.22945465477449</v>
      </c>
    </row>
    <row r="32" spans="1:62">
      <c r="B32" s="37">
        <v>15207</v>
      </c>
      <c r="C32" s="34">
        <f>VLOOKUP($B32,Plagioclase!$AV$7:$BA$478,3,FALSE)</f>
        <v>0.41377383646475097</v>
      </c>
      <c r="D32" s="34">
        <f>VLOOKUP($B32,Plagioclase!$AV$7:$BA$478,4,FALSE)</f>
        <v>1.1239333777590783</v>
      </c>
      <c r="E32" s="29" t="str">
        <f>VLOOKUP($B32,Plagioclase!$AV$7:$BA$478,6,FALSE)</f>
        <v>26eHP01.3</v>
      </c>
      <c r="F32" s="31">
        <f t="shared" si="10"/>
        <v>819.09714225003506</v>
      </c>
      <c r="G32" s="31">
        <f t="shared" si="10"/>
        <v>817.37489658063635</v>
      </c>
      <c r="H32" s="31">
        <f t="shared" si="10"/>
        <v>817.85529482879849</v>
      </c>
      <c r="I32" s="31">
        <f t="shared" si="10"/>
        <v>823.5848066466059</v>
      </c>
      <c r="J32" s="31">
        <f t="shared" si="10"/>
        <v>815.77507690404207</v>
      </c>
      <c r="K32" s="31">
        <f t="shared" si="10"/>
        <v>824.53627870670709</v>
      </c>
      <c r="L32" s="31">
        <f t="shared" si="10"/>
        <v>817.65528168333378</v>
      </c>
      <c r="M32" s="31">
        <f t="shared" si="10"/>
        <v>833.14432196000541</v>
      </c>
      <c r="N32" s="31">
        <f t="shared" si="10"/>
        <v>823.63997948365147</v>
      </c>
      <c r="O32" s="31">
        <f t="shared" si="10"/>
        <v>809.65268726475063</v>
      </c>
      <c r="P32" s="31">
        <f t="shared" si="10"/>
        <v>830.290884050822</v>
      </c>
      <c r="Q32" s="31">
        <f t="shared" si="10"/>
        <v>893.19221053636727</v>
      </c>
      <c r="R32" s="31">
        <f t="shared" si="10"/>
        <v>823.48157824061934</v>
      </c>
      <c r="S32" s="31">
        <f t="shared" si="10"/>
        <v>803.68122628179901</v>
      </c>
      <c r="T32" s="31">
        <f t="shared" si="10"/>
        <v>890.6409759445072</v>
      </c>
      <c r="U32" s="31">
        <f t="shared" ref="U32:AJ38" si="15">(-76.95+0.79*U$11+$D32+39.4*U$8+22.4*U$6+(41.5-2.89*U$11)*U$5)/(-0.065-$C$6*LN((27*U$7*U$3*$C32)/(256*U$8*U$4)))-273.15</f>
        <v>789.15153688426665</v>
      </c>
      <c r="V32" s="31">
        <f t="shared" si="11"/>
        <v>814.29545024632614</v>
      </c>
      <c r="W32" s="31">
        <f t="shared" si="11"/>
        <v>816.87224804202185</v>
      </c>
      <c r="X32" s="31">
        <f t="shared" si="11"/>
        <v>826.9138563457667</v>
      </c>
      <c r="Y32" s="31">
        <f t="shared" si="11"/>
        <v>832.61214477507713</v>
      </c>
      <c r="Z32" s="31">
        <f t="shared" si="11"/>
        <v>777.48905021453754</v>
      </c>
      <c r="AA32" s="31">
        <f t="shared" si="11"/>
        <v>809.25240554716845</v>
      </c>
      <c r="AB32" s="31">
        <f t="shared" si="11"/>
        <v>813.59561980342767</v>
      </c>
      <c r="AC32" s="31">
        <f t="shared" si="11"/>
        <v>822.23691716347514</v>
      </c>
      <c r="AD32" s="31">
        <f t="shared" si="11"/>
        <v>839.51850863907191</v>
      </c>
      <c r="AE32" s="31">
        <f t="shared" si="11"/>
        <v>805.47657431539949</v>
      </c>
      <c r="AF32" s="31">
        <f t="shared" si="11"/>
        <v>818.52866810289481</v>
      </c>
      <c r="AG32" s="31">
        <f t="shared" si="11"/>
        <v>972.41499470652582</v>
      </c>
      <c r="AH32" s="31">
        <f t="shared" si="11"/>
        <v>968.85513585459023</v>
      </c>
      <c r="AI32" s="31">
        <f t="shared" si="11"/>
        <v>972.88795561462337</v>
      </c>
      <c r="AJ32" s="31">
        <f t="shared" si="11"/>
        <v>794.68323049289631</v>
      </c>
      <c r="AK32" s="31">
        <f t="shared" si="11"/>
        <v>988.67562236476977</v>
      </c>
      <c r="AL32" s="31">
        <f t="shared" si="12"/>
        <v>992.26314537476776</v>
      </c>
      <c r="AM32" s="31">
        <f t="shared" si="12"/>
        <v>979.48931179282738</v>
      </c>
      <c r="AN32" s="31">
        <f t="shared" si="12"/>
        <v>975.06662862323412</v>
      </c>
      <c r="AO32" s="31">
        <f t="shared" si="12"/>
        <v>948.92466819918116</v>
      </c>
      <c r="AP32" s="31">
        <f t="shared" si="12"/>
        <v>1014.5877233516943</v>
      </c>
      <c r="AQ32" s="31">
        <f t="shared" si="12"/>
        <v>827.15378478633136</v>
      </c>
      <c r="AR32" s="31">
        <f t="shared" si="12"/>
        <v>819.59074310711105</v>
      </c>
      <c r="AS32" s="31">
        <f t="shared" si="12"/>
        <v>866.68181819544463</v>
      </c>
      <c r="AT32" s="31">
        <f t="shared" si="12"/>
        <v>860.69284274813265</v>
      </c>
      <c r="AU32" s="31">
        <f t="shared" si="12"/>
        <v>1022.4218811412269</v>
      </c>
      <c r="AV32" s="31">
        <f t="shared" si="12"/>
        <v>922.24348115266287</v>
      </c>
      <c r="AW32" s="31">
        <f t="shared" si="12"/>
        <v>913.01930293996895</v>
      </c>
      <c r="AX32" s="31">
        <f t="shared" si="12"/>
        <v>924.5825828970527</v>
      </c>
      <c r="AY32" s="31">
        <f t="shared" si="13"/>
        <v>964.43254548743096</v>
      </c>
      <c r="AZ32" s="31">
        <f t="shared" si="13"/>
        <v>945.02127512291611</v>
      </c>
      <c r="BA32" s="31">
        <f t="shared" si="13"/>
        <v>923.50996514954784</v>
      </c>
      <c r="BB32" s="31">
        <f t="shared" si="13"/>
        <v>831.0288208767796</v>
      </c>
      <c r="BC32" s="31">
        <f t="shared" si="14"/>
        <v>849.1406978774877</v>
      </c>
      <c r="BD32" s="31">
        <f t="shared" si="14"/>
        <v>817.7161739570405</v>
      </c>
      <c r="BE32" s="31">
        <f t="shared" si="14"/>
        <v>863.35711510122758</v>
      </c>
      <c r="BF32" s="31">
        <f t="shared" si="14"/>
        <v>863.74002100615814</v>
      </c>
      <c r="BG32" s="31">
        <f t="shared" si="14"/>
        <v>836.08199989358411</v>
      </c>
      <c r="BH32" s="31">
        <f t="shared" si="14"/>
        <v>813.13602012517106</v>
      </c>
      <c r="BI32" s="31">
        <f t="shared" si="14"/>
        <v>837.10199931589489</v>
      </c>
      <c r="BJ32" s="31">
        <f t="shared" si="14"/>
        <v>835.53924726724574</v>
      </c>
    </row>
    <row r="33" spans="2:62">
      <c r="B33" s="37">
        <v>15208</v>
      </c>
      <c r="C33" s="34">
        <f>VLOOKUP($B33,Plagioclase!$AV$7:$BA$478,3,FALSE)</f>
        <v>0.43655017976961641</v>
      </c>
      <c r="D33" s="34">
        <f>VLOOKUP($B33,Plagioclase!$AV$7:$BA$478,4,FALSE)</f>
        <v>0.80970839901181879</v>
      </c>
      <c r="E33" s="29" t="str">
        <f>VLOOKUP($B33,Plagioclase!$AV$7:$BA$478,6,FALSE)</f>
        <v>26eHP01.4</v>
      </c>
      <c r="F33" s="31">
        <f t="shared" ref="F33:U39" si="16">(-76.95+0.79*F$11+$D33+39.4*F$8+22.4*F$6+(41.5-2.89*F$11)*F$5)/(-0.065-$C$6*LN((27*F$7*F$3*$C33)/(256*F$8*F$4)))-273.15</f>
        <v>815.96041409698103</v>
      </c>
      <c r="G33" s="31">
        <f t="shared" si="16"/>
        <v>814.22836963918837</v>
      </c>
      <c r="H33" s="31">
        <f t="shared" si="16"/>
        <v>814.79125841588836</v>
      </c>
      <c r="I33" s="31">
        <f t="shared" si="16"/>
        <v>820.43671622274394</v>
      </c>
      <c r="J33" s="31">
        <f t="shared" si="16"/>
        <v>812.75783454129589</v>
      </c>
      <c r="K33" s="31">
        <f t="shared" si="16"/>
        <v>821.29126020669116</v>
      </c>
      <c r="L33" s="31">
        <f t="shared" si="16"/>
        <v>814.56372314013663</v>
      </c>
      <c r="M33" s="31">
        <f t="shared" si="16"/>
        <v>829.75444009293653</v>
      </c>
      <c r="N33" s="31">
        <f t="shared" si="16"/>
        <v>820.45157678878911</v>
      </c>
      <c r="O33" s="31">
        <f t="shared" si="16"/>
        <v>806.64054875230192</v>
      </c>
      <c r="P33" s="31">
        <f t="shared" si="16"/>
        <v>827.05556715891078</v>
      </c>
      <c r="Q33" s="31">
        <f t="shared" si="16"/>
        <v>888.82987817726428</v>
      </c>
      <c r="R33" s="31">
        <f t="shared" si="16"/>
        <v>820.29351174495366</v>
      </c>
      <c r="S33" s="31">
        <f t="shared" si="16"/>
        <v>800.68211490159285</v>
      </c>
      <c r="T33" s="31">
        <f t="shared" si="16"/>
        <v>886.22005722839515</v>
      </c>
      <c r="U33" s="31">
        <f t="shared" si="15"/>
        <v>786.43580868664492</v>
      </c>
      <c r="V33" s="31">
        <f t="shared" si="11"/>
        <v>811.23266796555833</v>
      </c>
      <c r="W33" s="31">
        <f t="shared" si="11"/>
        <v>813.730204895974</v>
      </c>
      <c r="X33" s="31">
        <f t="shared" si="11"/>
        <v>823.69213947906098</v>
      </c>
      <c r="Y33" s="31">
        <f t="shared" si="11"/>
        <v>829.33204333224251</v>
      </c>
      <c r="Z33" s="31">
        <f t="shared" si="11"/>
        <v>774.89512484444901</v>
      </c>
      <c r="AA33" s="31">
        <f t="shared" si="11"/>
        <v>806.32659357241243</v>
      </c>
      <c r="AB33" s="31">
        <f t="shared" si="11"/>
        <v>810.50232004349516</v>
      </c>
      <c r="AC33" s="31">
        <f t="shared" si="11"/>
        <v>819.00440319410893</v>
      </c>
      <c r="AD33" s="31">
        <f t="shared" si="11"/>
        <v>835.8695042013602</v>
      </c>
      <c r="AE33" s="31">
        <f t="shared" si="11"/>
        <v>802.51067960870603</v>
      </c>
      <c r="AF33" s="31">
        <f t="shared" si="11"/>
        <v>815.35095270514546</v>
      </c>
      <c r="AG33" s="31">
        <f t="shared" si="11"/>
        <v>966.05942676990583</v>
      </c>
      <c r="AH33" s="31">
        <f t="shared" si="11"/>
        <v>962.48953673159519</v>
      </c>
      <c r="AI33" s="31">
        <f t="shared" si="11"/>
        <v>966.31922485266875</v>
      </c>
      <c r="AJ33" s="31">
        <f t="shared" si="11"/>
        <v>791.94290507145649</v>
      </c>
      <c r="AK33" s="31">
        <f t="shared" si="11"/>
        <v>982.07049122878868</v>
      </c>
      <c r="AL33" s="31">
        <f t="shared" si="12"/>
        <v>985.43769943015639</v>
      </c>
      <c r="AM33" s="31">
        <f t="shared" si="12"/>
        <v>973.20128004569926</v>
      </c>
      <c r="AN33" s="31">
        <f t="shared" si="12"/>
        <v>968.9244694545506</v>
      </c>
      <c r="AO33" s="31">
        <f t="shared" si="12"/>
        <v>943.1286086337185</v>
      </c>
      <c r="AP33" s="31">
        <f t="shared" si="12"/>
        <v>1007.4658729482022</v>
      </c>
      <c r="AQ33" s="31">
        <f t="shared" si="12"/>
        <v>823.84204496539485</v>
      </c>
      <c r="AR33" s="31">
        <f t="shared" si="12"/>
        <v>816.55077776768451</v>
      </c>
      <c r="AS33" s="31">
        <f t="shared" si="12"/>
        <v>862.80764666969651</v>
      </c>
      <c r="AT33" s="31">
        <f t="shared" si="12"/>
        <v>856.89261424585504</v>
      </c>
      <c r="AU33" s="31">
        <f t="shared" si="12"/>
        <v>1014.7867094346472</v>
      </c>
      <c r="AV33" s="31">
        <f t="shared" si="12"/>
        <v>917.07433613262776</v>
      </c>
      <c r="AW33" s="31">
        <f t="shared" si="12"/>
        <v>907.88824352289805</v>
      </c>
      <c r="AX33" s="31">
        <f t="shared" si="12"/>
        <v>919.26008342312559</v>
      </c>
      <c r="AY33" s="31">
        <f t="shared" si="13"/>
        <v>958.37548791761571</v>
      </c>
      <c r="AZ33" s="31">
        <f t="shared" si="13"/>
        <v>939.23610715563893</v>
      </c>
      <c r="BA33" s="31">
        <f t="shared" si="13"/>
        <v>918.197267524719</v>
      </c>
      <c r="BB33" s="31">
        <f t="shared" si="13"/>
        <v>827.68250464555979</v>
      </c>
      <c r="BC33" s="31">
        <f t="shared" si="14"/>
        <v>845.4787885775105</v>
      </c>
      <c r="BD33" s="31">
        <f t="shared" si="14"/>
        <v>814.57125079494142</v>
      </c>
      <c r="BE33" s="31">
        <f t="shared" si="14"/>
        <v>859.523155066203</v>
      </c>
      <c r="BF33" s="31">
        <f t="shared" si="14"/>
        <v>859.84028243537284</v>
      </c>
      <c r="BG33" s="31">
        <f t="shared" si="14"/>
        <v>832.76664709513682</v>
      </c>
      <c r="BH33" s="31">
        <f t="shared" si="14"/>
        <v>810.15940435844493</v>
      </c>
      <c r="BI33" s="31">
        <f t="shared" si="14"/>
        <v>833.69133713727831</v>
      </c>
      <c r="BJ33" s="31">
        <f t="shared" si="14"/>
        <v>832.05573648309326</v>
      </c>
    </row>
    <row r="34" spans="2:62">
      <c r="B34" s="37">
        <v>15209</v>
      </c>
      <c r="C34" s="34">
        <f>VLOOKUP($B34,Plagioclase!$AV$7:$BA$478,3,FALSE)</f>
        <v>0.4680237904836127</v>
      </c>
      <c r="D34" s="34">
        <f>VLOOKUP($B34,Plagioclase!$AV$7:$BA$478,4,FALSE)</f>
        <v>0.39598424989707937</v>
      </c>
      <c r="E34" s="29" t="str">
        <f>VLOOKUP($B34,Plagioclase!$AV$7:$BA$478,6,FALSE)</f>
        <v>26eHP01.5</v>
      </c>
      <c r="F34" s="31">
        <f t="shared" si="16"/>
        <v>812.05911082984755</v>
      </c>
      <c r="G34" s="31">
        <f t="shared" si="16"/>
        <v>810.31588179560993</v>
      </c>
      <c r="H34" s="31">
        <f t="shared" si="16"/>
        <v>810.97924068678537</v>
      </c>
      <c r="I34" s="31">
        <f t="shared" si="16"/>
        <v>816.51956430177518</v>
      </c>
      <c r="J34" s="31">
        <f t="shared" si="16"/>
        <v>809.0038639051769</v>
      </c>
      <c r="K34" s="31">
        <f t="shared" si="16"/>
        <v>817.25538623848263</v>
      </c>
      <c r="L34" s="31">
        <f t="shared" si="16"/>
        <v>810.71818898760228</v>
      </c>
      <c r="M34" s="31">
        <f t="shared" si="16"/>
        <v>825.53793510100843</v>
      </c>
      <c r="N34" s="31">
        <f t="shared" si="16"/>
        <v>816.48518739314466</v>
      </c>
      <c r="O34" s="31">
        <f t="shared" si="16"/>
        <v>802.89547103163056</v>
      </c>
      <c r="P34" s="31">
        <f t="shared" si="16"/>
        <v>823.02896444586793</v>
      </c>
      <c r="Q34" s="31">
        <f t="shared" si="16"/>
        <v>883.39922482120016</v>
      </c>
      <c r="R34" s="31">
        <f t="shared" si="16"/>
        <v>816.32760315601001</v>
      </c>
      <c r="S34" s="31">
        <f t="shared" si="16"/>
        <v>796.95559591574067</v>
      </c>
      <c r="T34" s="31">
        <f t="shared" si="16"/>
        <v>880.71941634212533</v>
      </c>
      <c r="U34" s="31">
        <f t="shared" si="15"/>
        <v>783.0613863273835</v>
      </c>
      <c r="V34" s="31">
        <f t="shared" si="11"/>
        <v>807.42373679864852</v>
      </c>
      <c r="W34" s="31">
        <f t="shared" si="11"/>
        <v>809.82341324822676</v>
      </c>
      <c r="X34" s="31">
        <f t="shared" si="11"/>
        <v>819.68363227848624</v>
      </c>
      <c r="Y34" s="31">
        <f t="shared" si="11"/>
        <v>825.24973370515806</v>
      </c>
      <c r="Z34" s="31">
        <f t="shared" si="11"/>
        <v>771.67432290454178</v>
      </c>
      <c r="AA34" s="31">
        <f t="shared" si="11"/>
        <v>802.68708724628516</v>
      </c>
      <c r="AB34" s="31">
        <f t="shared" si="11"/>
        <v>806.65646277887652</v>
      </c>
      <c r="AC34" s="31">
        <f t="shared" si="11"/>
        <v>814.98482833348851</v>
      </c>
      <c r="AD34" s="31">
        <f t="shared" si="11"/>
        <v>831.33425453596681</v>
      </c>
      <c r="AE34" s="31">
        <f t="shared" si="11"/>
        <v>798.82387288758434</v>
      </c>
      <c r="AF34" s="31">
        <f t="shared" si="11"/>
        <v>811.39990034563505</v>
      </c>
      <c r="AG34" s="31">
        <f t="shared" si="11"/>
        <v>958.16491693625801</v>
      </c>
      <c r="AH34" s="31">
        <f t="shared" si="11"/>
        <v>954.5852804647551</v>
      </c>
      <c r="AI34" s="31">
        <f t="shared" si="11"/>
        <v>958.16703992577811</v>
      </c>
      <c r="AJ34" s="31">
        <f t="shared" si="11"/>
        <v>788.53611033116556</v>
      </c>
      <c r="AK34" s="31">
        <f t="shared" si="11"/>
        <v>973.86364213146078</v>
      </c>
      <c r="AL34" s="31">
        <f t="shared" si="12"/>
        <v>976.962369884037</v>
      </c>
      <c r="AM34" s="31">
        <f t="shared" si="12"/>
        <v>965.38386398137607</v>
      </c>
      <c r="AN34" s="31">
        <f t="shared" si="12"/>
        <v>961.28642544681395</v>
      </c>
      <c r="AO34" s="31">
        <f t="shared" si="12"/>
        <v>935.9258853513353</v>
      </c>
      <c r="AP34" s="31">
        <f t="shared" si="12"/>
        <v>998.61743839782059</v>
      </c>
      <c r="AQ34" s="31">
        <f t="shared" si="12"/>
        <v>819.72359742222704</v>
      </c>
      <c r="AR34" s="31">
        <f t="shared" si="12"/>
        <v>812.76741971539934</v>
      </c>
      <c r="AS34" s="31">
        <f t="shared" si="12"/>
        <v>857.98484170852714</v>
      </c>
      <c r="AT34" s="31">
        <f t="shared" si="12"/>
        <v>852.16282023364499</v>
      </c>
      <c r="AU34" s="31">
        <f t="shared" si="12"/>
        <v>1005.3138744641961</v>
      </c>
      <c r="AV34" s="31">
        <f t="shared" si="12"/>
        <v>910.64735509542936</v>
      </c>
      <c r="AW34" s="31">
        <f t="shared" si="12"/>
        <v>901.51287030778519</v>
      </c>
      <c r="AX34" s="31">
        <f t="shared" si="12"/>
        <v>912.6458027462005</v>
      </c>
      <c r="AY34" s="31">
        <f t="shared" si="13"/>
        <v>950.84712614570242</v>
      </c>
      <c r="AZ34" s="31">
        <f t="shared" si="13"/>
        <v>932.04901786460334</v>
      </c>
      <c r="BA34" s="31">
        <f t="shared" si="13"/>
        <v>911.59550920819891</v>
      </c>
      <c r="BB34" s="31">
        <f t="shared" si="13"/>
        <v>823.52010644882205</v>
      </c>
      <c r="BC34" s="31">
        <f t="shared" si="14"/>
        <v>840.92312076480619</v>
      </c>
      <c r="BD34" s="31">
        <f t="shared" si="14"/>
        <v>810.66056580701286</v>
      </c>
      <c r="BE34" s="31">
        <f t="shared" si="14"/>
        <v>854.75096480712648</v>
      </c>
      <c r="BF34" s="31">
        <f t="shared" si="14"/>
        <v>854.98774353997544</v>
      </c>
      <c r="BG34" s="31">
        <f t="shared" si="14"/>
        <v>828.63976024115289</v>
      </c>
      <c r="BH34" s="31">
        <f t="shared" si="14"/>
        <v>806.45618716572551</v>
      </c>
      <c r="BI34" s="31">
        <f t="shared" si="14"/>
        <v>829.44766438325257</v>
      </c>
      <c r="BJ34" s="31">
        <f t="shared" si="14"/>
        <v>827.72397014834871</v>
      </c>
    </row>
    <row r="35" spans="2:62">
      <c r="B35" s="37">
        <v>15210</v>
      </c>
      <c r="C35" s="34">
        <f>VLOOKUP($B35,Plagioclase!$AV$7:$BA$478,3,FALSE)</f>
        <v>0.67759226435650954</v>
      </c>
      <c r="D35" s="34">
        <f>VLOOKUP($B35,Plagioclase!$AV$7:$BA$478,4,FALSE)</f>
        <v>0</v>
      </c>
      <c r="E35" s="29" t="str">
        <f>VLOOKUP($B35,Plagioclase!$AV$7:$BA$478,6,FALSE)</f>
        <v>26eHP01.6</v>
      </c>
      <c r="F35" s="31">
        <f t="shared" si="16"/>
        <v>761.85398414475333</v>
      </c>
      <c r="G35" s="31">
        <f t="shared" si="16"/>
        <v>759.84490579778196</v>
      </c>
      <c r="H35" s="31">
        <f t="shared" si="16"/>
        <v>761.77376988072149</v>
      </c>
      <c r="I35" s="31">
        <f t="shared" si="16"/>
        <v>766.45336060945749</v>
      </c>
      <c r="J35" s="31">
        <f t="shared" si="16"/>
        <v>760.35827384717015</v>
      </c>
      <c r="K35" s="31">
        <f t="shared" si="16"/>
        <v>765.82345868562777</v>
      </c>
      <c r="L35" s="31">
        <f t="shared" si="16"/>
        <v>761.08742126056052</v>
      </c>
      <c r="M35" s="31">
        <f t="shared" si="16"/>
        <v>772.58532738764677</v>
      </c>
      <c r="N35" s="31">
        <f t="shared" si="16"/>
        <v>765.82653884689114</v>
      </c>
      <c r="O35" s="31">
        <f t="shared" si="16"/>
        <v>753.90378933241766</v>
      </c>
      <c r="P35" s="31">
        <f t="shared" si="16"/>
        <v>772.1322934720871</v>
      </c>
      <c r="Q35" s="31">
        <f t="shared" si="16"/>
        <v>821.07809846034786</v>
      </c>
      <c r="R35" s="31">
        <f t="shared" si="16"/>
        <v>765.66305278832249</v>
      </c>
      <c r="S35" s="31">
        <f t="shared" si="16"/>
        <v>747.73785920441662</v>
      </c>
      <c r="T35" s="31">
        <f t="shared" si="16"/>
        <v>817.46235662087099</v>
      </c>
      <c r="U35" s="31">
        <f t="shared" si="15"/>
        <v>737.20067275473343</v>
      </c>
      <c r="V35" s="31">
        <f t="shared" si="11"/>
        <v>757.99189102217463</v>
      </c>
      <c r="W35" s="31">
        <f t="shared" si="11"/>
        <v>759.38415900110306</v>
      </c>
      <c r="X35" s="31">
        <f t="shared" si="11"/>
        <v>768.75782541770207</v>
      </c>
      <c r="Y35" s="31">
        <f t="shared" si="11"/>
        <v>773.85546570976965</v>
      </c>
      <c r="Z35" s="31">
        <f t="shared" si="11"/>
        <v>726.9140126215998</v>
      </c>
      <c r="AA35" s="31">
        <f t="shared" si="11"/>
        <v>754.97845931351605</v>
      </c>
      <c r="AB35" s="31">
        <f t="shared" si="11"/>
        <v>756.71721207271719</v>
      </c>
      <c r="AC35" s="31">
        <f t="shared" si="11"/>
        <v>763.57736056071565</v>
      </c>
      <c r="AD35" s="31">
        <f t="shared" si="11"/>
        <v>775.10791316353686</v>
      </c>
      <c r="AE35" s="31">
        <f t="shared" si="11"/>
        <v>750.24141252892753</v>
      </c>
      <c r="AF35" s="31">
        <f t="shared" si="11"/>
        <v>760.54519034242173</v>
      </c>
      <c r="AG35" s="31">
        <f t="shared" si="11"/>
        <v>876.47782300654637</v>
      </c>
      <c r="AH35" s="31">
        <f t="shared" si="11"/>
        <v>872.55333026971232</v>
      </c>
      <c r="AI35" s="31">
        <f t="shared" si="11"/>
        <v>874.0555088824625</v>
      </c>
      <c r="AJ35" s="31">
        <f t="shared" si="11"/>
        <v>742.68006802662069</v>
      </c>
      <c r="AK35" s="31">
        <f t="shared" si="11"/>
        <v>890.34147227622668</v>
      </c>
      <c r="AL35" s="31">
        <f t="shared" si="12"/>
        <v>891.17303356609989</v>
      </c>
      <c r="AM35" s="31">
        <f t="shared" si="12"/>
        <v>884.92125929634415</v>
      </c>
      <c r="AN35" s="31">
        <f t="shared" si="12"/>
        <v>882.23892638454811</v>
      </c>
      <c r="AO35" s="31">
        <f t="shared" si="12"/>
        <v>859.30045129383882</v>
      </c>
      <c r="AP35" s="31">
        <f t="shared" si="12"/>
        <v>910.89869458444616</v>
      </c>
      <c r="AQ35" s="31">
        <f t="shared" si="12"/>
        <v>767.49396767185419</v>
      </c>
      <c r="AR35" s="31">
        <f t="shared" si="12"/>
        <v>764.0395457236101</v>
      </c>
      <c r="AS35" s="31">
        <f t="shared" si="12"/>
        <v>800.4738272708222</v>
      </c>
      <c r="AT35" s="31">
        <f t="shared" si="12"/>
        <v>795.27244442756853</v>
      </c>
      <c r="AU35" s="31">
        <f t="shared" si="12"/>
        <v>912.4668708517753</v>
      </c>
      <c r="AV35" s="31">
        <f t="shared" si="12"/>
        <v>839.92024631487118</v>
      </c>
      <c r="AW35" s="31">
        <f t="shared" si="12"/>
        <v>830.64550615963219</v>
      </c>
      <c r="AX35" s="31">
        <f t="shared" si="12"/>
        <v>840.17207423036859</v>
      </c>
      <c r="AY35" s="31">
        <f t="shared" si="13"/>
        <v>872.12724384707133</v>
      </c>
      <c r="AZ35" s="31">
        <f t="shared" si="13"/>
        <v>855.29899883686119</v>
      </c>
      <c r="BA35" s="31">
        <f t="shared" si="13"/>
        <v>839.17135313954157</v>
      </c>
      <c r="BB35" s="31">
        <f t="shared" si="13"/>
        <v>771.05419338665445</v>
      </c>
      <c r="BC35" s="31">
        <f t="shared" si="14"/>
        <v>785.18340743930105</v>
      </c>
      <c r="BD35" s="31">
        <f t="shared" si="14"/>
        <v>760.23735445321165</v>
      </c>
      <c r="BE35" s="31">
        <f t="shared" si="14"/>
        <v>797.57236325724386</v>
      </c>
      <c r="BF35" s="31">
        <f t="shared" si="14"/>
        <v>796.93013164561955</v>
      </c>
      <c r="BG35" s="31">
        <f t="shared" si="14"/>
        <v>776.96606508102184</v>
      </c>
      <c r="BH35" s="31">
        <f t="shared" si="14"/>
        <v>758.24291303696202</v>
      </c>
      <c r="BI35" s="31">
        <f t="shared" si="14"/>
        <v>776.46577220998563</v>
      </c>
      <c r="BJ35" s="31">
        <f t="shared" si="14"/>
        <v>773.58552990042779</v>
      </c>
    </row>
    <row r="36" spans="2:62">
      <c r="B36" s="37">
        <v>15217</v>
      </c>
      <c r="C36" s="34">
        <f>VLOOKUP($B36,Plagioclase!$AV$7:$BA$478,3,FALSE)</f>
        <v>0.65239841730816983</v>
      </c>
      <c r="D36" s="34">
        <f>VLOOKUP($B36,Plagioclase!$AV$7:$BA$478,4,FALSE)</f>
        <v>0</v>
      </c>
      <c r="E36" s="29" t="str">
        <f>VLOOKUP($B36,Plagioclase!$AV$7:$BA$478,6,FALSE)</f>
        <v>26hHP01.1</v>
      </c>
      <c r="F36" s="31">
        <f t="shared" si="16"/>
        <v>767.44693721039982</v>
      </c>
      <c r="G36" s="31">
        <f t="shared" si="16"/>
        <v>765.46702348712313</v>
      </c>
      <c r="H36" s="31">
        <f t="shared" si="16"/>
        <v>767.26057203243556</v>
      </c>
      <c r="I36" s="31">
        <f t="shared" si="16"/>
        <v>772.02939600467937</v>
      </c>
      <c r="J36" s="31">
        <f t="shared" si="16"/>
        <v>765.78618029469419</v>
      </c>
      <c r="K36" s="31">
        <f t="shared" si="16"/>
        <v>771.54456128022355</v>
      </c>
      <c r="L36" s="31">
        <f t="shared" si="16"/>
        <v>766.61975031747022</v>
      </c>
      <c r="M36" s="31">
        <f t="shared" si="16"/>
        <v>778.46396887315916</v>
      </c>
      <c r="N36" s="31">
        <f t="shared" si="16"/>
        <v>771.46571565748047</v>
      </c>
      <c r="O36" s="31">
        <f t="shared" si="16"/>
        <v>759.37159194378398</v>
      </c>
      <c r="P36" s="31">
        <f t="shared" si="16"/>
        <v>777.79373377550667</v>
      </c>
      <c r="Q36" s="31">
        <f t="shared" si="16"/>
        <v>827.9143482924045</v>
      </c>
      <c r="R36" s="31">
        <f t="shared" si="16"/>
        <v>771.30293261129088</v>
      </c>
      <c r="S36" s="31">
        <f t="shared" si="16"/>
        <v>753.23268504731288</v>
      </c>
      <c r="T36" s="31">
        <f t="shared" si="16"/>
        <v>824.39718817738014</v>
      </c>
      <c r="U36" s="31">
        <f t="shared" si="15"/>
        <v>742.34226941046916</v>
      </c>
      <c r="V36" s="31">
        <f t="shared" si="11"/>
        <v>763.50455143675265</v>
      </c>
      <c r="W36" s="31">
        <f t="shared" si="11"/>
        <v>765.00313190245708</v>
      </c>
      <c r="X36" s="31">
        <f t="shared" si="11"/>
        <v>774.42393549806241</v>
      </c>
      <c r="Y36" s="31">
        <f t="shared" si="11"/>
        <v>779.5687968531098</v>
      </c>
      <c r="Z36" s="31">
        <f t="shared" si="11"/>
        <v>731.94258411822364</v>
      </c>
      <c r="AA36" s="31">
        <f t="shared" si="11"/>
        <v>760.30907150748146</v>
      </c>
      <c r="AB36" s="31">
        <f t="shared" si="11"/>
        <v>762.28439096914406</v>
      </c>
      <c r="AC36" s="31">
        <f t="shared" si="11"/>
        <v>769.29694338459115</v>
      </c>
      <c r="AD36" s="31">
        <f t="shared" si="11"/>
        <v>781.32982531813047</v>
      </c>
      <c r="AE36" s="31">
        <f t="shared" si="11"/>
        <v>755.66741200849231</v>
      </c>
      <c r="AF36" s="31">
        <f t="shared" si="11"/>
        <v>766.2076638650143</v>
      </c>
      <c r="AG36" s="31">
        <f t="shared" si="11"/>
        <v>885.26588534657901</v>
      </c>
      <c r="AH36" s="31">
        <f t="shared" si="11"/>
        <v>881.37751816136222</v>
      </c>
      <c r="AI36" s="31">
        <f t="shared" si="11"/>
        <v>883.08736228025043</v>
      </c>
      <c r="AJ36" s="31">
        <f t="shared" si="11"/>
        <v>747.81853470553085</v>
      </c>
      <c r="AK36" s="31">
        <f t="shared" si="11"/>
        <v>899.30821072716924</v>
      </c>
      <c r="AL36" s="31">
        <f t="shared" si="12"/>
        <v>900.36600595986363</v>
      </c>
      <c r="AM36" s="31">
        <f t="shared" si="12"/>
        <v>893.58302880090321</v>
      </c>
      <c r="AN36" s="31">
        <f t="shared" si="12"/>
        <v>890.75922188824268</v>
      </c>
      <c r="AO36" s="31">
        <f t="shared" si="12"/>
        <v>867.58525181262883</v>
      </c>
      <c r="AP36" s="31">
        <f t="shared" si="12"/>
        <v>920.27680265130823</v>
      </c>
      <c r="AQ36" s="31">
        <f t="shared" si="12"/>
        <v>773.29866094982174</v>
      </c>
      <c r="AR36" s="31">
        <f t="shared" si="12"/>
        <v>769.47448204813134</v>
      </c>
      <c r="AS36" s="31">
        <f t="shared" si="12"/>
        <v>806.81844408009067</v>
      </c>
      <c r="AT36" s="31">
        <f t="shared" si="12"/>
        <v>801.55448704457342</v>
      </c>
      <c r="AU36" s="31">
        <f t="shared" si="12"/>
        <v>922.35259824330649</v>
      </c>
      <c r="AV36" s="31">
        <f t="shared" si="12"/>
        <v>847.61343801635974</v>
      </c>
      <c r="AW36" s="31">
        <f t="shared" si="12"/>
        <v>838.35705300668508</v>
      </c>
      <c r="AX36" s="31">
        <f t="shared" si="12"/>
        <v>848.0433657363759</v>
      </c>
      <c r="AY36" s="31">
        <f t="shared" si="13"/>
        <v>880.61846638326426</v>
      </c>
      <c r="AZ36" s="31">
        <f t="shared" si="13"/>
        <v>863.59804562186821</v>
      </c>
      <c r="BA36" s="31">
        <f t="shared" si="13"/>
        <v>847.0380236293837</v>
      </c>
      <c r="BB36" s="31">
        <f t="shared" si="13"/>
        <v>776.88216612992858</v>
      </c>
      <c r="BC36" s="31">
        <f t="shared" si="14"/>
        <v>791.34948538940296</v>
      </c>
      <c r="BD36" s="31">
        <f t="shared" si="14"/>
        <v>765.85421763158217</v>
      </c>
      <c r="BE36" s="31">
        <f t="shared" si="14"/>
        <v>803.88352598362337</v>
      </c>
      <c r="BF36" s="31">
        <f t="shared" si="14"/>
        <v>803.33352645614116</v>
      </c>
      <c r="BG36" s="31">
        <f t="shared" si="14"/>
        <v>782.70751426407776</v>
      </c>
      <c r="BH36" s="31">
        <f t="shared" si="14"/>
        <v>763.62577815810175</v>
      </c>
      <c r="BI36" s="31">
        <f t="shared" si="14"/>
        <v>782.34567557389994</v>
      </c>
      <c r="BJ36" s="31">
        <f t="shared" si="14"/>
        <v>779.5887179094924</v>
      </c>
    </row>
    <row r="37" spans="2:62">
      <c r="B37" s="37">
        <v>15219</v>
      </c>
      <c r="C37" s="34">
        <f>VLOOKUP($B37,Plagioclase!$AV$7:$BA$478,3,FALSE)</f>
        <v>0.67295363827925314</v>
      </c>
      <c r="D37" s="34">
        <f>VLOOKUP($B37,Plagioclase!$AV$7:$BA$478,4,FALSE)</f>
        <v>0</v>
      </c>
      <c r="E37" s="29" t="str">
        <f>VLOOKUP($B37,Plagioclase!$AV$7:$BA$478,6,FALSE)</f>
        <v>26hHP02.1</v>
      </c>
      <c r="F37" s="31">
        <f t="shared" si="16"/>
        <v>762.86348785554117</v>
      </c>
      <c r="G37" s="31">
        <f t="shared" si="16"/>
        <v>760.85964155162208</v>
      </c>
      <c r="H37" s="31">
        <f t="shared" si="16"/>
        <v>762.76419627838311</v>
      </c>
      <c r="I37" s="31">
        <f t="shared" si="16"/>
        <v>767.45984371772613</v>
      </c>
      <c r="J37" s="31">
        <f t="shared" si="16"/>
        <v>761.33810865797079</v>
      </c>
      <c r="K37" s="31">
        <f t="shared" si="16"/>
        <v>766.85600639653887</v>
      </c>
      <c r="L37" s="31">
        <f t="shared" si="16"/>
        <v>762.08602705342958</v>
      </c>
      <c r="M37" s="31">
        <f t="shared" si="16"/>
        <v>773.64620833113406</v>
      </c>
      <c r="N37" s="31">
        <f t="shared" si="16"/>
        <v>766.84436597412639</v>
      </c>
      <c r="O37" s="31">
        <f t="shared" si="16"/>
        <v>754.8907683087549</v>
      </c>
      <c r="P37" s="31">
        <f t="shared" si="16"/>
        <v>773.1541485162769</v>
      </c>
      <c r="Q37" s="31">
        <f t="shared" si="16"/>
        <v>822.31116379684102</v>
      </c>
      <c r="R37" s="31">
        <f t="shared" si="16"/>
        <v>766.68100553352963</v>
      </c>
      <c r="S37" s="31">
        <f t="shared" si="16"/>
        <v>748.72966867803518</v>
      </c>
      <c r="T37" s="31">
        <f t="shared" si="16"/>
        <v>818.71309011145911</v>
      </c>
      <c r="U37" s="31">
        <f t="shared" si="15"/>
        <v>738.12894684225785</v>
      </c>
      <c r="V37" s="31">
        <f t="shared" si="11"/>
        <v>758.9869489990009</v>
      </c>
      <c r="W37" s="31">
        <f t="shared" si="11"/>
        <v>760.39832766239999</v>
      </c>
      <c r="X37" s="31">
        <f t="shared" si="11"/>
        <v>769.78050496948015</v>
      </c>
      <c r="Y37" s="31">
        <f t="shared" si="11"/>
        <v>774.88665256597267</v>
      </c>
      <c r="Z37" s="31">
        <f t="shared" si="11"/>
        <v>727.82192583422705</v>
      </c>
      <c r="AA37" s="31">
        <f t="shared" si="11"/>
        <v>755.94078343946865</v>
      </c>
      <c r="AB37" s="31">
        <f t="shared" si="11"/>
        <v>757.72206208021942</v>
      </c>
      <c r="AC37" s="31">
        <f t="shared" si="11"/>
        <v>764.60962517888663</v>
      </c>
      <c r="AD37" s="31">
        <f t="shared" si="11"/>
        <v>776.23045477709718</v>
      </c>
      <c r="AE37" s="31">
        <f t="shared" si="11"/>
        <v>751.22086313121315</v>
      </c>
      <c r="AF37" s="31">
        <f t="shared" si="11"/>
        <v>761.56718046949447</v>
      </c>
      <c r="AG37" s="31">
        <f t="shared" si="11"/>
        <v>878.06113858992796</v>
      </c>
      <c r="AH37" s="31">
        <f t="shared" si="11"/>
        <v>874.1430798196883</v>
      </c>
      <c r="AI37" s="31">
        <f t="shared" si="11"/>
        <v>875.68244481664317</v>
      </c>
      <c r="AJ37" s="31">
        <f t="shared" si="11"/>
        <v>743.60780011511133</v>
      </c>
      <c r="AK37" s="31">
        <f t="shared" ref="AK37:AX51" si="17">(-76.95+0.79*AK$11+$D37+39.4*AK$8+22.4*AK$6+(41.5-2.89*AK$11)*AK$5)/(-0.065-$C$6*LN((27*AK$7*AK$3*$C37)/(256*AK$8*AK$4)))-273.15</f>
        <v>891.95689720884218</v>
      </c>
      <c r="AL37" s="31">
        <f t="shared" si="12"/>
        <v>892.82896187795347</v>
      </c>
      <c r="AM37" s="31">
        <f t="shared" si="12"/>
        <v>886.48203038409622</v>
      </c>
      <c r="AN37" s="31">
        <f t="shared" si="12"/>
        <v>883.77433645069175</v>
      </c>
      <c r="AO37" s="31">
        <f t="shared" si="12"/>
        <v>860.79349487876095</v>
      </c>
      <c r="AP37" s="31">
        <f t="shared" si="12"/>
        <v>912.58793724028385</v>
      </c>
      <c r="AQ37" s="31">
        <f t="shared" si="12"/>
        <v>768.5415408392372</v>
      </c>
      <c r="AR37" s="31">
        <f t="shared" si="12"/>
        <v>765.02065904158701</v>
      </c>
      <c r="AS37" s="31">
        <f t="shared" si="12"/>
        <v>801.61853114360554</v>
      </c>
      <c r="AT37" s="31">
        <f t="shared" si="12"/>
        <v>796.4058861023376</v>
      </c>
      <c r="AU37" s="31">
        <f t="shared" si="12"/>
        <v>914.24694425553378</v>
      </c>
      <c r="AV37" s="31">
        <f t="shared" si="12"/>
        <v>841.30712937986334</v>
      </c>
      <c r="AW37" s="31">
        <f t="shared" si="12"/>
        <v>832.03561363888059</v>
      </c>
      <c r="AX37" s="31">
        <f t="shared" si="12"/>
        <v>841.59088110476989</v>
      </c>
      <c r="AY37" s="31">
        <f t="shared" si="13"/>
        <v>873.65736532031212</v>
      </c>
      <c r="AZ37" s="31">
        <f t="shared" si="13"/>
        <v>856.79456286912603</v>
      </c>
      <c r="BA37" s="31">
        <f t="shared" si="13"/>
        <v>840.58932452529609</v>
      </c>
      <c r="BB37" s="31">
        <f t="shared" si="13"/>
        <v>772.10596499189967</v>
      </c>
      <c r="BC37" s="31">
        <f t="shared" si="14"/>
        <v>786.29597463019093</v>
      </c>
      <c r="BD37" s="31">
        <f t="shared" si="14"/>
        <v>761.25114773014695</v>
      </c>
      <c r="BE37" s="31">
        <f t="shared" si="14"/>
        <v>798.71104543196964</v>
      </c>
      <c r="BF37" s="31">
        <f t="shared" si="14"/>
        <v>798.08537019884363</v>
      </c>
      <c r="BG37" s="31">
        <f t="shared" si="14"/>
        <v>778.00231793857927</v>
      </c>
      <c r="BH37" s="31">
        <f t="shared" si="14"/>
        <v>759.21464313861736</v>
      </c>
      <c r="BI37" s="31">
        <f t="shared" si="14"/>
        <v>777.52689780940148</v>
      </c>
      <c r="BJ37" s="31">
        <f t="shared" si="14"/>
        <v>774.66878666173932</v>
      </c>
    </row>
    <row r="38" spans="2:62">
      <c r="B38" s="37">
        <v>15220</v>
      </c>
      <c r="C38" s="34">
        <f>VLOOKUP($B38,Plagioclase!$AV$7:$BA$478,3,FALSE)</f>
        <v>0.7118194098774826</v>
      </c>
      <c r="D38" s="34">
        <f>VLOOKUP($B38,Plagioclase!$AV$7:$BA$478,4,FALSE)</f>
        <v>0</v>
      </c>
      <c r="E38" s="29" t="str">
        <f>VLOOKUP($B38,Plagioclase!$AV$7:$BA$478,6,FALSE)</f>
        <v>26hHP02.2</v>
      </c>
      <c r="F38" s="31">
        <f t="shared" si="16"/>
        <v>754.66934130105676</v>
      </c>
      <c r="G38" s="31">
        <f t="shared" si="16"/>
        <v>752.62343416505439</v>
      </c>
      <c r="H38" s="31">
        <f t="shared" si="16"/>
        <v>754.72385087212763</v>
      </c>
      <c r="I38" s="31">
        <f t="shared" si="16"/>
        <v>759.28979595817839</v>
      </c>
      <c r="J38" s="31">
        <f t="shared" si="16"/>
        <v>753.38324084781755</v>
      </c>
      <c r="K38" s="31">
        <f t="shared" si="16"/>
        <v>758.47591105491153</v>
      </c>
      <c r="L38" s="31">
        <f t="shared" si="16"/>
        <v>753.97977329327421</v>
      </c>
      <c r="M38" s="31">
        <f t="shared" si="16"/>
        <v>765.03742699729071</v>
      </c>
      <c r="N38" s="31">
        <f t="shared" si="16"/>
        <v>758.58290972018006</v>
      </c>
      <c r="O38" s="31">
        <f t="shared" si="16"/>
        <v>746.8786358625722</v>
      </c>
      <c r="P38" s="31">
        <f t="shared" si="16"/>
        <v>764.85987737106859</v>
      </c>
      <c r="Q38" s="31">
        <f t="shared" si="16"/>
        <v>812.31313580686685</v>
      </c>
      <c r="R38" s="31">
        <f t="shared" si="16"/>
        <v>758.4185458294279</v>
      </c>
      <c r="S38" s="31">
        <f t="shared" si="16"/>
        <v>740.67892620628083</v>
      </c>
      <c r="T38" s="31">
        <f t="shared" si="16"/>
        <v>808.57323923053525</v>
      </c>
      <c r="U38" s="31">
        <f t="shared" si="15"/>
        <v>730.59110802618159</v>
      </c>
      <c r="V38" s="31">
        <f t="shared" si="15"/>
        <v>750.90946375496731</v>
      </c>
      <c r="W38" s="31">
        <f t="shared" si="15"/>
        <v>752.1667166516969</v>
      </c>
      <c r="X38" s="31">
        <f t="shared" si="15"/>
        <v>761.47977495892371</v>
      </c>
      <c r="Y38" s="31">
        <f t="shared" si="15"/>
        <v>766.51707088845535</v>
      </c>
      <c r="Z38" s="31">
        <f t="shared" si="15"/>
        <v>720.44885068358917</v>
      </c>
      <c r="AA38" s="31">
        <f t="shared" si="15"/>
        <v>748.1274067862164</v>
      </c>
      <c r="AB38" s="31">
        <f t="shared" si="15"/>
        <v>749.56570973324995</v>
      </c>
      <c r="AC38" s="31">
        <f t="shared" si="15"/>
        <v>756.23193936971495</v>
      </c>
      <c r="AD38" s="31">
        <f t="shared" si="15"/>
        <v>767.12496127677616</v>
      </c>
      <c r="AE38" s="31">
        <f t="shared" si="15"/>
        <v>743.26962329484786</v>
      </c>
      <c r="AF38" s="31">
        <f t="shared" si="15"/>
        <v>753.27246682871044</v>
      </c>
      <c r="AG38" s="31">
        <f t="shared" si="15"/>
        <v>865.24596156248992</v>
      </c>
      <c r="AH38" s="31">
        <f t="shared" si="15"/>
        <v>861.27676883459537</v>
      </c>
      <c r="AI38" s="31">
        <f t="shared" si="15"/>
        <v>862.5180266311844</v>
      </c>
      <c r="AJ38" s="31">
        <f t="shared" si="15"/>
        <v>736.07406828546095</v>
      </c>
      <c r="AK38" s="31">
        <f t="shared" si="17"/>
        <v>878.88286683427793</v>
      </c>
      <c r="AL38" s="31">
        <f t="shared" si="17"/>
        <v>879.43033506549943</v>
      </c>
      <c r="AM38" s="31">
        <f t="shared" si="17"/>
        <v>873.84668453893016</v>
      </c>
      <c r="AN38" s="31">
        <f t="shared" si="17"/>
        <v>871.34264473594055</v>
      </c>
      <c r="AO38" s="31">
        <f t="shared" si="17"/>
        <v>848.7039310127783</v>
      </c>
      <c r="AP38" s="31">
        <f t="shared" si="17"/>
        <v>898.92018374869133</v>
      </c>
      <c r="AQ38" s="31">
        <f t="shared" si="17"/>
        <v>760.0402759595512</v>
      </c>
      <c r="AR38" s="31">
        <f t="shared" si="17"/>
        <v>757.05529077713766</v>
      </c>
      <c r="AS38" s="31">
        <f t="shared" si="17"/>
        <v>792.33296125764389</v>
      </c>
      <c r="AT38" s="31">
        <f t="shared" si="17"/>
        <v>787.21132304303171</v>
      </c>
      <c r="AU38" s="31">
        <f t="shared" si="17"/>
        <v>899.85189033330505</v>
      </c>
      <c r="AV38" s="31">
        <f t="shared" si="17"/>
        <v>830.07140712638159</v>
      </c>
      <c r="AW38" s="31">
        <f t="shared" si="17"/>
        <v>820.77483853405136</v>
      </c>
      <c r="AX38" s="31">
        <f t="shared" si="17"/>
        <v>830.0988448210793</v>
      </c>
      <c r="AY38" s="31">
        <f t="shared" ref="AY38:BB51" si="18">(-76.95+0.79*AY$11+$D38+39.4*AY$8+22.4*AY$6+(41.5-2.89*AY$11)*AY$5)/(-0.065-$C$6*LN((27*AY$7*AY$3*$C38)/(256*AY$8*AY$4)))-273.15</f>
        <v>861.26911824321667</v>
      </c>
      <c r="AZ38" s="31">
        <f t="shared" si="18"/>
        <v>844.68518324816057</v>
      </c>
      <c r="BA38" s="31">
        <f t="shared" si="18"/>
        <v>829.10408772493827</v>
      </c>
      <c r="BB38" s="31">
        <f t="shared" si="18"/>
        <v>763.57066465622154</v>
      </c>
      <c r="BC38" s="31">
        <f t="shared" ref="BC38:BJ51" si="19">(-76.95+0.79*BC$11+$D38+39.4*BC$8+22.4*BC$6+(41.5-2.89*BC$11)*BC$5)/(-0.065-$C$6*LN((27*BC$7*BC$3*$C38)/(256*BC$8*BC$4)))-273.15</f>
        <v>777.27013063887523</v>
      </c>
      <c r="BD38" s="31">
        <f t="shared" si="19"/>
        <v>753.02251487396177</v>
      </c>
      <c r="BE38" s="31">
        <f t="shared" si="19"/>
        <v>789.47414269551143</v>
      </c>
      <c r="BF38" s="31">
        <f t="shared" si="19"/>
        <v>788.71523581718918</v>
      </c>
      <c r="BG38" s="31">
        <f t="shared" si="19"/>
        <v>769.59173230757199</v>
      </c>
      <c r="BH38" s="31">
        <f t="shared" si="19"/>
        <v>751.32524226133967</v>
      </c>
      <c r="BI38" s="31">
        <f t="shared" si="19"/>
        <v>768.91591587445976</v>
      </c>
      <c r="BJ38" s="31">
        <f t="shared" si="19"/>
        <v>765.87970600563392</v>
      </c>
    </row>
    <row r="39" spans="2:62">
      <c r="B39" s="37">
        <v>15221</v>
      </c>
      <c r="C39" s="34">
        <f>VLOOKUP($B39,Plagioclase!$AV$7:$BA$478,3,FALSE)</f>
        <v>0.70782018533971969</v>
      </c>
      <c r="D39" s="34">
        <f>VLOOKUP($B39,Plagioclase!$AV$7:$BA$478,4,FALSE)</f>
        <v>0</v>
      </c>
      <c r="E39" s="29" t="str">
        <f>VLOOKUP($B39,Plagioclase!$AV$7:$BA$478,6,FALSE)</f>
        <v>26hHP02.3</v>
      </c>
      <c r="F39" s="31">
        <f t="shared" si="16"/>
        <v>755.48572813014528</v>
      </c>
      <c r="G39" s="31">
        <f t="shared" si="16"/>
        <v>753.44396982741875</v>
      </c>
      <c r="H39" s="31">
        <f t="shared" si="16"/>
        <v>755.52502180231033</v>
      </c>
      <c r="I39" s="31">
        <f t="shared" si="16"/>
        <v>760.10382472782896</v>
      </c>
      <c r="J39" s="31">
        <f t="shared" si="16"/>
        <v>754.17594619589465</v>
      </c>
      <c r="K39" s="31">
        <f t="shared" si="16"/>
        <v>759.31071158014117</v>
      </c>
      <c r="L39" s="31">
        <f t="shared" si="16"/>
        <v>754.7874611955275</v>
      </c>
      <c r="M39" s="31">
        <f t="shared" si="16"/>
        <v>765.89487917811437</v>
      </c>
      <c r="N39" s="31">
        <f t="shared" si="16"/>
        <v>759.40597691638129</v>
      </c>
      <c r="O39" s="31">
        <f t="shared" si="16"/>
        <v>747.67697236301763</v>
      </c>
      <c r="P39" s="31">
        <f t="shared" si="16"/>
        <v>765.68622623503472</v>
      </c>
      <c r="Q39" s="31">
        <f t="shared" si="16"/>
        <v>813.30814347855051</v>
      </c>
      <c r="R39" s="31">
        <f t="shared" si="16"/>
        <v>759.24171134341975</v>
      </c>
      <c r="S39" s="31">
        <f t="shared" si="16"/>
        <v>741.48104813785346</v>
      </c>
      <c r="T39" s="31">
        <f t="shared" si="16"/>
        <v>809.58221447005815</v>
      </c>
      <c r="U39" s="31">
        <f t="shared" si="16"/>
        <v>731.34241705885825</v>
      </c>
      <c r="V39" s="31">
        <f t="shared" ref="V39:AJ51" si="20">(-76.95+0.79*V$11+$D39+39.4*V$8+22.4*V$6+(41.5-2.89*V$11)*V$5)/(-0.065-$C$6*LN((27*V$7*V$3*$C39)/(256*V$8*V$4)))-273.15</f>
        <v>751.71428841591626</v>
      </c>
      <c r="W39" s="31">
        <f t="shared" si="20"/>
        <v>752.9867950620411</v>
      </c>
      <c r="X39" s="31">
        <f t="shared" si="20"/>
        <v>762.30674341797987</v>
      </c>
      <c r="Y39" s="31">
        <f t="shared" si="20"/>
        <v>767.35087839164191</v>
      </c>
      <c r="Z39" s="31">
        <f t="shared" si="20"/>
        <v>721.18379600791889</v>
      </c>
      <c r="AA39" s="31">
        <f t="shared" si="20"/>
        <v>748.90608112994596</v>
      </c>
      <c r="AB39" s="31">
        <f t="shared" si="20"/>
        <v>750.37832905309972</v>
      </c>
      <c r="AC39" s="31">
        <f t="shared" si="20"/>
        <v>757.06648841033314</v>
      </c>
      <c r="AD39" s="31">
        <f t="shared" si="20"/>
        <v>768.03151393033625</v>
      </c>
      <c r="AE39" s="31">
        <f t="shared" si="20"/>
        <v>744.06191506019172</v>
      </c>
      <c r="AF39" s="31">
        <f t="shared" si="20"/>
        <v>754.09879287831848</v>
      </c>
      <c r="AG39" s="31">
        <f t="shared" si="20"/>
        <v>866.51900854688495</v>
      </c>
      <c r="AH39" s="31">
        <f t="shared" si="20"/>
        <v>862.55479927597992</v>
      </c>
      <c r="AI39" s="31">
        <f t="shared" si="20"/>
        <v>863.82537733265633</v>
      </c>
      <c r="AJ39" s="31">
        <f t="shared" si="20"/>
        <v>736.82499807681472</v>
      </c>
      <c r="AK39" s="31">
        <f t="shared" si="17"/>
        <v>880.18152229379336</v>
      </c>
      <c r="AL39" s="31">
        <f t="shared" si="17"/>
        <v>880.76090566093296</v>
      </c>
      <c r="AM39" s="31">
        <f t="shared" si="17"/>
        <v>875.10213696558014</v>
      </c>
      <c r="AN39" s="31">
        <f t="shared" si="17"/>
        <v>872.57803132023525</v>
      </c>
      <c r="AO39" s="31">
        <f t="shared" si="17"/>
        <v>849.9054108073625</v>
      </c>
      <c r="AP39" s="31">
        <f t="shared" si="17"/>
        <v>900.27743649076353</v>
      </c>
      <c r="AQ39" s="31">
        <f t="shared" si="17"/>
        <v>760.88706764496021</v>
      </c>
      <c r="AR39" s="31">
        <f t="shared" si="17"/>
        <v>757.84905485908837</v>
      </c>
      <c r="AS39" s="31">
        <f t="shared" si="17"/>
        <v>793.25747392969208</v>
      </c>
      <c r="AT39" s="31">
        <f t="shared" si="17"/>
        <v>788.12681040921564</v>
      </c>
      <c r="AU39" s="31">
        <f t="shared" si="17"/>
        <v>901.28058949744548</v>
      </c>
      <c r="AV39" s="31">
        <f t="shared" si="17"/>
        <v>831.18862006177699</v>
      </c>
      <c r="AW39" s="31">
        <f t="shared" si="17"/>
        <v>821.89443332940971</v>
      </c>
      <c r="AX39" s="31">
        <f t="shared" si="17"/>
        <v>831.24130772426145</v>
      </c>
      <c r="AY39" s="31">
        <f t="shared" si="18"/>
        <v>862.5001237754783</v>
      </c>
      <c r="AZ39" s="31">
        <f t="shared" si="18"/>
        <v>845.88857181485116</v>
      </c>
      <c r="BA39" s="31">
        <f t="shared" si="18"/>
        <v>830.24587137898027</v>
      </c>
      <c r="BB39" s="31">
        <f t="shared" si="18"/>
        <v>764.42084288397848</v>
      </c>
      <c r="BC39" s="31">
        <f t="shared" si="19"/>
        <v>778.16888195429817</v>
      </c>
      <c r="BD39" s="31">
        <f t="shared" si="19"/>
        <v>753.84230361189714</v>
      </c>
      <c r="BE39" s="31">
        <f t="shared" si="19"/>
        <v>790.39382820051117</v>
      </c>
      <c r="BF39" s="31">
        <f t="shared" si="19"/>
        <v>789.6480770679583</v>
      </c>
      <c r="BG39" s="31">
        <f t="shared" si="19"/>
        <v>770.42961310619296</v>
      </c>
      <c r="BH39" s="31">
        <f t="shared" si="19"/>
        <v>752.11145775915554</v>
      </c>
      <c r="BI39" s="31">
        <f t="shared" si="19"/>
        <v>769.77360926035715</v>
      </c>
      <c r="BJ39" s="31">
        <f t="shared" si="19"/>
        <v>766.75498598899742</v>
      </c>
    </row>
    <row r="40" spans="2:62">
      <c r="B40" s="37">
        <v>15222</v>
      </c>
      <c r="C40" s="34">
        <f>VLOOKUP($B40,Plagioclase!$AV$7:$BA$478,3,FALSE)</f>
        <v>0.36702449241594287</v>
      </c>
      <c r="D40" s="34">
        <f>VLOOKUP($B40,Plagioclase!$AV$7:$BA$478,4,FALSE)</f>
        <v>1.8078959184155359</v>
      </c>
      <c r="E40" s="29" t="str">
        <f>VLOOKUP($B40,Plagioclase!$AV$7:$BA$478,6,FALSE)</f>
        <v>26hHP02.4</v>
      </c>
      <c r="F40" s="31">
        <f t="shared" ref="F40:U51" si="21">(-76.95+0.79*F$11+$D40+39.4*F$8+22.4*F$6+(41.5-2.89*F$11)*F$5)/(-0.065-$C$6*LN((27*F$7*F$3*$C40)/(256*F$8*F$4)))-273.15</f>
        <v>826.66145428538255</v>
      </c>
      <c r="G40" s="31">
        <f t="shared" si="21"/>
        <v>824.9659959283307</v>
      </c>
      <c r="H40" s="31">
        <f t="shared" si="21"/>
        <v>825.24144388094157</v>
      </c>
      <c r="I40" s="31">
        <f t="shared" si="21"/>
        <v>831.17080070693044</v>
      </c>
      <c r="J40" s="31">
        <f t="shared" si="21"/>
        <v>823.04838407197474</v>
      </c>
      <c r="K40" s="31">
        <f t="shared" si="21"/>
        <v>832.36087437892286</v>
      </c>
      <c r="L40" s="31">
        <f t="shared" si="21"/>
        <v>825.10982898131749</v>
      </c>
      <c r="M40" s="31">
        <f t="shared" si="21"/>
        <v>841.31504584053857</v>
      </c>
      <c r="N40" s="31">
        <f t="shared" si="21"/>
        <v>831.32566571377504</v>
      </c>
      <c r="O40" s="31">
        <f t="shared" si="21"/>
        <v>816.92204707214421</v>
      </c>
      <c r="P40" s="31">
        <f t="shared" si="21"/>
        <v>838.08310682167541</v>
      </c>
      <c r="Q40" s="31">
        <f t="shared" si="21"/>
        <v>903.67959878316026</v>
      </c>
      <c r="R40" s="31">
        <f t="shared" si="21"/>
        <v>831.16666148852107</v>
      </c>
      <c r="S40" s="31">
        <f t="shared" si="21"/>
        <v>810.92701027553073</v>
      </c>
      <c r="T40" s="31">
        <f t="shared" si="21"/>
        <v>901.27798001254462</v>
      </c>
      <c r="U40" s="31">
        <f t="shared" si="21"/>
        <v>795.71561752235959</v>
      </c>
      <c r="V40" s="31">
        <f t="shared" si="20"/>
        <v>821.68356726462287</v>
      </c>
      <c r="W40" s="31">
        <f t="shared" si="20"/>
        <v>824.4529745792687</v>
      </c>
      <c r="X40" s="31">
        <f t="shared" si="20"/>
        <v>834.67727658363276</v>
      </c>
      <c r="Y40" s="31">
        <f t="shared" si="20"/>
        <v>840.51182818879886</v>
      </c>
      <c r="Z40" s="31">
        <f t="shared" si="20"/>
        <v>783.76751474012974</v>
      </c>
      <c r="AA40" s="31">
        <f t="shared" si="20"/>
        <v>816.30862120588051</v>
      </c>
      <c r="AB40" s="31">
        <f t="shared" si="20"/>
        <v>821.06035526600351</v>
      </c>
      <c r="AC40" s="31">
        <f t="shared" si="20"/>
        <v>830.03393312829451</v>
      </c>
      <c r="AD40" s="31">
        <f t="shared" si="20"/>
        <v>848.32229022972058</v>
      </c>
      <c r="AE40" s="31">
        <f t="shared" si="20"/>
        <v>812.63737540261479</v>
      </c>
      <c r="AF40" s="31">
        <f t="shared" si="20"/>
        <v>826.19536201888047</v>
      </c>
      <c r="AG40" s="31">
        <f t="shared" si="20"/>
        <v>987.72255955602134</v>
      </c>
      <c r="AH40" s="31">
        <f t="shared" si="20"/>
        <v>984.19533765496942</v>
      </c>
      <c r="AI40" s="31">
        <f t="shared" si="20"/>
        <v>988.72892384690329</v>
      </c>
      <c r="AJ40" s="31">
        <f t="shared" si="20"/>
        <v>801.30055687212405</v>
      </c>
      <c r="AK40" s="31">
        <f t="shared" si="17"/>
        <v>1004.5739497648893</v>
      </c>
      <c r="AL40" s="31">
        <f t="shared" si="17"/>
        <v>1008.7058277058151</v>
      </c>
      <c r="AM40" s="31">
        <f t="shared" si="17"/>
        <v>994.6134888547964</v>
      </c>
      <c r="AN40" s="31">
        <f t="shared" si="17"/>
        <v>989.83532336127212</v>
      </c>
      <c r="AO40" s="31">
        <f t="shared" si="17"/>
        <v>962.88063734019795</v>
      </c>
      <c r="AP40" s="31">
        <f t="shared" si="17"/>
        <v>1031.7251158153817</v>
      </c>
      <c r="AQ40" s="31">
        <f t="shared" si="17"/>
        <v>835.1398309730713</v>
      </c>
      <c r="AR40" s="31">
        <f t="shared" si="17"/>
        <v>826.91493499526439</v>
      </c>
      <c r="AS40" s="31">
        <f t="shared" si="17"/>
        <v>876.00130369213036</v>
      </c>
      <c r="AT40" s="31">
        <f t="shared" si="17"/>
        <v>869.8383888856323</v>
      </c>
      <c r="AU40" s="31">
        <f t="shared" si="17"/>
        <v>1040.8306122686954</v>
      </c>
      <c r="AV40" s="31">
        <f t="shared" si="17"/>
        <v>934.68622075589417</v>
      </c>
      <c r="AW40" s="31">
        <f t="shared" si="17"/>
        <v>925.38438321246656</v>
      </c>
      <c r="AX40" s="31">
        <f t="shared" si="17"/>
        <v>937.40340507340318</v>
      </c>
      <c r="AY40" s="31">
        <f t="shared" si="18"/>
        <v>979.00977400026329</v>
      </c>
      <c r="AZ40" s="31">
        <f t="shared" si="18"/>
        <v>958.95781174012257</v>
      </c>
      <c r="BA40" s="31">
        <f t="shared" si="18"/>
        <v>936.30837950778607</v>
      </c>
      <c r="BB40" s="31">
        <f t="shared" si="18"/>
        <v>839.09475955381538</v>
      </c>
      <c r="BC40" s="31">
        <f t="shared" si="19"/>
        <v>857.96128737952074</v>
      </c>
      <c r="BD40" s="31">
        <f t="shared" si="19"/>
        <v>825.3027985867958</v>
      </c>
      <c r="BE40" s="31">
        <f t="shared" si="19"/>
        <v>872.58211952532622</v>
      </c>
      <c r="BF40" s="31">
        <f t="shared" si="19"/>
        <v>873.12746535136137</v>
      </c>
      <c r="BG40" s="31">
        <f t="shared" si="19"/>
        <v>844.06389840189274</v>
      </c>
      <c r="BH40" s="31">
        <f t="shared" si="19"/>
        <v>820.3125146150802</v>
      </c>
      <c r="BI40" s="31">
        <f t="shared" si="19"/>
        <v>845.31829039183037</v>
      </c>
      <c r="BJ40" s="31">
        <f t="shared" si="19"/>
        <v>843.93846000396081</v>
      </c>
    </row>
    <row r="41" spans="2:62">
      <c r="B41" s="37">
        <v>15229</v>
      </c>
      <c r="C41" s="34">
        <f>VLOOKUP($B41,Plagioclase!$AV$7:$BA$478,3,FALSE)</f>
        <v>0.42522188259061755</v>
      </c>
      <c r="D41" s="34">
        <f>VLOOKUP($B41,Plagioclase!$AV$7:$BA$478,4,FALSE)</f>
        <v>0.96443861103208572</v>
      </c>
      <c r="E41" s="29" t="str">
        <f>VLOOKUP($B41,Plagioclase!$AV$7:$BA$478,6,FALSE)</f>
        <v>26hHP04.3</v>
      </c>
      <c r="F41" s="31">
        <f t="shared" si="21"/>
        <v>817.48313805772079</v>
      </c>
      <c r="G41" s="31">
        <f t="shared" si="21"/>
        <v>815.75575633113169</v>
      </c>
      <c r="H41" s="31">
        <f t="shared" si="21"/>
        <v>816.27878880722585</v>
      </c>
      <c r="I41" s="31">
        <f t="shared" si="21"/>
        <v>821.96512216323924</v>
      </c>
      <c r="J41" s="31">
        <f t="shared" si="21"/>
        <v>814.22265529072126</v>
      </c>
      <c r="K41" s="31">
        <f t="shared" si="21"/>
        <v>822.86656265171894</v>
      </c>
      <c r="L41" s="31">
        <f t="shared" si="21"/>
        <v>816.06455068623302</v>
      </c>
      <c r="M41" s="31">
        <f t="shared" si="21"/>
        <v>831.40013795888956</v>
      </c>
      <c r="N41" s="31">
        <f t="shared" si="21"/>
        <v>821.99947355663119</v>
      </c>
      <c r="O41" s="31">
        <f t="shared" si="21"/>
        <v>808.1026473761184</v>
      </c>
      <c r="P41" s="31">
        <f t="shared" si="21"/>
        <v>828.62642510482726</v>
      </c>
      <c r="Q41" s="31">
        <f t="shared" si="21"/>
        <v>890.94831018750335</v>
      </c>
      <c r="R41" s="31">
        <f t="shared" si="21"/>
        <v>821.84123925571555</v>
      </c>
      <c r="S41" s="31">
        <f t="shared" si="21"/>
        <v>802.1376616121064</v>
      </c>
      <c r="T41" s="31">
        <f t="shared" si="21"/>
        <v>888.3666716733045</v>
      </c>
      <c r="U41" s="31">
        <f t="shared" si="21"/>
        <v>787.75377519675942</v>
      </c>
      <c r="V41" s="31">
        <f t="shared" si="20"/>
        <v>812.71944326509026</v>
      </c>
      <c r="W41" s="31">
        <f t="shared" si="20"/>
        <v>815.25540268843736</v>
      </c>
      <c r="X41" s="31">
        <f t="shared" si="20"/>
        <v>825.25628003397276</v>
      </c>
      <c r="Y41" s="31">
        <f t="shared" si="20"/>
        <v>830.92465087783319</v>
      </c>
      <c r="Z41" s="31">
        <f t="shared" si="20"/>
        <v>776.15373947525416</v>
      </c>
      <c r="AA41" s="31">
        <f t="shared" si="20"/>
        <v>807.74694243558713</v>
      </c>
      <c r="AB41" s="31">
        <f t="shared" si="20"/>
        <v>812.00381692831877</v>
      </c>
      <c r="AC41" s="31">
        <f t="shared" si="20"/>
        <v>820.57356163866586</v>
      </c>
      <c r="AD41" s="31">
        <f t="shared" si="20"/>
        <v>837.64070891802646</v>
      </c>
      <c r="AE41" s="31">
        <f t="shared" si="20"/>
        <v>803.95024889859553</v>
      </c>
      <c r="AF41" s="31">
        <f t="shared" si="20"/>
        <v>816.89346393214066</v>
      </c>
      <c r="AG41" s="31">
        <f t="shared" si="20"/>
        <v>969.14459867543349</v>
      </c>
      <c r="AH41" s="31">
        <f t="shared" si="20"/>
        <v>965.5793250213502</v>
      </c>
      <c r="AI41" s="31">
        <f t="shared" si="20"/>
        <v>969.50724460317576</v>
      </c>
      <c r="AJ41" s="31">
        <f t="shared" si="20"/>
        <v>793.27298691088652</v>
      </c>
      <c r="AK41" s="31">
        <f t="shared" si="17"/>
        <v>985.27707439399353</v>
      </c>
      <c r="AL41" s="31">
        <f t="shared" si="17"/>
        <v>988.75078558579082</v>
      </c>
      <c r="AM41" s="31">
        <f t="shared" si="17"/>
        <v>976.25429381927631</v>
      </c>
      <c r="AN41" s="31">
        <f t="shared" si="17"/>
        <v>971.90681799803872</v>
      </c>
      <c r="AO41" s="31">
        <f t="shared" si="17"/>
        <v>945.94238266701893</v>
      </c>
      <c r="AP41" s="31">
        <f t="shared" si="17"/>
        <v>1010.9233618131947</v>
      </c>
      <c r="AQ41" s="31">
        <f t="shared" si="17"/>
        <v>825.44971070585768</v>
      </c>
      <c r="AR41" s="31">
        <f t="shared" si="17"/>
        <v>818.0267409876875</v>
      </c>
      <c r="AS41" s="31">
        <f t="shared" si="17"/>
        <v>864.68892154870571</v>
      </c>
      <c r="AT41" s="31">
        <f t="shared" si="17"/>
        <v>858.73787804432561</v>
      </c>
      <c r="AU41" s="31">
        <f t="shared" si="17"/>
        <v>1018.4922467146918</v>
      </c>
      <c r="AV41" s="31">
        <f t="shared" si="17"/>
        <v>919.58397002282061</v>
      </c>
      <c r="AW41" s="31">
        <f t="shared" si="17"/>
        <v>910.37897813000188</v>
      </c>
      <c r="AX41" s="31">
        <f t="shared" si="17"/>
        <v>921.84388209456449</v>
      </c>
      <c r="AY41" s="31">
        <f t="shared" si="18"/>
        <v>961.31613770143406</v>
      </c>
      <c r="AZ41" s="31">
        <f t="shared" si="18"/>
        <v>942.04439416366574</v>
      </c>
      <c r="BA41" s="31">
        <f t="shared" si="18"/>
        <v>920.77627386774782</v>
      </c>
      <c r="BB41" s="31">
        <f t="shared" si="18"/>
        <v>829.30705251037523</v>
      </c>
      <c r="BC41" s="31">
        <f t="shared" si="19"/>
        <v>847.25667666474635</v>
      </c>
      <c r="BD41" s="31">
        <f t="shared" si="19"/>
        <v>816.09787698385765</v>
      </c>
      <c r="BE41" s="31">
        <f t="shared" si="19"/>
        <v>861.38484327162985</v>
      </c>
      <c r="BF41" s="31">
        <f t="shared" si="19"/>
        <v>861.73377829523372</v>
      </c>
      <c r="BG41" s="31">
        <f t="shared" si="19"/>
        <v>834.37644405476919</v>
      </c>
      <c r="BH41" s="31">
        <f t="shared" si="19"/>
        <v>811.60447456133863</v>
      </c>
      <c r="BI41" s="31">
        <f t="shared" si="19"/>
        <v>835.34725302132745</v>
      </c>
      <c r="BJ41" s="31">
        <f t="shared" si="19"/>
        <v>833.74679173974789</v>
      </c>
    </row>
    <row r="42" spans="2:62">
      <c r="B42" s="37">
        <v>15230</v>
      </c>
      <c r="C42" s="34">
        <f>VLOOKUP($B42,Plagioclase!$AV$7:$BA$478,3,FALSE)</f>
        <v>0.40978993153357862</v>
      </c>
      <c r="D42" s="34">
        <f>VLOOKUP($B42,Plagioclase!$AV$7:$BA$478,4,FALSE)</f>
        <v>1.1801750990296531</v>
      </c>
      <c r="E42" s="29" t="str">
        <f>VLOOKUP($B42,Plagioclase!$AV$7:$BA$478,6,FALSE)</f>
        <v>26hHP04.4</v>
      </c>
      <c r="F42" s="31">
        <f t="shared" si="21"/>
        <v>819.67803481857675</v>
      </c>
      <c r="G42" s="31">
        <f t="shared" si="21"/>
        <v>817.95768729501776</v>
      </c>
      <c r="H42" s="31">
        <f t="shared" si="21"/>
        <v>818.42264428025953</v>
      </c>
      <c r="I42" s="31">
        <f t="shared" si="21"/>
        <v>824.16765469103655</v>
      </c>
      <c r="J42" s="31">
        <f t="shared" si="21"/>
        <v>816.33375667397456</v>
      </c>
      <c r="K42" s="31">
        <f t="shared" si="21"/>
        <v>825.13721282234667</v>
      </c>
      <c r="L42" s="31">
        <f t="shared" si="21"/>
        <v>818.22778341559581</v>
      </c>
      <c r="M42" s="31">
        <f t="shared" si="21"/>
        <v>833.77201289247375</v>
      </c>
      <c r="N42" s="31">
        <f t="shared" si="21"/>
        <v>824.23036145382287</v>
      </c>
      <c r="O42" s="31">
        <f t="shared" si="21"/>
        <v>810.21064018168079</v>
      </c>
      <c r="P42" s="31">
        <f t="shared" si="21"/>
        <v>830.8897855111569</v>
      </c>
      <c r="Q42" s="31">
        <f t="shared" si="21"/>
        <v>893.99935143969662</v>
      </c>
      <c r="R42" s="31">
        <f t="shared" si="21"/>
        <v>824.07190335998337</v>
      </c>
      <c r="S42" s="31">
        <f t="shared" si="21"/>
        <v>804.2369706150763</v>
      </c>
      <c r="T42" s="31">
        <f t="shared" si="21"/>
        <v>891.45919281779913</v>
      </c>
      <c r="U42" s="31">
        <f t="shared" si="21"/>
        <v>789.65482304975797</v>
      </c>
      <c r="V42" s="31">
        <f t="shared" si="20"/>
        <v>814.86269799291711</v>
      </c>
      <c r="W42" s="31">
        <f t="shared" si="20"/>
        <v>817.45421951706305</v>
      </c>
      <c r="X42" s="31">
        <f t="shared" si="20"/>
        <v>827.510342601057</v>
      </c>
      <c r="Y42" s="31">
        <f t="shared" si="20"/>
        <v>833.21932991229062</v>
      </c>
      <c r="Z42" s="31">
        <f t="shared" si="20"/>
        <v>777.96998290556178</v>
      </c>
      <c r="AA42" s="31">
        <f t="shared" si="20"/>
        <v>809.79423462670331</v>
      </c>
      <c r="AB42" s="31">
        <f t="shared" si="20"/>
        <v>814.16860087481371</v>
      </c>
      <c r="AC42" s="31">
        <f t="shared" si="20"/>
        <v>822.83560183614088</v>
      </c>
      <c r="AD42" s="31">
        <f t="shared" si="20"/>
        <v>840.1944270430414</v>
      </c>
      <c r="AE42" s="31">
        <f t="shared" si="20"/>
        <v>806.02603687308817</v>
      </c>
      <c r="AF42" s="31">
        <f t="shared" si="20"/>
        <v>819.11724742675835</v>
      </c>
      <c r="AG42" s="31">
        <f t="shared" si="20"/>
        <v>973.5919043680866</v>
      </c>
      <c r="AH42" s="31">
        <f t="shared" si="20"/>
        <v>970.03412736232178</v>
      </c>
      <c r="AI42" s="31">
        <f t="shared" si="20"/>
        <v>974.10488566941092</v>
      </c>
      <c r="AJ42" s="31">
        <f t="shared" si="20"/>
        <v>795.19091501431956</v>
      </c>
      <c r="AK42" s="31">
        <f t="shared" si="17"/>
        <v>989.8984976506257</v>
      </c>
      <c r="AL42" s="31">
        <f t="shared" si="17"/>
        <v>993.52720181335724</v>
      </c>
      <c r="AM42" s="31">
        <f t="shared" si="17"/>
        <v>980.65316251049819</v>
      </c>
      <c r="AN42" s="31">
        <f t="shared" si="17"/>
        <v>976.203344250025</v>
      </c>
      <c r="AO42" s="31">
        <f t="shared" si="17"/>
        <v>949.99781311338836</v>
      </c>
      <c r="AP42" s="31">
        <f t="shared" si="17"/>
        <v>1015.9061915593555</v>
      </c>
      <c r="AQ42" s="31">
        <f t="shared" si="17"/>
        <v>827.76709568032504</v>
      </c>
      <c r="AR42" s="31">
        <f t="shared" si="17"/>
        <v>820.15353045235463</v>
      </c>
      <c r="AS42" s="31">
        <f t="shared" si="17"/>
        <v>867.39874387455177</v>
      </c>
      <c r="AT42" s="31">
        <f t="shared" si="17"/>
        <v>861.39618165508944</v>
      </c>
      <c r="AU42" s="31">
        <f t="shared" si="17"/>
        <v>1023.8363835040758</v>
      </c>
      <c r="AV42" s="31">
        <f t="shared" si="17"/>
        <v>923.20039818644011</v>
      </c>
      <c r="AW42" s="31">
        <f t="shared" si="17"/>
        <v>913.96953463657576</v>
      </c>
      <c r="AX42" s="31">
        <f t="shared" si="17"/>
        <v>925.56813907901517</v>
      </c>
      <c r="AY42" s="31">
        <f t="shared" si="18"/>
        <v>965.55385050664938</v>
      </c>
      <c r="AZ42" s="31">
        <f t="shared" si="18"/>
        <v>946.09258127770397</v>
      </c>
      <c r="BA42" s="31">
        <f t="shared" si="18"/>
        <v>924.49373705593791</v>
      </c>
      <c r="BB42" s="31">
        <f t="shared" si="18"/>
        <v>831.64844687702555</v>
      </c>
      <c r="BC42" s="31">
        <f t="shared" si="19"/>
        <v>849.81863232489252</v>
      </c>
      <c r="BD42" s="31">
        <f t="shared" si="19"/>
        <v>818.29865163409534</v>
      </c>
      <c r="BE42" s="31">
        <f t="shared" si="19"/>
        <v>864.06665493904472</v>
      </c>
      <c r="BF42" s="31">
        <f t="shared" si="19"/>
        <v>864.4618497678747</v>
      </c>
      <c r="BG42" s="31">
        <f t="shared" si="19"/>
        <v>836.69564329961861</v>
      </c>
      <c r="BH42" s="31">
        <f t="shared" si="19"/>
        <v>813.68720321183184</v>
      </c>
      <c r="BI42" s="31">
        <f t="shared" si="19"/>
        <v>837.73342148513723</v>
      </c>
      <c r="BJ42" s="31">
        <f t="shared" si="19"/>
        <v>836.18435733439276</v>
      </c>
    </row>
    <row r="43" spans="2:62">
      <c r="B43" s="37">
        <v>15231</v>
      </c>
      <c r="C43" s="34">
        <f>VLOOKUP($B43,Plagioclase!$AV$7:$BA$478,3,FALSE)</f>
        <v>0.52957336352122686</v>
      </c>
      <c r="D43" s="34">
        <f>VLOOKUP($B43,Plagioclase!$AV$7:$BA$478,4,FALSE)</f>
        <v>0</v>
      </c>
      <c r="E43" s="29" t="str">
        <f>VLOOKUP($B43,Plagioclase!$AV$7:$BA$478,6,FALSE)</f>
        <v>26hHP04.5</v>
      </c>
      <c r="F43" s="31">
        <f t="shared" si="21"/>
        <v>799.35126282346698</v>
      </c>
      <c r="G43" s="31">
        <f t="shared" si="21"/>
        <v>797.54600250548845</v>
      </c>
      <c r="H43" s="31">
        <f t="shared" si="21"/>
        <v>798.53806507356137</v>
      </c>
      <c r="I43" s="31">
        <f t="shared" si="21"/>
        <v>803.82869624735815</v>
      </c>
      <c r="J43" s="31">
        <f t="shared" si="21"/>
        <v>796.71768662504098</v>
      </c>
      <c r="K43" s="31">
        <f t="shared" si="21"/>
        <v>804.20226270696037</v>
      </c>
      <c r="L43" s="31">
        <f t="shared" si="21"/>
        <v>798.1667644623293</v>
      </c>
      <c r="M43" s="31">
        <f t="shared" si="21"/>
        <v>812.04672002439918</v>
      </c>
      <c r="N43" s="31">
        <f t="shared" si="21"/>
        <v>803.63883104185368</v>
      </c>
      <c r="O43" s="31">
        <f t="shared" si="21"/>
        <v>790.54537533082373</v>
      </c>
      <c r="P43" s="31">
        <f t="shared" si="21"/>
        <v>810.09140381608779</v>
      </c>
      <c r="Q43" s="31">
        <f t="shared" si="21"/>
        <v>867.13137811141985</v>
      </c>
      <c r="R43" s="31">
        <f t="shared" si="21"/>
        <v>803.48038741129506</v>
      </c>
      <c r="S43" s="31">
        <f t="shared" si="21"/>
        <v>784.57278345237103</v>
      </c>
      <c r="T43" s="31">
        <f t="shared" si="21"/>
        <v>864.20935454812627</v>
      </c>
      <c r="U43" s="31">
        <f t="shared" si="21"/>
        <v>771.61041330000569</v>
      </c>
      <c r="V43" s="31">
        <f t="shared" si="20"/>
        <v>794.93877696476454</v>
      </c>
      <c r="W43" s="31">
        <f t="shared" si="20"/>
        <v>797.06403527065197</v>
      </c>
      <c r="X43" s="31">
        <f t="shared" si="20"/>
        <v>806.75299395546938</v>
      </c>
      <c r="Y43" s="31">
        <f t="shared" si="20"/>
        <v>812.17133342726959</v>
      </c>
      <c r="Z43" s="31">
        <f t="shared" si="20"/>
        <v>760.55578068236366</v>
      </c>
      <c r="AA43" s="31">
        <f t="shared" si="20"/>
        <v>790.6725485118933</v>
      </c>
      <c r="AB43" s="31">
        <f t="shared" si="20"/>
        <v>794.04209889587094</v>
      </c>
      <c r="AC43" s="31">
        <f t="shared" si="20"/>
        <v>801.94824893161297</v>
      </c>
      <c r="AD43" s="31">
        <f t="shared" si="20"/>
        <v>816.94818758336203</v>
      </c>
      <c r="AE43" s="31">
        <f t="shared" si="20"/>
        <v>786.5983677235846</v>
      </c>
      <c r="AF43" s="31">
        <f t="shared" si="20"/>
        <v>798.5245270924014</v>
      </c>
      <c r="AG43" s="31">
        <f t="shared" si="20"/>
        <v>936.15492903053143</v>
      </c>
      <c r="AH43" s="31">
        <f t="shared" si="20"/>
        <v>932.49563582891858</v>
      </c>
      <c r="AI43" s="31">
        <f t="shared" si="20"/>
        <v>935.46882399733011</v>
      </c>
      <c r="AJ43" s="31">
        <f t="shared" si="20"/>
        <v>777.062916139207</v>
      </c>
      <c r="AK43" s="31">
        <f t="shared" si="17"/>
        <v>951.25378658294233</v>
      </c>
      <c r="AL43" s="31">
        <f t="shared" si="17"/>
        <v>953.69004190371982</v>
      </c>
      <c r="AM43" s="31">
        <f t="shared" si="17"/>
        <v>943.68509896987678</v>
      </c>
      <c r="AN43" s="31">
        <f t="shared" si="17"/>
        <v>940.00811425371546</v>
      </c>
      <c r="AO43" s="31">
        <f t="shared" si="17"/>
        <v>915.45406515271623</v>
      </c>
      <c r="AP43" s="31">
        <f t="shared" si="17"/>
        <v>974.68383403837572</v>
      </c>
      <c r="AQ43" s="31">
        <f t="shared" si="17"/>
        <v>806.44933136896759</v>
      </c>
      <c r="AR43" s="31">
        <f t="shared" si="17"/>
        <v>800.44360079449086</v>
      </c>
      <c r="AS43" s="31">
        <f t="shared" si="17"/>
        <v>843.13295097977004</v>
      </c>
      <c r="AT43" s="31">
        <f t="shared" si="17"/>
        <v>837.5036794804447</v>
      </c>
      <c r="AU43" s="31">
        <f t="shared" si="17"/>
        <v>979.86661407688518</v>
      </c>
      <c r="AV43" s="31">
        <f t="shared" si="17"/>
        <v>891.94339655046326</v>
      </c>
      <c r="AW43" s="31">
        <f t="shared" si="17"/>
        <v>882.81508136504397</v>
      </c>
      <c r="AX43" s="31">
        <f t="shared" si="17"/>
        <v>893.44787224768936</v>
      </c>
      <c r="AY43" s="31">
        <f t="shared" si="18"/>
        <v>929.71243693749454</v>
      </c>
      <c r="AZ43" s="31">
        <f t="shared" si="18"/>
        <v>911.56161867933008</v>
      </c>
      <c r="BA43" s="31">
        <f t="shared" si="18"/>
        <v>892.41654731640153</v>
      </c>
      <c r="BB43" s="31">
        <f t="shared" si="18"/>
        <v>810.16651350124823</v>
      </c>
      <c r="BC43" s="31">
        <f t="shared" si="19"/>
        <v>826.62244851853427</v>
      </c>
      <c r="BD43" s="31">
        <f t="shared" si="19"/>
        <v>797.90168655887135</v>
      </c>
      <c r="BE43" s="31">
        <f t="shared" si="19"/>
        <v>840.00287552225348</v>
      </c>
      <c r="BF43" s="31">
        <f t="shared" si="19"/>
        <v>840.00271788692737</v>
      </c>
      <c r="BG43" s="31">
        <f t="shared" si="19"/>
        <v>815.47282275158352</v>
      </c>
      <c r="BH43" s="31">
        <f t="shared" si="19"/>
        <v>794.29388823061197</v>
      </c>
      <c r="BI43" s="31">
        <f t="shared" si="19"/>
        <v>815.93124557102567</v>
      </c>
      <c r="BJ43" s="31">
        <f t="shared" si="19"/>
        <v>813.90898773407559</v>
      </c>
    </row>
    <row r="44" spans="2:62">
      <c r="B44" s="37">
        <v>15232</v>
      </c>
      <c r="C44" s="34">
        <f>VLOOKUP($B44,Plagioclase!$AV$7:$BA$478,3,FALSE)</f>
        <v>0.59785307584769232</v>
      </c>
      <c r="D44" s="34">
        <f>VLOOKUP($B44,Plagioclase!$AV$7:$BA$478,4,FALSE)</f>
        <v>0</v>
      </c>
      <c r="E44" s="29" t="str">
        <f>VLOOKUP($B44,Plagioclase!$AV$7:$BA$478,6,FALSE)</f>
        <v>26hHP04.6</v>
      </c>
      <c r="F44" s="31">
        <f t="shared" si="21"/>
        <v>780.56777800400812</v>
      </c>
      <c r="G44" s="31">
        <f t="shared" si="21"/>
        <v>778.65798402288226</v>
      </c>
      <c r="H44" s="31">
        <f t="shared" si="21"/>
        <v>780.1280123268408</v>
      </c>
      <c r="I44" s="31">
        <f t="shared" si="21"/>
        <v>785.10879958657767</v>
      </c>
      <c r="J44" s="31">
        <f t="shared" si="21"/>
        <v>778.51339465439412</v>
      </c>
      <c r="K44" s="31">
        <f t="shared" si="21"/>
        <v>784.97062385665811</v>
      </c>
      <c r="L44" s="31">
        <f t="shared" si="21"/>
        <v>779.59601112317739</v>
      </c>
      <c r="M44" s="31">
        <f t="shared" si="21"/>
        <v>792.26502163799375</v>
      </c>
      <c r="N44" s="31">
        <f t="shared" si="21"/>
        <v>784.69604461225083</v>
      </c>
      <c r="O44" s="31">
        <f t="shared" si="21"/>
        <v>772.19541935592804</v>
      </c>
      <c r="P44" s="31">
        <f t="shared" si="21"/>
        <v>791.07579026653673</v>
      </c>
      <c r="Q44" s="31">
        <f t="shared" si="21"/>
        <v>843.99703512777353</v>
      </c>
      <c r="R44" s="31">
        <f t="shared" si="21"/>
        <v>784.53497835347036</v>
      </c>
      <c r="S44" s="31">
        <f t="shared" si="21"/>
        <v>766.12240537223545</v>
      </c>
      <c r="T44" s="31">
        <f t="shared" si="21"/>
        <v>840.71783516208473</v>
      </c>
      <c r="U44" s="31">
        <f t="shared" si="21"/>
        <v>754.39161594336713</v>
      </c>
      <c r="V44" s="31">
        <f t="shared" si="20"/>
        <v>776.43454901348298</v>
      </c>
      <c r="W44" s="31">
        <f t="shared" si="20"/>
        <v>778.1866868665237</v>
      </c>
      <c r="X44" s="31">
        <f t="shared" si="20"/>
        <v>787.71792191002612</v>
      </c>
      <c r="Y44" s="31">
        <f t="shared" si="20"/>
        <v>792.97440553655349</v>
      </c>
      <c r="Z44" s="31">
        <f t="shared" si="20"/>
        <v>743.72467769442221</v>
      </c>
      <c r="AA44" s="31">
        <f t="shared" si="20"/>
        <v>772.80536057119809</v>
      </c>
      <c r="AB44" s="31">
        <f t="shared" si="20"/>
        <v>775.34485033791054</v>
      </c>
      <c r="AC44" s="31">
        <f t="shared" si="20"/>
        <v>782.71990692353199</v>
      </c>
      <c r="AD44" s="31">
        <f t="shared" si="20"/>
        <v>795.95203771730291</v>
      </c>
      <c r="AE44" s="31">
        <f t="shared" si="20"/>
        <v>768.39227416007759</v>
      </c>
      <c r="AF44" s="31">
        <f t="shared" si="20"/>
        <v>779.49487308518871</v>
      </c>
      <c r="AG44" s="31">
        <f t="shared" si="20"/>
        <v>906.03685140946629</v>
      </c>
      <c r="AH44" s="31">
        <f t="shared" si="20"/>
        <v>902.23788720835057</v>
      </c>
      <c r="AI44" s="31">
        <f t="shared" si="20"/>
        <v>904.45084078582511</v>
      </c>
      <c r="AJ44" s="31">
        <f t="shared" si="20"/>
        <v>759.85932318970833</v>
      </c>
      <c r="AK44" s="31">
        <f t="shared" si="17"/>
        <v>920.50590646050193</v>
      </c>
      <c r="AL44" s="31">
        <f t="shared" si="17"/>
        <v>922.1122305141954</v>
      </c>
      <c r="AM44" s="31">
        <f t="shared" si="17"/>
        <v>914.04423937602007</v>
      </c>
      <c r="AN44" s="31">
        <f t="shared" si="17"/>
        <v>910.87917976719257</v>
      </c>
      <c r="AO44" s="31">
        <f t="shared" si="17"/>
        <v>887.14528463547288</v>
      </c>
      <c r="AP44" s="31">
        <f t="shared" si="17"/>
        <v>942.46280949235927</v>
      </c>
      <c r="AQ44" s="31">
        <f t="shared" si="17"/>
        <v>786.92413270248369</v>
      </c>
      <c r="AR44" s="31">
        <f t="shared" si="17"/>
        <v>782.21767689123647</v>
      </c>
      <c r="AS44" s="31">
        <f t="shared" si="17"/>
        <v>821.72773835597411</v>
      </c>
      <c r="AT44" s="31">
        <f t="shared" si="17"/>
        <v>816.31527264436329</v>
      </c>
      <c r="AU44" s="31">
        <f t="shared" si="17"/>
        <v>945.77214204509312</v>
      </c>
      <c r="AV44" s="31">
        <f t="shared" si="17"/>
        <v>865.75224141286628</v>
      </c>
      <c r="AW44" s="31">
        <f t="shared" si="17"/>
        <v>856.5436640129675</v>
      </c>
      <c r="AX44" s="31">
        <f t="shared" si="17"/>
        <v>866.61189536550376</v>
      </c>
      <c r="AY44" s="31">
        <f t="shared" si="18"/>
        <v>900.67242895783158</v>
      </c>
      <c r="AZ44" s="31">
        <f t="shared" si="18"/>
        <v>883.19423473242148</v>
      </c>
      <c r="BA44" s="31">
        <f t="shared" si="18"/>
        <v>865.59578876083026</v>
      </c>
      <c r="BB44" s="31">
        <f t="shared" si="18"/>
        <v>790.56243140659205</v>
      </c>
      <c r="BC44" s="31">
        <f t="shared" si="19"/>
        <v>805.83520924555967</v>
      </c>
      <c r="BD44" s="31">
        <f t="shared" si="19"/>
        <v>779.03253603896144</v>
      </c>
      <c r="BE44" s="31">
        <f t="shared" si="19"/>
        <v>818.71345388394172</v>
      </c>
      <c r="BF44" s="31">
        <f t="shared" si="19"/>
        <v>818.38467777558651</v>
      </c>
      <c r="BG44" s="31">
        <f t="shared" si="19"/>
        <v>796.17957419305355</v>
      </c>
      <c r="BH44" s="31">
        <f t="shared" si="19"/>
        <v>776.24599927501629</v>
      </c>
      <c r="BI44" s="31">
        <f t="shared" si="19"/>
        <v>796.14879105393186</v>
      </c>
      <c r="BJ44" s="31">
        <f t="shared" si="19"/>
        <v>793.68749536044868</v>
      </c>
    </row>
    <row r="45" spans="2:62">
      <c r="B45" s="37">
        <v>15239</v>
      </c>
      <c r="C45" s="34">
        <f>VLOOKUP($B45,Plagioclase!$AV$7:$BA$478,3,FALSE)</f>
        <v>0.68774648404864991</v>
      </c>
      <c r="D45" s="34">
        <f>VLOOKUP($B45,Plagioclase!$AV$7:$BA$478,4,FALSE)</f>
        <v>0</v>
      </c>
      <c r="E45" s="29" t="str">
        <f>VLOOKUP($B45,Plagioclase!$AV$7:$BA$478,6,FALSE)</f>
        <v>26hHP06.1</v>
      </c>
      <c r="F45" s="31">
        <f t="shared" si="21"/>
        <v>759.67476163939079</v>
      </c>
      <c r="G45" s="31">
        <f t="shared" si="21"/>
        <v>757.65443696849422</v>
      </c>
      <c r="H45" s="31">
        <f t="shared" si="21"/>
        <v>759.63560583486162</v>
      </c>
      <c r="I45" s="31">
        <f t="shared" si="21"/>
        <v>764.28060919127131</v>
      </c>
      <c r="J45" s="31">
        <f t="shared" si="21"/>
        <v>758.24291559266373</v>
      </c>
      <c r="K45" s="31">
        <f t="shared" si="21"/>
        <v>763.59462072901204</v>
      </c>
      <c r="L45" s="31">
        <f t="shared" si="21"/>
        <v>758.93165740036477</v>
      </c>
      <c r="M45" s="31">
        <f t="shared" si="21"/>
        <v>770.29547918708306</v>
      </c>
      <c r="N45" s="31">
        <f t="shared" si="21"/>
        <v>763.6293782138556</v>
      </c>
      <c r="O45" s="31">
        <f t="shared" si="21"/>
        <v>751.77309442844182</v>
      </c>
      <c r="P45" s="31">
        <f t="shared" si="21"/>
        <v>769.92642355095256</v>
      </c>
      <c r="Q45" s="31">
        <f t="shared" si="21"/>
        <v>818.41754407162523</v>
      </c>
      <c r="R45" s="31">
        <f t="shared" si="21"/>
        <v>763.46562289416659</v>
      </c>
      <c r="S45" s="31">
        <f t="shared" si="21"/>
        <v>745.59680738668226</v>
      </c>
      <c r="T45" s="31">
        <f t="shared" si="21"/>
        <v>814.76384978107842</v>
      </c>
      <c r="U45" s="31">
        <f t="shared" si="21"/>
        <v>735.19644322860506</v>
      </c>
      <c r="V45" s="31">
        <f t="shared" si="20"/>
        <v>755.84378241923321</v>
      </c>
      <c r="W45" s="31">
        <f t="shared" si="20"/>
        <v>757.19491356543119</v>
      </c>
      <c r="X45" s="31">
        <f t="shared" si="20"/>
        <v>766.55020320839446</v>
      </c>
      <c r="Y45" s="31">
        <f t="shared" si="20"/>
        <v>771.62950258901026</v>
      </c>
      <c r="Z45" s="31">
        <f t="shared" si="20"/>
        <v>724.95367660855095</v>
      </c>
      <c r="AA45" s="31">
        <f t="shared" si="20"/>
        <v>752.90082560387657</v>
      </c>
      <c r="AB45" s="31">
        <f t="shared" si="20"/>
        <v>754.54803791776669</v>
      </c>
      <c r="AC45" s="31">
        <f t="shared" si="20"/>
        <v>761.34914690147536</v>
      </c>
      <c r="AD45" s="31">
        <f t="shared" si="20"/>
        <v>772.68540503805491</v>
      </c>
      <c r="AE45" s="31">
        <f t="shared" si="20"/>
        <v>748.12694377554124</v>
      </c>
      <c r="AF45" s="31">
        <f t="shared" si="20"/>
        <v>758.33910601441664</v>
      </c>
      <c r="AG45" s="31">
        <f t="shared" si="20"/>
        <v>873.06423797261175</v>
      </c>
      <c r="AH45" s="31">
        <f t="shared" si="20"/>
        <v>869.12598539796352</v>
      </c>
      <c r="AI45" s="31">
        <f t="shared" si="20"/>
        <v>870.54833199264851</v>
      </c>
      <c r="AJ45" s="31">
        <f t="shared" si="20"/>
        <v>740.67697402183535</v>
      </c>
      <c r="AK45" s="31">
        <f t="shared" si="17"/>
        <v>886.85878315284265</v>
      </c>
      <c r="AL45" s="31">
        <f t="shared" si="17"/>
        <v>887.60340353581716</v>
      </c>
      <c r="AM45" s="31">
        <f t="shared" si="17"/>
        <v>881.55596660366962</v>
      </c>
      <c r="AN45" s="31">
        <f t="shared" si="17"/>
        <v>878.92812003706274</v>
      </c>
      <c r="AO45" s="31">
        <f t="shared" si="17"/>
        <v>856.08089334313775</v>
      </c>
      <c r="AP45" s="31">
        <f t="shared" si="17"/>
        <v>907.25730089730848</v>
      </c>
      <c r="AQ45" s="31">
        <f t="shared" si="17"/>
        <v>765.23278768628904</v>
      </c>
      <c r="AR45" s="31">
        <f t="shared" si="17"/>
        <v>761.92141305573875</v>
      </c>
      <c r="AS45" s="31">
        <f t="shared" si="17"/>
        <v>798.00345543711899</v>
      </c>
      <c r="AT45" s="31">
        <f t="shared" si="17"/>
        <v>792.82633612194047</v>
      </c>
      <c r="AU45" s="31">
        <f t="shared" si="17"/>
        <v>908.63058236834115</v>
      </c>
      <c r="AV45" s="31">
        <f t="shared" si="17"/>
        <v>836.92892710209992</v>
      </c>
      <c r="AW45" s="31">
        <f t="shared" si="17"/>
        <v>827.64735890429245</v>
      </c>
      <c r="AX45" s="31">
        <f t="shared" si="17"/>
        <v>837.11217359981276</v>
      </c>
      <c r="AY45" s="31">
        <f t="shared" si="18"/>
        <v>868.82791529568283</v>
      </c>
      <c r="AZ45" s="31">
        <f t="shared" si="18"/>
        <v>852.07407609386348</v>
      </c>
      <c r="BA45" s="31">
        <f t="shared" si="18"/>
        <v>836.11325819587762</v>
      </c>
      <c r="BB45" s="31">
        <f t="shared" si="18"/>
        <v>768.78395531535978</v>
      </c>
      <c r="BC45" s="31">
        <f t="shared" si="19"/>
        <v>782.78227606735402</v>
      </c>
      <c r="BD45" s="31">
        <f t="shared" si="19"/>
        <v>758.04891123603272</v>
      </c>
      <c r="BE45" s="31">
        <f t="shared" si="19"/>
        <v>795.11496557782255</v>
      </c>
      <c r="BF45" s="31">
        <f t="shared" si="19"/>
        <v>794.43713023886801</v>
      </c>
      <c r="BG45" s="31">
        <f t="shared" si="19"/>
        <v>774.72917973716437</v>
      </c>
      <c r="BH45" s="31">
        <f t="shared" si="19"/>
        <v>756.14501282784533</v>
      </c>
      <c r="BI45" s="31">
        <f t="shared" si="19"/>
        <v>774.17537051428292</v>
      </c>
      <c r="BJ45" s="31">
        <f t="shared" si="19"/>
        <v>771.2475353763931</v>
      </c>
    </row>
    <row r="46" spans="2:62">
      <c r="B46" s="37">
        <v>15242</v>
      </c>
      <c r="C46" s="34">
        <f>VLOOKUP($B46,Plagioclase!$AV$7:$BA$478,3,FALSE)</f>
        <v>0.70017043333162998</v>
      </c>
      <c r="D46" s="34">
        <f>VLOOKUP($B46,Plagioclase!$AV$7:$BA$478,4,FALSE)</f>
        <v>0</v>
      </c>
      <c r="E46" s="29" t="str">
        <f>VLOOKUP($B46,Plagioclase!$AV$7:$BA$478,6,FALSE)</f>
        <v>26hHP06.4</v>
      </c>
      <c r="F46" s="31">
        <f t="shared" si="21"/>
        <v>757.06391945597136</v>
      </c>
      <c r="G46" s="31">
        <f t="shared" si="21"/>
        <v>755.03020760334186</v>
      </c>
      <c r="H46" s="31">
        <f t="shared" si="21"/>
        <v>757.07373125732022</v>
      </c>
      <c r="I46" s="31">
        <f t="shared" si="21"/>
        <v>761.67743066326932</v>
      </c>
      <c r="J46" s="31">
        <f t="shared" si="21"/>
        <v>755.70825873016736</v>
      </c>
      <c r="K46" s="31">
        <f t="shared" si="21"/>
        <v>760.92456974924482</v>
      </c>
      <c r="L46" s="31">
        <f t="shared" si="21"/>
        <v>756.34879994921732</v>
      </c>
      <c r="M46" s="31">
        <f t="shared" si="21"/>
        <v>767.55260927593861</v>
      </c>
      <c r="N46" s="31">
        <f t="shared" si="21"/>
        <v>760.99709848186842</v>
      </c>
      <c r="O46" s="31">
        <f t="shared" si="21"/>
        <v>749.22021724835145</v>
      </c>
      <c r="P46" s="31">
        <f t="shared" si="21"/>
        <v>767.28368400921215</v>
      </c>
      <c r="Q46" s="31">
        <f t="shared" si="21"/>
        <v>815.23232422878743</v>
      </c>
      <c r="R46" s="31">
        <f t="shared" si="21"/>
        <v>760.83302401036997</v>
      </c>
      <c r="S46" s="31">
        <f t="shared" si="21"/>
        <v>743.03164926613692</v>
      </c>
      <c r="T46" s="31">
        <f t="shared" si="21"/>
        <v>811.53349817018113</v>
      </c>
      <c r="U46" s="31">
        <f t="shared" si="21"/>
        <v>732.79460893103192</v>
      </c>
      <c r="V46" s="31">
        <f t="shared" si="20"/>
        <v>753.27009024878737</v>
      </c>
      <c r="W46" s="31">
        <f t="shared" si="20"/>
        <v>754.5721484739596</v>
      </c>
      <c r="X46" s="31">
        <f t="shared" si="20"/>
        <v>763.90541395516868</v>
      </c>
      <c r="Y46" s="31">
        <f t="shared" si="20"/>
        <v>768.96278274430199</v>
      </c>
      <c r="Z46" s="31">
        <f t="shared" si="20"/>
        <v>722.60432200408866</v>
      </c>
      <c r="AA46" s="31">
        <f t="shared" si="20"/>
        <v>750.41122842683046</v>
      </c>
      <c r="AB46" s="31">
        <f t="shared" si="20"/>
        <v>751.94923853881585</v>
      </c>
      <c r="AC46" s="31">
        <f t="shared" si="20"/>
        <v>758.67986758885343</v>
      </c>
      <c r="AD46" s="31">
        <f t="shared" si="20"/>
        <v>769.78440495551729</v>
      </c>
      <c r="AE46" s="31">
        <f t="shared" si="20"/>
        <v>745.59346079463023</v>
      </c>
      <c r="AF46" s="31">
        <f t="shared" si="20"/>
        <v>755.69624852097047</v>
      </c>
      <c r="AG46" s="31">
        <f t="shared" si="20"/>
        <v>868.98232691349642</v>
      </c>
      <c r="AH46" s="31">
        <f t="shared" si="20"/>
        <v>865.02782074066033</v>
      </c>
      <c r="AI46" s="31">
        <f t="shared" si="20"/>
        <v>866.35531660168647</v>
      </c>
      <c r="AJ46" s="31">
        <f t="shared" si="20"/>
        <v>738.27643802376167</v>
      </c>
      <c r="AK46" s="31">
        <f t="shared" si="17"/>
        <v>882.69445874744667</v>
      </c>
      <c r="AL46" s="31">
        <f t="shared" si="17"/>
        <v>883.33580382233356</v>
      </c>
      <c r="AM46" s="31">
        <f t="shared" si="17"/>
        <v>877.53124128380171</v>
      </c>
      <c r="AN46" s="31">
        <f t="shared" si="17"/>
        <v>874.96820529468107</v>
      </c>
      <c r="AO46" s="31">
        <f t="shared" si="17"/>
        <v>852.22992582653671</v>
      </c>
      <c r="AP46" s="31">
        <f t="shared" si="17"/>
        <v>902.90399697933537</v>
      </c>
      <c r="AQ46" s="31">
        <f t="shared" si="17"/>
        <v>762.52415724490527</v>
      </c>
      <c r="AR46" s="31">
        <f t="shared" si="17"/>
        <v>759.38340618739869</v>
      </c>
      <c r="AS46" s="31">
        <f t="shared" si="17"/>
        <v>795.04507235907101</v>
      </c>
      <c r="AT46" s="31">
        <f t="shared" si="17"/>
        <v>789.89693547457648</v>
      </c>
      <c r="AU46" s="31">
        <f t="shared" si="17"/>
        <v>904.0458996896308</v>
      </c>
      <c r="AV46" s="31">
        <f t="shared" si="17"/>
        <v>833.34973379813607</v>
      </c>
      <c r="AW46" s="31">
        <f t="shared" si="17"/>
        <v>824.06022294843331</v>
      </c>
      <c r="AX46" s="31">
        <f t="shared" si="17"/>
        <v>833.45141259077548</v>
      </c>
      <c r="AY46" s="31">
        <f t="shared" si="18"/>
        <v>864.88186143556311</v>
      </c>
      <c r="AZ46" s="31">
        <f t="shared" si="18"/>
        <v>848.21681768900191</v>
      </c>
      <c r="BA46" s="31">
        <f t="shared" si="18"/>
        <v>832.45466429296687</v>
      </c>
      <c r="BB46" s="31">
        <f t="shared" si="18"/>
        <v>766.06448192634809</v>
      </c>
      <c r="BC46" s="31">
        <f t="shared" si="19"/>
        <v>779.90660777960386</v>
      </c>
      <c r="BD46" s="31">
        <f t="shared" si="19"/>
        <v>755.42709262759752</v>
      </c>
      <c r="BE46" s="31">
        <f t="shared" si="19"/>
        <v>792.17208151488933</v>
      </c>
      <c r="BF46" s="31">
        <f t="shared" si="19"/>
        <v>791.45183637822277</v>
      </c>
      <c r="BG46" s="31">
        <f t="shared" si="19"/>
        <v>772.04939921164248</v>
      </c>
      <c r="BH46" s="31">
        <f t="shared" si="19"/>
        <v>753.63120399960223</v>
      </c>
      <c r="BI46" s="31">
        <f t="shared" si="19"/>
        <v>771.43179187038584</v>
      </c>
      <c r="BJ46" s="31">
        <f t="shared" si="19"/>
        <v>768.44726472799096</v>
      </c>
    </row>
    <row r="47" spans="2:62">
      <c r="B47" s="37">
        <v>15243</v>
      </c>
      <c r="C47" s="34">
        <f>VLOOKUP($B47,Plagioclase!$AV$7:$BA$478,3,FALSE)</f>
        <v>0.7121005004570401</v>
      </c>
      <c r="D47" s="34">
        <f>VLOOKUP($B47,Plagioclase!$AV$7:$BA$478,4,FALSE)</f>
        <v>0</v>
      </c>
      <c r="E47" s="29" t="str">
        <f>VLOOKUP($B47,Plagioclase!$AV$7:$BA$478,6,FALSE)</f>
        <v>26hHP06.5</v>
      </c>
      <c r="F47" s="31">
        <f t="shared" si="21"/>
        <v>754.61218173564487</v>
      </c>
      <c r="G47" s="31">
        <f t="shared" si="21"/>
        <v>752.5659844635926</v>
      </c>
      <c r="H47" s="31">
        <f t="shared" si="21"/>
        <v>754.6677557620277</v>
      </c>
      <c r="I47" s="31">
        <f t="shared" si="21"/>
        <v>759.23280113720728</v>
      </c>
      <c r="J47" s="31">
        <f t="shared" si="21"/>
        <v>753.32773803838256</v>
      </c>
      <c r="K47" s="31">
        <f t="shared" si="21"/>
        <v>758.41746318137177</v>
      </c>
      <c r="L47" s="31">
        <f t="shared" si="21"/>
        <v>753.92322230597472</v>
      </c>
      <c r="M47" s="31">
        <f t="shared" si="21"/>
        <v>764.9773942588148</v>
      </c>
      <c r="N47" s="31">
        <f t="shared" si="21"/>
        <v>758.5252826401919</v>
      </c>
      <c r="O47" s="31">
        <f t="shared" si="21"/>
        <v>746.82273940126265</v>
      </c>
      <c r="P47" s="31">
        <f t="shared" si="21"/>
        <v>764.80202042214535</v>
      </c>
      <c r="Q47" s="31">
        <f t="shared" si="21"/>
        <v>812.24347916422073</v>
      </c>
      <c r="R47" s="31">
        <f t="shared" si="21"/>
        <v>758.36091187942145</v>
      </c>
      <c r="S47" s="31">
        <f t="shared" si="21"/>
        <v>740.62276521518163</v>
      </c>
      <c r="T47" s="31">
        <f t="shared" si="21"/>
        <v>808.50260598673128</v>
      </c>
      <c r="U47" s="31">
        <f t="shared" si="21"/>
        <v>730.53850232700177</v>
      </c>
      <c r="V47" s="31">
        <f t="shared" si="20"/>
        <v>750.85311321364622</v>
      </c>
      <c r="W47" s="31">
        <f t="shared" si="20"/>
        <v>752.10929895917491</v>
      </c>
      <c r="X47" s="31">
        <f t="shared" si="20"/>
        <v>761.42187482702423</v>
      </c>
      <c r="Y47" s="31">
        <f t="shared" si="20"/>
        <v>766.45869209028217</v>
      </c>
      <c r="Z47" s="31">
        <f t="shared" si="20"/>
        <v>720.39739026460029</v>
      </c>
      <c r="AA47" s="31">
        <f t="shared" si="20"/>
        <v>748.07288581567752</v>
      </c>
      <c r="AB47" s="31">
        <f t="shared" si="20"/>
        <v>749.50881396813884</v>
      </c>
      <c r="AC47" s="31">
        <f t="shared" si="20"/>
        <v>756.17350919860053</v>
      </c>
      <c r="AD47" s="31">
        <f t="shared" si="20"/>
        <v>767.06149396065246</v>
      </c>
      <c r="AE47" s="31">
        <f t="shared" si="20"/>
        <v>743.21414987481512</v>
      </c>
      <c r="AF47" s="31">
        <f t="shared" si="20"/>
        <v>753.2146120316753</v>
      </c>
      <c r="AG47" s="31">
        <f t="shared" si="20"/>
        <v>865.15685966610465</v>
      </c>
      <c r="AH47" s="31">
        <f t="shared" si="20"/>
        <v>861.18731893486699</v>
      </c>
      <c r="AI47" s="31">
        <f t="shared" si="20"/>
        <v>862.426526998236</v>
      </c>
      <c r="AJ47" s="31">
        <f t="shared" si="20"/>
        <v>736.02148889053285</v>
      </c>
      <c r="AK47" s="31">
        <f t="shared" si="17"/>
        <v>878.79197344730403</v>
      </c>
      <c r="AL47" s="31">
        <f t="shared" si="17"/>
        <v>879.33721062879738</v>
      </c>
      <c r="AM47" s="31">
        <f t="shared" si="17"/>
        <v>873.75881187592302</v>
      </c>
      <c r="AN47" s="31">
        <f t="shared" si="17"/>
        <v>871.25617513890154</v>
      </c>
      <c r="AO47" s="31">
        <f t="shared" si="17"/>
        <v>848.61983392738705</v>
      </c>
      <c r="AP47" s="31">
        <f t="shared" si="17"/>
        <v>898.82519223493148</v>
      </c>
      <c r="AQ47" s="31">
        <f t="shared" si="17"/>
        <v>759.98098919277061</v>
      </c>
      <c r="AR47" s="31">
        <f t="shared" si="17"/>
        <v>756.99971373589676</v>
      </c>
      <c r="AS47" s="31">
        <f t="shared" si="17"/>
        <v>792.268236308979</v>
      </c>
      <c r="AT47" s="31">
        <f t="shared" si="17"/>
        <v>787.14722965819362</v>
      </c>
      <c r="AU47" s="31">
        <f t="shared" si="17"/>
        <v>899.75190483205222</v>
      </c>
      <c r="AV47" s="31">
        <f t="shared" si="17"/>
        <v>829.99320339250187</v>
      </c>
      <c r="AW47" s="31">
        <f t="shared" si="17"/>
        <v>820.69646897581094</v>
      </c>
      <c r="AX47" s="31">
        <f t="shared" si="17"/>
        <v>830.01887557016505</v>
      </c>
      <c r="AY47" s="31">
        <f t="shared" si="18"/>
        <v>861.18295582042185</v>
      </c>
      <c r="AZ47" s="31">
        <f t="shared" si="18"/>
        <v>844.60095305941866</v>
      </c>
      <c r="BA47" s="31">
        <f t="shared" si="18"/>
        <v>829.02416604678263</v>
      </c>
      <c r="BB47" s="31">
        <f t="shared" si="18"/>
        <v>763.51114081635717</v>
      </c>
      <c r="BC47" s="31">
        <f t="shared" si="19"/>
        <v>777.20720842491335</v>
      </c>
      <c r="BD47" s="31">
        <f t="shared" si="19"/>
        <v>752.96511740456197</v>
      </c>
      <c r="BE47" s="31">
        <f t="shared" si="19"/>
        <v>789.40975554384511</v>
      </c>
      <c r="BF47" s="31">
        <f t="shared" si="19"/>
        <v>788.64992854039235</v>
      </c>
      <c r="BG47" s="31">
        <f t="shared" si="19"/>
        <v>769.53306841544997</v>
      </c>
      <c r="BH47" s="31">
        <f t="shared" si="19"/>
        <v>751.27019356986727</v>
      </c>
      <c r="BI47" s="31">
        <f t="shared" si="19"/>
        <v>768.85586606601794</v>
      </c>
      <c r="BJ47" s="31">
        <f t="shared" si="19"/>
        <v>765.81842617075756</v>
      </c>
    </row>
    <row r="48" spans="2:62">
      <c r="B48" s="37">
        <v>15249</v>
      </c>
      <c r="C48" s="34">
        <f>VLOOKUP($B48,Plagioclase!$AV$7:$BA$478,3,FALSE)</f>
        <v>0.72497148823796098</v>
      </c>
      <c r="D48" s="34">
        <f>VLOOKUP($B48,Plagioclase!$AV$7:$BA$478,4,FALSE)</f>
        <v>0</v>
      </c>
      <c r="E48" s="29" t="str">
        <f>VLOOKUP($B48,Plagioclase!$AV$7:$BA$478,6,FALSE)</f>
        <v>26hHP08.1</v>
      </c>
      <c r="F48" s="31">
        <f t="shared" si="21"/>
        <v>752.02543115810806</v>
      </c>
      <c r="G48" s="31">
        <f t="shared" si="21"/>
        <v>749.96615116222654</v>
      </c>
      <c r="H48" s="31">
        <f t="shared" si="21"/>
        <v>752.12905504667526</v>
      </c>
      <c r="I48" s="31">
        <f t="shared" si="21"/>
        <v>756.65345731965124</v>
      </c>
      <c r="J48" s="31">
        <f t="shared" si="21"/>
        <v>750.81578435419283</v>
      </c>
      <c r="K48" s="31">
        <f t="shared" si="21"/>
        <v>755.77253802801386</v>
      </c>
      <c r="L48" s="31">
        <f t="shared" si="21"/>
        <v>751.3639471479031</v>
      </c>
      <c r="M48" s="31">
        <f t="shared" si="21"/>
        <v>762.26089648337404</v>
      </c>
      <c r="N48" s="31">
        <f t="shared" si="21"/>
        <v>755.91740395180102</v>
      </c>
      <c r="O48" s="31">
        <f t="shared" si="21"/>
        <v>744.29305527823396</v>
      </c>
      <c r="P48" s="31">
        <f t="shared" si="21"/>
        <v>762.18372506739399</v>
      </c>
      <c r="Q48" s="31">
        <f t="shared" si="21"/>
        <v>809.0924222597929</v>
      </c>
      <c r="R48" s="31">
        <f t="shared" si="21"/>
        <v>755.75272416968585</v>
      </c>
      <c r="S48" s="31">
        <f t="shared" si="21"/>
        <v>738.08117944731089</v>
      </c>
      <c r="T48" s="31">
        <f t="shared" si="21"/>
        <v>805.30753674581831</v>
      </c>
      <c r="U48" s="31">
        <f t="shared" si="21"/>
        <v>728.15748376448585</v>
      </c>
      <c r="V48" s="31">
        <f t="shared" si="20"/>
        <v>748.30290583426188</v>
      </c>
      <c r="W48" s="31">
        <f t="shared" si="20"/>
        <v>749.51091343912947</v>
      </c>
      <c r="X48" s="31">
        <f t="shared" si="20"/>
        <v>758.80165237176459</v>
      </c>
      <c r="Y48" s="31">
        <f t="shared" si="20"/>
        <v>763.81683111815539</v>
      </c>
      <c r="Z48" s="31">
        <f t="shared" si="20"/>
        <v>718.06814236410844</v>
      </c>
      <c r="AA48" s="31">
        <f t="shared" si="20"/>
        <v>745.60529034853982</v>
      </c>
      <c r="AB48" s="31">
        <f t="shared" si="20"/>
        <v>746.93400397968162</v>
      </c>
      <c r="AC48" s="31">
        <f t="shared" si="20"/>
        <v>753.52939813011483</v>
      </c>
      <c r="AD48" s="31">
        <f t="shared" si="20"/>
        <v>764.19000370293099</v>
      </c>
      <c r="AE48" s="31">
        <f t="shared" si="20"/>
        <v>740.70358542455415</v>
      </c>
      <c r="AF48" s="31">
        <f t="shared" si="20"/>
        <v>750.59649001101866</v>
      </c>
      <c r="AG48" s="31">
        <f t="shared" si="20"/>
        <v>861.12878378977337</v>
      </c>
      <c r="AH48" s="31">
        <f t="shared" si="20"/>
        <v>857.14361918700513</v>
      </c>
      <c r="AI48" s="31">
        <f t="shared" si="20"/>
        <v>858.2904948648021</v>
      </c>
      <c r="AJ48" s="31">
        <f t="shared" si="20"/>
        <v>733.6416266813518</v>
      </c>
      <c r="AK48" s="31">
        <f t="shared" si="17"/>
        <v>874.68302807457178</v>
      </c>
      <c r="AL48" s="31">
        <f t="shared" si="17"/>
        <v>875.12777719569601</v>
      </c>
      <c r="AM48" s="31">
        <f t="shared" si="17"/>
        <v>869.78600209492004</v>
      </c>
      <c r="AN48" s="31">
        <f t="shared" si="17"/>
        <v>867.3466081403725</v>
      </c>
      <c r="AO48" s="31">
        <f t="shared" si="17"/>
        <v>844.81743205277451</v>
      </c>
      <c r="AP48" s="31">
        <f t="shared" si="17"/>
        <v>894.53141221990757</v>
      </c>
      <c r="AQ48" s="31">
        <f t="shared" si="17"/>
        <v>757.29819195202288</v>
      </c>
      <c r="AR48" s="31">
        <f t="shared" si="17"/>
        <v>754.48438641794462</v>
      </c>
      <c r="AS48" s="31">
        <f t="shared" si="17"/>
        <v>789.33981059062523</v>
      </c>
      <c r="AT48" s="31">
        <f t="shared" si="17"/>
        <v>784.24733798439809</v>
      </c>
      <c r="AU48" s="31">
        <f t="shared" si="17"/>
        <v>895.23326343904148</v>
      </c>
      <c r="AV48" s="31">
        <f t="shared" si="17"/>
        <v>826.45659983452322</v>
      </c>
      <c r="AW48" s="31">
        <f t="shared" si="17"/>
        <v>817.15248987623511</v>
      </c>
      <c r="AX48" s="31">
        <f t="shared" si="17"/>
        <v>826.40269733704724</v>
      </c>
      <c r="AY48" s="31">
        <f t="shared" si="18"/>
        <v>857.28734919099031</v>
      </c>
      <c r="AZ48" s="31">
        <f t="shared" si="18"/>
        <v>840.7926013866105</v>
      </c>
      <c r="BA48" s="31">
        <f t="shared" si="18"/>
        <v>825.41014275317832</v>
      </c>
      <c r="BB48" s="31">
        <f t="shared" si="18"/>
        <v>760.81761987942116</v>
      </c>
      <c r="BC48" s="31">
        <f t="shared" si="19"/>
        <v>774.36023464858442</v>
      </c>
      <c r="BD48" s="31">
        <f t="shared" si="19"/>
        <v>750.36763908438024</v>
      </c>
      <c r="BE48" s="31">
        <f t="shared" si="19"/>
        <v>786.49659235629576</v>
      </c>
      <c r="BF48" s="31">
        <f t="shared" si="19"/>
        <v>785.69525909315769</v>
      </c>
      <c r="BG48" s="31">
        <f t="shared" si="19"/>
        <v>766.87831910845409</v>
      </c>
      <c r="BH48" s="31">
        <f t="shared" si="19"/>
        <v>748.77875384723279</v>
      </c>
      <c r="BI48" s="31">
        <f t="shared" si="19"/>
        <v>766.13857087946587</v>
      </c>
      <c r="BJ48" s="31">
        <f t="shared" si="19"/>
        <v>763.04564486320908</v>
      </c>
    </row>
    <row r="49" spans="2:62">
      <c r="B49" s="37">
        <v>15251</v>
      </c>
      <c r="C49" s="34">
        <f>VLOOKUP($B49,Plagioclase!$AV$7:$BA$478,3,FALSE)</f>
        <v>0.68038752606387454</v>
      </c>
      <c r="D49" s="34">
        <f>VLOOKUP($B49,Plagioclase!$AV$7:$BA$478,4,FALSE)</f>
        <v>0</v>
      </c>
      <c r="E49" s="29" t="str">
        <f>VLOOKUP($B49,Plagioclase!$AV$7:$BA$478,6,FALSE)</f>
        <v>26hHP08.3</v>
      </c>
      <c r="F49" s="31">
        <f t="shared" si="21"/>
        <v>761.24992557611256</v>
      </c>
      <c r="G49" s="31">
        <f t="shared" si="21"/>
        <v>759.23772327201721</v>
      </c>
      <c r="H49" s="31">
        <f t="shared" si="21"/>
        <v>761.18110926518887</v>
      </c>
      <c r="I49" s="31">
        <f t="shared" si="21"/>
        <v>765.85110254012864</v>
      </c>
      <c r="J49" s="31">
        <f t="shared" si="21"/>
        <v>759.77194275643217</v>
      </c>
      <c r="K49" s="31">
        <f t="shared" si="21"/>
        <v>765.20562944189248</v>
      </c>
      <c r="L49" s="31">
        <f t="shared" si="21"/>
        <v>760.48987433439868</v>
      </c>
      <c r="M49" s="31">
        <f t="shared" si="21"/>
        <v>771.95056578395531</v>
      </c>
      <c r="N49" s="31">
        <f t="shared" si="21"/>
        <v>765.21750394459798</v>
      </c>
      <c r="O49" s="31">
        <f t="shared" si="21"/>
        <v>753.31319536743433</v>
      </c>
      <c r="P49" s="31">
        <f t="shared" si="21"/>
        <v>771.52084638654003</v>
      </c>
      <c r="Q49" s="31">
        <f t="shared" si="21"/>
        <v>820.34044538957176</v>
      </c>
      <c r="R49" s="31">
        <f t="shared" si="21"/>
        <v>765.05394298785779</v>
      </c>
      <c r="S49" s="31">
        <f t="shared" si="21"/>
        <v>747.14438472427025</v>
      </c>
      <c r="T49" s="31">
        <f t="shared" si="21"/>
        <v>816.71415779463962</v>
      </c>
      <c r="U49" s="31">
        <f t="shared" si="21"/>
        <v>736.64516949893289</v>
      </c>
      <c r="V49" s="31">
        <f t="shared" si="20"/>
        <v>757.39646652702834</v>
      </c>
      <c r="W49" s="31">
        <f t="shared" si="20"/>
        <v>758.77731569631499</v>
      </c>
      <c r="X49" s="31">
        <f t="shared" si="20"/>
        <v>768.14588883885483</v>
      </c>
      <c r="Y49" s="31">
        <f t="shared" si="20"/>
        <v>773.23844194710534</v>
      </c>
      <c r="Z49" s="31">
        <f t="shared" si="20"/>
        <v>726.37068437509254</v>
      </c>
      <c r="AA49" s="31">
        <f t="shared" si="20"/>
        <v>754.4025954796806</v>
      </c>
      <c r="AB49" s="31">
        <f t="shared" si="20"/>
        <v>756.1159384813285</v>
      </c>
      <c r="AC49" s="31">
        <f t="shared" si="20"/>
        <v>762.95970256093062</v>
      </c>
      <c r="AD49" s="31">
        <f t="shared" si="20"/>
        <v>774.43631831705022</v>
      </c>
      <c r="AE49" s="31">
        <f t="shared" si="20"/>
        <v>749.65531976806415</v>
      </c>
      <c r="AF49" s="31">
        <f t="shared" si="20"/>
        <v>759.93367325536599</v>
      </c>
      <c r="AG49" s="31">
        <f t="shared" si="20"/>
        <v>875.5310191755658</v>
      </c>
      <c r="AH49" s="31">
        <f t="shared" si="20"/>
        <v>871.60269467929322</v>
      </c>
      <c r="AI49" s="31">
        <f t="shared" si="20"/>
        <v>873.08268414460588</v>
      </c>
      <c r="AJ49" s="31">
        <f t="shared" si="20"/>
        <v>742.12488425016966</v>
      </c>
      <c r="AK49" s="31">
        <f t="shared" si="17"/>
        <v>889.37548468205694</v>
      </c>
      <c r="AL49" s="31">
        <f t="shared" si="17"/>
        <v>890.18287926520327</v>
      </c>
      <c r="AM49" s="31">
        <f t="shared" si="17"/>
        <v>883.98789285290184</v>
      </c>
      <c r="AN49" s="31">
        <f t="shared" si="17"/>
        <v>881.32069866349627</v>
      </c>
      <c r="AO49" s="31">
        <f t="shared" si="17"/>
        <v>858.40754522410828</v>
      </c>
      <c r="AP49" s="31">
        <f t="shared" si="17"/>
        <v>909.88862729319101</v>
      </c>
      <c r="AQ49" s="31">
        <f t="shared" si="17"/>
        <v>766.86716073774608</v>
      </c>
      <c r="AR49" s="31">
        <f t="shared" si="17"/>
        <v>763.45244757778926</v>
      </c>
      <c r="AS49" s="31">
        <f t="shared" si="17"/>
        <v>799.78896808162824</v>
      </c>
      <c r="AT49" s="31">
        <f t="shared" si="17"/>
        <v>794.59431745006634</v>
      </c>
      <c r="AU49" s="31">
        <f t="shared" si="17"/>
        <v>911.40261903509793</v>
      </c>
      <c r="AV49" s="31">
        <f t="shared" si="17"/>
        <v>839.09073305494496</v>
      </c>
      <c r="AW49" s="31">
        <f t="shared" si="17"/>
        <v>829.81408210489565</v>
      </c>
      <c r="AX49" s="31">
        <f t="shared" si="17"/>
        <v>839.32350536968158</v>
      </c>
      <c r="AY49" s="31">
        <f t="shared" si="18"/>
        <v>871.21218927616303</v>
      </c>
      <c r="AZ49" s="31">
        <f t="shared" si="18"/>
        <v>854.40459528967119</v>
      </c>
      <c r="BA49" s="31">
        <f t="shared" si="18"/>
        <v>838.32328450832222</v>
      </c>
      <c r="BB49" s="31">
        <f t="shared" si="18"/>
        <v>770.42487494254885</v>
      </c>
      <c r="BC49" s="31">
        <f t="shared" si="19"/>
        <v>784.51775924553851</v>
      </c>
      <c r="BD49" s="31">
        <f t="shared" si="19"/>
        <v>759.63073462800037</v>
      </c>
      <c r="BE49" s="31">
        <f t="shared" si="19"/>
        <v>796.89110378530938</v>
      </c>
      <c r="BF49" s="31">
        <f t="shared" si="19"/>
        <v>796.23898447448539</v>
      </c>
      <c r="BG49" s="31">
        <f t="shared" si="19"/>
        <v>776.34601190000137</v>
      </c>
      <c r="BH49" s="31">
        <f t="shared" si="19"/>
        <v>757.66142629599938</v>
      </c>
      <c r="BI49" s="31">
        <f t="shared" si="19"/>
        <v>775.83086065431382</v>
      </c>
      <c r="BJ49" s="31">
        <f t="shared" si="19"/>
        <v>772.93740119346069</v>
      </c>
    </row>
    <row r="50" spans="2:62">
      <c r="B50" s="37">
        <v>15252</v>
      </c>
      <c r="C50" s="34">
        <f>VLOOKUP($B50,Plagioclase!$AV$7:$BA$478,3,FALSE)</f>
        <v>0.72734905199712141</v>
      </c>
      <c r="D50" s="34">
        <f>VLOOKUP($B50,Plagioclase!$AV$7:$BA$478,4,FALSE)</f>
        <v>0</v>
      </c>
      <c r="E50" s="29" t="str">
        <f>VLOOKUP($B50,Plagioclase!$AV$7:$BA$478,6,FALSE)</f>
        <v>26hHP08.4</v>
      </c>
      <c r="F50" s="31">
        <f t="shared" si="21"/>
        <v>751.55403560418097</v>
      </c>
      <c r="G50" s="31">
        <f t="shared" si="21"/>
        <v>749.49238146441883</v>
      </c>
      <c r="H50" s="31">
        <f t="shared" si="21"/>
        <v>751.66639013311453</v>
      </c>
      <c r="I50" s="31">
        <f t="shared" si="21"/>
        <v>756.18340126132318</v>
      </c>
      <c r="J50" s="31">
        <f t="shared" si="21"/>
        <v>750.35798155888267</v>
      </c>
      <c r="K50" s="31">
        <f t="shared" si="21"/>
        <v>755.29056796371322</v>
      </c>
      <c r="L50" s="31">
        <f t="shared" si="21"/>
        <v>750.89754471297249</v>
      </c>
      <c r="M50" s="31">
        <f t="shared" si="21"/>
        <v>761.76591508105309</v>
      </c>
      <c r="N50" s="31">
        <f t="shared" si="21"/>
        <v>755.44216428247307</v>
      </c>
      <c r="O50" s="31">
        <f t="shared" si="21"/>
        <v>743.8320391414461</v>
      </c>
      <c r="P50" s="31">
        <f t="shared" si="21"/>
        <v>761.7065841760126</v>
      </c>
      <c r="Q50" s="31">
        <f t="shared" si="21"/>
        <v>808.5184534200331</v>
      </c>
      <c r="R50" s="31">
        <f t="shared" si="21"/>
        <v>755.27742858237355</v>
      </c>
      <c r="S50" s="31">
        <f t="shared" si="21"/>
        <v>737.6180090954316</v>
      </c>
      <c r="T50" s="31">
        <f t="shared" si="21"/>
        <v>804.72558600909599</v>
      </c>
      <c r="U50" s="31">
        <f t="shared" si="21"/>
        <v>727.7235053400417</v>
      </c>
      <c r="V50" s="31">
        <f t="shared" si="20"/>
        <v>747.83815514922208</v>
      </c>
      <c r="W50" s="31">
        <f t="shared" si="20"/>
        <v>749.03740741279205</v>
      </c>
      <c r="X50" s="31">
        <f t="shared" si="20"/>
        <v>758.32416601670036</v>
      </c>
      <c r="Y50" s="31">
        <f t="shared" si="20"/>
        <v>763.33540642459286</v>
      </c>
      <c r="Z50" s="31">
        <f t="shared" si="20"/>
        <v>717.64358593094369</v>
      </c>
      <c r="AA50" s="31">
        <f t="shared" si="20"/>
        <v>745.1555553852703</v>
      </c>
      <c r="AB50" s="31">
        <f t="shared" si="20"/>
        <v>746.46478490625441</v>
      </c>
      <c r="AC50" s="31">
        <f t="shared" si="20"/>
        <v>753.04757915244124</v>
      </c>
      <c r="AD50" s="31">
        <f t="shared" si="20"/>
        <v>763.66686979862391</v>
      </c>
      <c r="AE50" s="31">
        <f t="shared" si="20"/>
        <v>740.24604828017868</v>
      </c>
      <c r="AF50" s="31">
        <f t="shared" si="20"/>
        <v>750.11939671569951</v>
      </c>
      <c r="AG50" s="31">
        <f t="shared" si="20"/>
        <v>860.39561763943027</v>
      </c>
      <c r="AH50" s="31">
        <f t="shared" si="20"/>
        <v>856.40763211000683</v>
      </c>
      <c r="AI50" s="31">
        <f t="shared" si="20"/>
        <v>857.5377716567599</v>
      </c>
      <c r="AJ50" s="31">
        <f t="shared" si="20"/>
        <v>733.20785180610073</v>
      </c>
      <c r="AK50" s="31">
        <f t="shared" si="17"/>
        <v>873.93516766605728</v>
      </c>
      <c r="AL50" s="31">
        <f t="shared" si="17"/>
        <v>874.36170487777497</v>
      </c>
      <c r="AM50" s="31">
        <f t="shared" si="17"/>
        <v>869.06283104810166</v>
      </c>
      <c r="AN50" s="31">
        <f t="shared" si="17"/>
        <v>866.63490893033293</v>
      </c>
      <c r="AO50" s="31">
        <f t="shared" si="17"/>
        <v>844.12521939167107</v>
      </c>
      <c r="AP50" s="31">
        <f t="shared" si="17"/>
        <v>893.75000013214719</v>
      </c>
      <c r="AQ50" s="31">
        <f t="shared" si="17"/>
        <v>756.80933965935321</v>
      </c>
      <c r="AR50" s="31">
        <f t="shared" si="17"/>
        <v>754.02596581903106</v>
      </c>
      <c r="AS50" s="31">
        <f t="shared" si="17"/>
        <v>788.80629656120766</v>
      </c>
      <c r="AT50" s="31">
        <f t="shared" si="17"/>
        <v>783.71901387792525</v>
      </c>
      <c r="AU50" s="31">
        <f t="shared" si="17"/>
        <v>894.41111370493684</v>
      </c>
      <c r="AV50" s="31">
        <f t="shared" si="17"/>
        <v>825.81263444561807</v>
      </c>
      <c r="AW50" s="31">
        <f t="shared" si="17"/>
        <v>816.50720751715141</v>
      </c>
      <c r="AX50" s="31">
        <f t="shared" si="17"/>
        <v>825.74429879365255</v>
      </c>
      <c r="AY50" s="31">
        <f t="shared" si="18"/>
        <v>856.57820649795087</v>
      </c>
      <c r="AZ50" s="31">
        <f t="shared" si="18"/>
        <v>840.0993199863409</v>
      </c>
      <c r="BA50" s="31">
        <f t="shared" si="18"/>
        <v>824.75213734307124</v>
      </c>
      <c r="BB50" s="31">
        <f t="shared" si="18"/>
        <v>760.32681441649322</v>
      </c>
      <c r="BC50" s="31">
        <f t="shared" si="19"/>
        <v>773.84153645998674</v>
      </c>
      <c r="BD50" s="31">
        <f t="shared" si="19"/>
        <v>749.89429669598815</v>
      </c>
      <c r="BE50" s="31">
        <f t="shared" si="19"/>
        <v>785.96585453975888</v>
      </c>
      <c r="BF50" s="31">
        <f t="shared" si="19"/>
        <v>785.1569856095324</v>
      </c>
      <c r="BG50" s="31">
        <f t="shared" si="19"/>
        <v>766.39454857279782</v>
      </c>
      <c r="BH50" s="31">
        <f t="shared" si="19"/>
        <v>748.3246815840381</v>
      </c>
      <c r="BI50" s="31">
        <f t="shared" si="19"/>
        <v>765.64343891143642</v>
      </c>
      <c r="BJ50" s="31">
        <f t="shared" si="19"/>
        <v>762.54043903884747</v>
      </c>
    </row>
    <row r="51" spans="2:62">
      <c r="B51" s="37">
        <v>15253</v>
      </c>
      <c r="C51" s="34">
        <f>VLOOKUP($B51,Plagioclase!$AV$7:$BA$478,3,FALSE)</f>
        <v>0.7006808710680511</v>
      </c>
      <c r="D51" s="34">
        <f>VLOOKUP($B51,Plagioclase!$AV$7:$BA$478,4,FALSE)</f>
        <v>0</v>
      </c>
      <c r="E51" s="29" t="str">
        <f>VLOOKUP($B51,Plagioclase!$AV$7:$BA$478,6,FALSE)</f>
        <v>26hHP08.5</v>
      </c>
      <c r="F51" s="31">
        <f t="shared" si="21"/>
        <v>756.95792585132301</v>
      </c>
      <c r="G51" s="31">
        <f t="shared" si="21"/>
        <v>754.92367250698146</v>
      </c>
      <c r="H51" s="31">
        <f t="shared" si="21"/>
        <v>756.96972047986435</v>
      </c>
      <c r="I51" s="31">
        <f t="shared" si="21"/>
        <v>761.57174613190534</v>
      </c>
      <c r="J51" s="31">
        <f t="shared" si="21"/>
        <v>755.60535050448505</v>
      </c>
      <c r="K51" s="31">
        <f t="shared" si="21"/>
        <v>760.81617779429041</v>
      </c>
      <c r="L51" s="31">
        <f t="shared" si="21"/>
        <v>756.24393968706283</v>
      </c>
      <c r="M51" s="31">
        <f t="shared" si="21"/>
        <v>767.44126738844795</v>
      </c>
      <c r="N51" s="31">
        <f t="shared" si="21"/>
        <v>760.89023579706361</v>
      </c>
      <c r="O51" s="31">
        <f t="shared" si="21"/>
        <v>749.11657286885668</v>
      </c>
      <c r="P51" s="31">
        <f t="shared" si="21"/>
        <v>767.17639609425794</v>
      </c>
      <c r="Q51" s="31">
        <f t="shared" si="21"/>
        <v>815.10306497301474</v>
      </c>
      <c r="R51" s="31">
        <f t="shared" si="21"/>
        <v>760.72614844800262</v>
      </c>
      <c r="S51" s="31">
        <f t="shared" si="21"/>
        <v>742.92750924241147</v>
      </c>
      <c r="T51" s="31">
        <f t="shared" si="21"/>
        <v>811.40241444049559</v>
      </c>
      <c r="U51" s="31">
        <f t="shared" si="21"/>
        <v>732.69708567627765</v>
      </c>
      <c r="V51" s="31">
        <f t="shared" si="20"/>
        <v>753.16560193142811</v>
      </c>
      <c r="W51" s="31">
        <f t="shared" si="20"/>
        <v>754.46567279056228</v>
      </c>
      <c r="X51" s="31">
        <f t="shared" si="20"/>
        <v>763.79804397000669</v>
      </c>
      <c r="Y51" s="31">
        <f t="shared" si="20"/>
        <v>768.85452342124711</v>
      </c>
      <c r="Z51" s="31">
        <f t="shared" si="20"/>
        <v>722.50892681722962</v>
      </c>
      <c r="AA51" s="31">
        <f t="shared" si="20"/>
        <v>750.31014636351824</v>
      </c>
      <c r="AB51" s="31">
        <f t="shared" si="20"/>
        <v>751.84373393983708</v>
      </c>
      <c r="AC51" s="31">
        <f t="shared" si="20"/>
        <v>758.57150750772905</v>
      </c>
      <c r="AD51" s="31">
        <f t="shared" si="20"/>
        <v>769.66666189606065</v>
      </c>
      <c r="AE51" s="31">
        <f t="shared" si="20"/>
        <v>745.4906027176645</v>
      </c>
      <c r="AF51" s="31">
        <f t="shared" si="20"/>
        <v>755.5889590160449</v>
      </c>
      <c r="AG51" s="31">
        <f t="shared" si="20"/>
        <v>868.81679026169002</v>
      </c>
      <c r="AH51" s="31">
        <f t="shared" si="20"/>
        <v>864.86162954550821</v>
      </c>
      <c r="AI51" s="31">
        <f t="shared" si="20"/>
        <v>866.18529289768583</v>
      </c>
      <c r="AJ51" s="31">
        <f t="shared" si="20"/>
        <v>738.17896604537395</v>
      </c>
      <c r="AK51" s="31">
        <f t="shared" si="17"/>
        <v>882.52558498916244</v>
      </c>
      <c r="AL51" s="31">
        <f t="shared" si="17"/>
        <v>883.16275765595094</v>
      </c>
      <c r="AM51" s="31">
        <f t="shared" si="17"/>
        <v>877.3680108211978</v>
      </c>
      <c r="AN51" s="31">
        <f t="shared" si="17"/>
        <v>874.80759524870325</v>
      </c>
      <c r="AO51" s="31">
        <f t="shared" si="17"/>
        <v>852.0737301744449</v>
      </c>
      <c r="AP51" s="31">
        <f t="shared" si="17"/>
        <v>902.72747770778312</v>
      </c>
      <c r="AQ51" s="31">
        <f t="shared" si="17"/>
        <v>762.4142029348933</v>
      </c>
      <c r="AR51" s="31">
        <f t="shared" si="17"/>
        <v>759.28036135905052</v>
      </c>
      <c r="AS51" s="31">
        <f t="shared" si="17"/>
        <v>794.92499879006516</v>
      </c>
      <c r="AT51" s="31">
        <f t="shared" si="17"/>
        <v>789.77803652287832</v>
      </c>
      <c r="AU51" s="31">
        <f t="shared" si="17"/>
        <v>903.86003557310949</v>
      </c>
      <c r="AV51" s="31">
        <f t="shared" si="17"/>
        <v>833.20453314522786</v>
      </c>
      <c r="AW51" s="31">
        <f t="shared" si="17"/>
        <v>823.91470530427716</v>
      </c>
      <c r="AX51" s="31">
        <f t="shared" si="17"/>
        <v>833.30291420797778</v>
      </c>
      <c r="AY51" s="31">
        <f t="shared" si="18"/>
        <v>864.72181662455716</v>
      </c>
      <c r="AZ51" s="31">
        <f t="shared" si="18"/>
        <v>848.06036977478664</v>
      </c>
      <c r="BA51" s="31">
        <f t="shared" si="18"/>
        <v>832.30625397595202</v>
      </c>
      <c r="BB51" s="31">
        <f t="shared" si="18"/>
        <v>765.954087631677</v>
      </c>
      <c r="BC51" s="31">
        <f t="shared" si="19"/>
        <v>779.78988671110449</v>
      </c>
      <c r="BD51" s="31">
        <f t="shared" si="19"/>
        <v>755.32065503231172</v>
      </c>
      <c r="BE51" s="31">
        <f t="shared" si="19"/>
        <v>792.05263613564887</v>
      </c>
      <c r="BF51" s="31">
        <f t="shared" si="19"/>
        <v>791.33067491953432</v>
      </c>
      <c r="BG51" s="31">
        <f t="shared" si="19"/>
        <v>771.94061022917424</v>
      </c>
      <c r="BH51" s="31">
        <f t="shared" si="19"/>
        <v>753.52914059044963</v>
      </c>
      <c r="BI51" s="31">
        <f t="shared" si="19"/>
        <v>771.32042016025468</v>
      </c>
      <c r="BJ51" s="31">
        <f t="shared" si="19"/>
        <v>768.33359899447885</v>
      </c>
    </row>
  </sheetData>
  <sortState columnSort="1" ref="F2:CD12">
    <sortCondition ref="F12:CD12"/>
  </sortState>
  <mergeCells count="1">
    <mergeCell ref="A13:A17"/>
  </mergeCells>
  <conditionalFormatting sqref="G13:O14">
    <cfRule type="colorScale" priority="4">
      <colorScale>
        <cfvo type="num" val="600"/>
        <cfvo type="num" val="1200"/>
        <color rgb="FF0000FF"/>
        <color rgb="FFFF0000"/>
      </colorScale>
    </cfRule>
  </conditionalFormatting>
  <conditionalFormatting sqref="F14:O14">
    <cfRule type="colorScale" priority="3">
      <colorScale>
        <cfvo type="num" val="600"/>
        <cfvo type="num" val="1200"/>
        <color rgb="FF0000FF"/>
        <color rgb="FFFF0000"/>
      </colorScale>
    </cfRule>
  </conditionalFormatting>
  <conditionalFormatting sqref="F9:BJ10 F13:BJ51">
    <cfRule type="colorScale" priority="2">
      <colorScale>
        <cfvo type="num" val="600"/>
        <cfvo type="num" val="900"/>
        <cfvo type="num" val="1200"/>
        <color rgb="FF0000FF"/>
        <color rgb="FFFF0000"/>
        <color rgb="FFFFFF00"/>
      </colorScale>
    </cfRule>
  </conditionalFormatting>
  <conditionalFormatting sqref="G13:O14 F14">
    <cfRule type="colorScale" priority="8">
      <colorScale>
        <cfvo type="min"/>
        <cfvo type="max"/>
        <color rgb="FF0000FF"/>
        <color rgb="FFFF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1"/>
  <sheetViews>
    <sheetView zoomScale="50" zoomScaleNormal="50" zoomScalePageLayoutView="50" workbookViewId="0">
      <selection activeCell="X69" sqref="X69"/>
    </sheetView>
  </sheetViews>
  <sheetFormatPr baseColWidth="10" defaultRowHeight="15" x14ac:dyDescent="0"/>
  <cols>
    <col min="1" max="1" width="3.5" customWidth="1"/>
    <col min="2" max="2" width="7.5" bestFit="1" customWidth="1"/>
    <col min="3" max="3" width="8" bestFit="1" customWidth="1"/>
    <col min="4" max="4" width="5.5" bestFit="1" customWidth="1"/>
    <col min="5" max="5" width="7.33203125" bestFit="1" customWidth="1"/>
    <col min="6" max="6" width="12.1640625" bestFit="1" customWidth="1"/>
    <col min="7" max="7" width="10.5" customWidth="1"/>
    <col min="8" max="8" width="10.5" bestFit="1" customWidth="1"/>
    <col min="9" max="17" width="9.6640625" bestFit="1" customWidth="1"/>
    <col min="18" max="18" width="10.5" bestFit="1" customWidth="1"/>
    <col min="19" max="29" width="9.6640625" bestFit="1" customWidth="1"/>
    <col min="30" max="32" width="10.5" bestFit="1" customWidth="1"/>
    <col min="33" max="40" width="9.6640625" bestFit="1" customWidth="1"/>
    <col min="41" max="43" width="10.5" bestFit="1" customWidth="1"/>
    <col min="44" max="47" width="9.6640625" bestFit="1" customWidth="1"/>
    <col min="48" max="48" width="10.5" bestFit="1" customWidth="1"/>
    <col min="49" max="63" width="9.6640625" bestFit="1" customWidth="1"/>
  </cols>
  <sheetData>
    <row r="1" spans="1:63">
      <c r="A1" s="7" t="s">
        <v>75</v>
      </c>
      <c r="D1" s="1"/>
      <c r="E1" s="1"/>
      <c r="F1" s="1"/>
      <c r="G1" s="51" t="s">
        <v>71</v>
      </c>
      <c r="H1" s="45"/>
      <c r="I1" s="45"/>
      <c r="J1" s="45"/>
      <c r="K1" s="45"/>
      <c r="L1" s="45"/>
      <c r="M1" s="28"/>
      <c r="N1" s="28"/>
      <c r="O1" s="28"/>
      <c r="P1" s="1"/>
    </row>
    <row r="2" spans="1:63">
      <c r="A2" s="7" t="s">
        <v>76</v>
      </c>
      <c r="B2" s="1"/>
      <c r="C2" s="1"/>
      <c r="D2" s="1"/>
      <c r="E2" s="1"/>
      <c r="F2" s="6" t="s">
        <v>6</v>
      </c>
      <c r="G2" s="35">
        <v>16110</v>
      </c>
      <c r="H2" s="35">
        <v>16111.999999999998</v>
      </c>
      <c r="I2" s="35">
        <v>16102</v>
      </c>
      <c r="J2" s="35">
        <v>16104</v>
      </c>
      <c r="K2" s="35">
        <v>16106.000000000002</v>
      </c>
      <c r="L2" s="35">
        <v>16108</v>
      </c>
      <c r="M2" s="35">
        <v>16119</v>
      </c>
      <c r="N2" s="35">
        <v>16120.999999999998</v>
      </c>
      <c r="O2" s="35">
        <v>16123.000000000002</v>
      </c>
      <c r="P2" s="35">
        <v>16123.999999999998</v>
      </c>
      <c r="Q2" s="35">
        <v>16128</v>
      </c>
      <c r="R2" s="35">
        <v>16129.999999999998</v>
      </c>
      <c r="S2" s="35">
        <v>16131</v>
      </c>
      <c r="T2" s="35">
        <v>16134</v>
      </c>
      <c r="U2" s="35">
        <v>16136</v>
      </c>
      <c r="V2" s="35">
        <v>16138.000000000002</v>
      </c>
      <c r="W2" s="35">
        <v>16140</v>
      </c>
      <c r="X2" s="35">
        <v>16142</v>
      </c>
      <c r="Y2" s="35">
        <v>16143.999999999998</v>
      </c>
      <c r="Z2" s="35">
        <v>16146</v>
      </c>
      <c r="AA2" s="35">
        <v>16149.999999999998</v>
      </c>
      <c r="AB2" s="35">
        <v>16151</v>
      </c>
      <c r="AC2" s="35">
        <v>16152.000000000002</v>
      </c>
      <c r="AD2" s="35">
        <v>16154</v>
      </c>
      <c r="AE2" s="35">
        <v>16155.999999999998</v>
      </c>
      <c r="AF2" s="35">
        <v>16158.000000000002</v>
      </c>
      <c r="AG2" s="35">
        <v>16160</v>
      </c>
      <c r="AH2" s="35">
        <v>16161.999999999998</v>
      </c>
      <c r="AI2" s="35">
        <v>16163</v>
      </c>
      <c r="AJ2" s="35">
        <v>16166</v>
      </c>
      <c r="AK2" s="35">
        <v>16168</v>
      </c>
      <c r="AL2" s="35">
        <v>15214</v>
      </c>
      <c r="AM2" s="35">
        <v>15215</v>
      </c>
      <c r="AN2" s="35">
        <v>15216</v>
      </c>
      <c r="AO2" s="35">
        <v>15211</v>
      </c>
      <c r="AP2" s="35">
        <v>15212</v>
      </c>
      <c r="AQ2" s="35">
        <v>15213</v>
      </c>
      <c r="AR2" s="35">
        <v>15218</v>
      </c>
      <c r="AS2" s="35">
        <v>15223</v>
      </c>
      <c r="AT2" s="35">
        <v>15224</v>
      </c>
      <c r="AU2" s="35">
        <v>15225</v>
      </c>
      <c r="AV2" s="35">
        <v>15226</v>
      </c>
      <c r="AW2" s="35">
        <v>15236</v>
      </c>
      <c r="AX2" s="35">
        <v>15237</v>
      </c>
      <c r="AY2" s="35">
        <v>15238</v>
      </c>
      <c r="AZ2" s="35">
        <v>15233</v>
      </c>
      <c r="BA2" s="35">
        <v>15234</v>
      </c>
      <c r="BB2" s="35">
        <v>15235</v>
      </c>
      <c r="BC2" s="35">
        <v>15248</v>
      </c>
      <c r="BD2" s="35">
        <v>15244</v>
      </c>
      <c r="BE2" s="35">
        <v>15245</v>
      </c>
      <c r="BF2" s="35">
        <v>15246</v>
      </c>
      <c r="BG2" s="35">
        <v>15247</v>
      </c>
      <c r="BH2" s="35">
        <v>15254</v>
      </c>
      <c r="BI2" s="35">
        <v>15255</v>
      </c>
      <c r="BJ2" s="35">
        <v>15256</v>
      </c>
      <c r="BK2" s="35">
        <v>15257</v>
      </c>
    </row>
    <row r="3" spans="1:63">
      <c r="A3" s="1" t="s">
        <v>79</v>
      </c>
      <c r="B3" s="1"/>
      <c r="C3" s="1"/>
      <c r="D3" s="1"/>
      <c r="E3" s="1"/>
      <c r="F3" s="6" t="s">
        <v>50</v>
      </c>
      <c r="G3" s="34">
        <f>VLOOKUP(G$2,Amphibole!$CN$7:$CW$480,2,FALSE)</f>
        <v>0.72836790367880933</v>
      </c>
      <c r="H3" s="34">
        <f>VLOOKUP(H$2,Amphibole!$CN$7:$CW$480,2,FALSE)</f>
        <v>0.73038812452182733</v>
      </c>
      <c r="I3" s="34">
        <f>VLOOKUP(I$2,Amphibole!$CN$7:$CW$480,2,FALSE)</f>
        <v>0.73923130336870435</v>
      </c>
      <c r="J3" s="34">
        <f>VLOOKUP(J$2,Amphibole!$CN$7:$CW$480,2,FALSE)</f>
        <v>0.74709025005617957</v>
      </c>
      <c r="K3" s="34">
        <f>VLOOKUP(K$2,Amphibole!$CN$7:$CW$480,2,FALSE)</f>
        <v>0.73915673142219318</v>
      </c>
      <c r="L3" s="34">
        <f>VLOOKUP(L$2,Amphibole!$CN$7:$CW$480,2,FALSE)</f>
        <v>0.7231739788621574</v>
      </c>
      <c r="M3" s="34">
        <f>VLOOKUP(M$2,Amphibole!$CN$7:$CW$480,2,FALSE)</f>
        <v>0.74366208720118432</v>
      </c>
      <c r="N3" s="34">
        <f>VLOOKUP(N$2,Amphibole!$CN$7:$CW$480,2,FALSE)</f>
        <v>0.71898304857588657</v>
      </c>
      <c r="O3" s="34">
        <f>VLOOKUP(O$2,Amphibole!$CN$7:$CW$480,2,FALSE)</f>
        <v>0.74492704043834057</v>
      </c>
      <c r="P3" s="34">
        <f>VLOOKUP(P$2,Amphibole!$CN$7:$CW$480,2,FALSE)</f>
        <v>0.72923150435623385</v>
      </c>
      <c r="Q3" s="34">
        <f>VLOOKUP(Q$2,Amphibole!$CN$7:$CW$480,2,FALSE)</f>
        <v>0.73506871894546255</v>
      </c>
      <c r="R3" s="34">
        <f>VLOOKUP(R$2,Amphibole!$CN$7:$CW$480,2,FALSE)</f>
        <v>0.65906483971464613</v>
      </c>
      <c r="S3" s="34">
        <f>VLOOKUP(S$2,Amphibole!$CN$7:$CW$480,2,FALSE)</f>
        <v>0.72721304421192157</v>
      </c>
      <c r="T3" s="34">
        <f>VLOOKUP(T$2,Amphibole!$CN$7:$CW$480,2,FALSE)</f>
        <v>0.73054996433186692</v>
      </c>
      <c r="U3" s="34">
        <f>VLOOKUP(U$2,Amphibole!$CN$7:$CW$480,2,FALSE)</f>
        <v>0.65168050406289613</v>
      </c>
      <c r="V3" s="34">
        <f>VLOOKUP(V$2,Amphibole!$CN$7:$CW$480,2,FALSE)</f>
        <v>0.76697383173524702</v>
      </c>
      <c r="W3" s="34">
        <f>VLOOKUP(W$2,Amphibole!$CN$7:$CW$480,2,FALSE)</f>
        <v>0.74423588107751382</v>
      </c>
      <c r="X3" s="34">
        <f>VLOOKUP(X$2,Amphibole!$CN$7:$CW$480,2,FALSE)</f>
        <v>0.73393934161731167</v>
      </c>
      <c r="Y3" s="34">
        <f>VLOOKUP(Y$2,Amphibole!$CN$7:$CW$480,2,FALSE)</f>
        <v>0.7402689810882217</v>
      </c>
      <c r="Z3" s="34">
        <f>VLOOKUP(Z$2,Amphibole!$CN$7:$CW$480,2,FALSE)</f>
        <v>0.72603271674525671</v>
      </c>
      <c r="AA3" s="34">
        <f>VLOOKUP(AA$2,Amphibole!$CN$7:$CW$480,2,FALSE)</f>
        <v>0.76959297464740017</v>
      </c>
      <c r="AB3" s="34">
        <f>VLOOKUP(AB$2,Amphibole!$CN$7:$CW$480,2,FALSE)</f>
        <v>0.75058693992000047</v>
      </c>
      <c r="AC3" s="34">
        <f>VLOOKUP(AC$2,Amphibole!$CN$7:$CW$480,2,FALSE)</f>
        <v>0.73807169217892055</v>
      </c>
      <c r="AD3" s="34">
        <f>VLOOKUP(AD$2,Amphibole!$CN$7:$CW$480,2,FALSE)</f>
        <v>0.72802761030500407</v>
      </c>
      <c r="AE3" s="34">
        <f>VLOOKUP(AE$2,Amphibole!$CN$7:$CW$480,2,FALSE)</f>
        <v>0.68453523344374467</v>
      </c>
      <c r="AF3" s="34">
        <f>VLOOKUP(AF$2,Amphibole!$CN$7:$CW$480,2,FALSE)</f>
        <v>0.74941731035404335</v>
      </c>
      <c r="AG3" s="34">
        <f>VLOOKUP(AG$2,Amphibole!$CN$7:$CW$480,2,FALSE)</f>
        <v>0.73785188408220703</v>
      </c>
      <c r="AH3" s="34">
        <f>VLOOKUP(AH$2,Amphibole!$CN$7:$CW$480,2,FALSE)</f>
        <v>0.53088433477169228</v>
      </c>
      <c r="AI3" s="34">
        <f>VLOOKUP(AI$2,Amphibole!$CN$7:$CW$480,2,FALSE)</f>
        <v>0.5328877988340468</v>
      </c>
      <c r="AJ3" s="34">
        <f>VLOOKUP(AJ$2,Amphibole!$CN$7:$CW$480,2,FALSE)</f>
        <v>0.52948191407797029</v>
      </c>
      <c r="AK3" s="34">
        <f>VLOOKUP(AK$2,Amphibole!$CN$7:$CW$480,2,FALSE)</f>
        <v>0.75624406550546275</v>
      </c>
      <c r="AL3" s="34">
        <f>VLOOKUP(AL$2,Amphibole!$CN$7:$CW$480,2,FALSE)</f>
        <v>0.52952574862098745</v>
      </c>
      <c r="AM3" s="34">
        <f>VLOOKUP(AM$2,Amphibole!$CN$7:$CW$480,2,FALSE)</f>
        <v>0.5297165789503151</v>
      </c>
      <c r="AN3" s="34">
        <f>VLOOKUP(AN$2,Amphibole!$CN$7:$CW$480,2,FALSE)</f>
        <v>0.53943350058762207</v>
      </c>
      <c r="AO3" s="34">
        <f>VLOOKUP(AO$2,Amphibole!$CN$7:$CW$480,2,FALSE)</f>
        <v>0.54101568572944747</v>
      </c>
      <c r="AP3" s="34">
        <f>VLOOKUP(AP$2,Amphibole!$CN$7:$CW$480,2,FALSE)</f>
        <v>0.5645020331924111</v>
      </c>
      <c r="AQ3" s="34">
        <f>VLOOKUP(AQ$2,Amphibole!$CN$7:$CW$480,2,FALSE)</f>
        <v>0.53175277726103842</v>
      </c>
      <c r="AR3" s="34">
        <f>VLOOKUP(AR$2,Amphibole!$CN$7:$CW$480,2,FALSE)</f>
        <v>0.72090393836890287</v>
      </c>
      <c r="AS3" s="34">
        <f>VLOOKUP(AS$2,Amphibole!$CN$7:$CW$480,2,FALSE)</f>
        <v>0.73240128016780592</v>
      </c>
      <c r="AT3" s="34">
        <f>VLOOKUP(AT$2,Amphibole!$CN$7:$CW$480,2,FALSE)</f>
        <v>0.67334146639332348</v>
      </c>
      <c r="AU3" s="34">
        <f>VLOOKUP(AU$2,Amphibole!$CN$7:$CW$480,2,FALSE)</f>
        <v>0.68539378680955876</v>
      </c>
      <c r="AV3" s="34">
        <f>VLOOKUP(AV$2,Amphibole!$CN$7:$CW$480,2,FALSE)</f>
        <v>0.52707117678244564</v>
      </c>
      <c r="AW3" s="34">
        <f>VLOOKUP(AW$2,Amphibole!$CN$7:$CW$480,2,FALSE)</f>
        <v>0.58886154300165239</v>
      </c>
      <c r="AX3" s="34">
        <f>VLOOKUP(AX$2,Amphibole!$CN$7:$CW$480,2,FALSE)</f>
        <v>0.59945609918981146</v>
      </c>
      <c r="AY3" s="34">
        <f>VLOOKUP(AY$2,Amphibole!$CN$7:$CW$480,2,FALSE)</f>
        <v>0.58246564222343111</v>
      </c>
      <c r="AZ3" s="34">
        <f>VLOOKUP(AZ$2,Amphibole!$CN$7:$CW$480,2,FALSE)</f>
        <v>0.56066294343631995</v>
      </c>
      <c r="BA3" s="34">
        <f>VLOOKUP(BA$2,Amphibole!$CN$7:$CW$480,2,FALSE)</f>
        <v>0.57314498818490667</v>
      </c>
      <c r="BB3" s="34">
        <f>VLOOKUP(BB$2,Amphibole!$CN$7:$CW$480,2,FALSE)</f>
        <v>0.58901469934670625</v>
      </c>
      <c r="BC3" s="34">
        <f>VLOOKUP(BC$2,Amphibole!$CN$7:$CW$480,2,FALSE)</f>
        <v>0.72147608568763233</v>
      </c>
      <c r="BD3" s="34">
        <f>VLOOKUP(BD$2,Amphibole!$CN$7:$CW$480,2,FALSE)</f>
        <v>0.69896480667610428</v>
      </c>
      <c r="BE3" s="34">
        <f>VLOOKUP(BE$2,Amphibole!$CN$7:$CW$480,2,FALSE)</f>
        <v>0.7230833036454043</v>
      </c>
      <c r="BF3" s="34">
        <f>VLOOKUP(BF$2,Amphibole!$CN$7:$CW$480,2,FALSE)</f>
        <v>0.69402397310111885</v>
      </c>
      <c r="BG3" s="34">
        <f>VLOOKUP(BG$2,Amphibole!$CN$7:$CW$480,2,FALSE)</f>
        <v>0.68165846714736356</v>
      </c>
      <c r="BH3" s="34">
        <f>VLOOKUP(BH$2,Amphibole!$CN$7:$CW$480,2,FALSE)</f>
        <v>0.72707434798386927</v>
      </c>
      <c r="BI3" s="34">
        <f>VLOOKUP(BI$2,Amphibole!$CN$7:$CW$480,2,FALSE)</f>
        <v>0.75027429792540312</v>
      </c>
      <c r="BJ3" s="34">
        <f>VLOOKUP(BJ$2,Amphibole!$CN$7:$CW$480,2,FALSE)</f>
        <v>0.72563418199155794</v>
      </c>
      <c r="BK3" s="34">
        <f>VLOOKUP(BK$2,Amphibole!$CN$7:$CW$480,2,FALSE)</f>
        <v>0.70326786400470853</v>
      </c>
    </row>
    <row r="4" spans="1:63">
      <c r="A4" s="1"/>
      <c r="B4" s="1"/>
      <c r="C4" s="1"/>
      <c r="D4" s="1"/>
      <c r="E4" s="1"/>
      <c r="F4" s="6" t="s">
        <v>51</v>
      </c>
      <c r="G4" s="5">
        <f>VLOOKUP(G$2,Amphibole!$CN$7:$CW$480,3,FALSE)</f>
        <v>0.27163209632119067</v>
      </c>
      <c r="H4" s="5">
        <f>VLOOKUP(H$2,Amphibole!$CN$7:$CW$480,3,FALSE)</f>
        <v>0.26961187547817267</v>
      </c>
      <c r="I4" s="5">
        <f>VLOOKUP(I$2,Amphibole!$CN$7:$CW$480,3,FALSE)</f>
        <v>0.26076869663129565</v>
      </c>
      <c r="J4" s="5">
        <f>VLOOKUP(J$2,Amphibole!$CN$7:$CW$480,3,FALSE)</f>
        <v>0.25290974994382043</v>
      </c>
      <c r="K4" s="5">
        <f>VLOOKUP(K$2,Amphibole!$CN$7:$CW$480,3,FALSE)</f>
        <v>0.26084326857780682</v>
      </c>
      <c r="L4" s="5">
        <f>VLOOKUP(L$2,Amphibole!$CN$7:$CW$480,3,FALSE)</f>
        <v>0.2768260211378426</v>
      </c>
      <c r="M4" s="5">
        <f>VLOOKUP(M$2,Amphibole!$CN$7:$CW$480,3,FALSE)</f>
        <v>0.25633791279881568</v>
      </c>
      <c r="N4" s="5">
        <f>VLOOKUP(N$2,Amphibole!$CN$7:$CW$480,3,FALSE)</f>
        <v>0.28101695142411343</v>
      </c>
      <c r="O4" s="5">
        <f>VLOOKUP(O$2,Amphibole!$CN$7:$CW$480,3,FALSE)</f>
        <v>0.25507295956165943</v>
      </c>
      <c r="P4" s="5">
        <f>VLOOKUP(P$2,Amphibole!$CN$7:$CW$480,3,FALSE)</f>
        <v>0.27076849564376615</v>
      </c>
      <c r="Q4" s="5">
        <f>VLOOKUP(Q$2,Amphibole!$CN$7:$CW$480,3,FALSE)</f>
        <v>0.26493128105453745</v>
      </c>
      <c r="R4" s="5">
        <f>VLOOKUP(R$2,Amphibole!$CN$7:$CW$480,3,FALSE)</f>
        <v>0.34093516028535387</v>
      </c>
      <c r="S4" s="5">
        <f>VLOOKUP(S$2,Amphibole!$CN$7:$CW$480,3,FALSE)</f>
        <v>0.27278695578807843</v>
      </c>
      <c r="T4" s="5">
        <f>VLOOKUP(T$2,Amphibole!$CN$7:$CW$480,3,FALSE)</f>
        <v>0.26945003566813308</v>
      </c>
      <c r="U4" s="5">
        <f>VLOOKUP(U$2,Amphibole!$CN$7:$CW$480,3,FALSE)</f>
        <v>0.34831949593710387</v>
      </c>
      <c r="V4" s="5">
        <f>VLOOKUP(V$2,Amphibole!$CN$7:$CW$480,3,FALSE)</f>
        <v>0.23302616826475298</v>
      </c>
      <c r="W4" s="5">
        <f>VLOOKUP(W$2,Amphibole!$CN$7:$CW$480,3,FALSE)</f>
        <v>0.25576411892248618</v>
      </c>
      <c r="X4" s="5">
        <f>VLOOKUP(X$2,Amphibole!$CN$7:$CW$480,3,FALSE)</f>
        <v>0.26606065838268833</v>
      </c>
      <c r="Y4" s="5">
        <f>VLOOKUP(Y$2,Amphibole!$CN$7:$CW$480,3,FALSE)</f>
        <v>0.2597310189117783</v>
      </c>
      <c r="Z4" s="5">
        <f>VLOOKUP(Z$2,Amphibole!$CN$7:$CW$480,3,FALSE)</f>
        <v>0.27396728325474329</v>
      </c>
      <c r="AA4" s="5">
        <f>VLOOKUP(AA$2,Amphibole!$CN$7:$CW$480,3,FALSE)</f>
        <v>0.23040702535259983</v>
      </c>
      <c r="AB4" s="5">
        <f>VLOOKUP(AB$2,Amphibole!$CN$7:$CW$480,3,FALSE)</f>
        <v>0.24941306007999953</v>
      </c>
      <c r="AC4" s="5">
        <f>VLOOKUP(AC$2,Amphibole!$CN$7:$CW$480,3,FALSE)</f>
        <v>0.26192830782107945</v>
      </c>
      <c r="AD4" s="5">
        <f>VLOOKUP(AD$2,Amphibole!$CN$7:$CW$480,3,FALSE)</f>
        <v>0.27197238969499593</v>
      </c>
      <c r="AE4" s="5">
        <f>VLOOKUP(AE$2,Amphibole!$CN$7:$CW$480,3,FALSE)</f>
        <v>0.31546476655625533</v>
      </c>
      <c r="AF4" s="5">
        <f>VLOOKUP(AF$2,Amphibole!$CN$7:$CW$480,3,FALSE)</f>
        <v>0.25058268964595665</v>
      </c>
      <c r="AG4" s="5">
        <f>VLOOKUP(AG$2,Amphibole!$CN$7:$CW$480,3,FALSE)</f>
        <v>0.26214811591779297</v>
      </c>
      <c r="AH4" s="5">
        <f>VLOOKUP(AH$2,Amphibole!$CN$7:$CW$480,3,FALSE)</f>
        <v>0.46911566522830772</v>
      </c>
      <c r="AI4" s="5">
        <f>VLOOKUP(AI$2,Amphibole!$CN$7:$CW$480,3,FALSE)</f>
        <v>0.4671122011659532</v>
      </c>
      <c r="AJ4" s="5">
        <f>VLOOKUP(AJ$2,Amphibole!$CN$7:$CW$480,3,FALSE)</f>
        <v>0.47051808592202971</v>
      </c>
      <c r="AK4" s="5">
        <f>VLOOKUP(AK$2,Amphibole!$CN$7:$CW$480,3,FALSE)</f>
        <v>0.24375593449453725</v>
      </c>
      <c r="AL4" s="5">
        <f>VLOOKUP(AL$2,Amphibole!$CN$7:$CW$480,3,FALSE)</f>
        <v>0.47047425137901255</v>
      </c>
      <c r="AM4" s="5">
        <f>VLOOKUP(AM$2,Amphibole!$CN$7:$CW$480,3,FALSE)</f>
        <v>0.4702834210496849</v>
      </c>
      <c r="AN4" s="5">
        <f>VLOOKUP(AN$2,Amphibole!$CN$7:$CW$480,3,FALSE)</f>
        <v>0.46056649941237793</v>
      </c>
      <c r="AO4" s="5">
        <f>VLOOKUP(AO$2,Amphibole!$CN$7:$CW$480,3,FALSE)</f>
        <v>0.45898431427055253</v>
      </c>
      <c r="AP4" s="5">
        <f>VLOOKUP(AP$2,Amphibole!$CN$7:$CW$480,3,FALSE)</f>
        <v>0.4354979668075889</v>
      </c>
      <c r="AQ4" s="5">
        <f>VLOOKUP(AQ$2,Amphibole!$CN$7:$CW$480,3,FALSE)</f>
        <v>0.46824722273896158</v>
      </c>
      <c r="AR4" s="5">
        <f>VLOOKUP(AR$2,Amphibole!$CN$7:$CW$480,3,FALSE)</f>
        <v>0.27909606163109713</v>
      </c>
      <c r="AS4" s="5">
        <f>VLOOKUP(AS$2,Amphibole!$CN$7:$CW$480,3,FALSE)</f>
        <v>0.26759871983219408</v>
      </c>
      <c r="AT4" s="5">
        <f>VLOOKUP(AT$2,Amphibole!$CN$7:$CW$480,3,FALSE)</f>
        <v>0.32665853360667652</v>
      </c>
      <c r="AU4" s="5">
        <f>VLOOKUP(AU$2,Amphibole!$CN$7:$CW$480,3,FALSE)</f>
        <v>0.31460621319044124</v>
      </c>
      <c r="AV4" s="5">
        <f>VLOOKUP(AV$2,Amphibole!$CN$7:$CW$480,3,FALSE)</f>
        <v>0.47292882321755436</v>
      </c>
      <c r="AW4" s="5">
        <f>VLOOKUP(AW$2,Amphibole!$CN$7:$CW$480,3,FALSE)</f>
        <v>0.41113845699834761</v>
      </c>
      <c r="AX4" s="5">
        <f>VLOOKUP(AX$2,Amphibole!$CN$7:$CW$480,3,FALSE)</f>
        <v>0.40054390081018854</v>
      </c>
      <c r="AY4" s="5">
        <f>VLOOKUP(AY$2,Amphibole!$CN$7:$CW$480,3,FALSE)</f>
        <v>0.41753435777656889</v>
      </c>
      <c r="AZ4" s="5">
        <f>VLOOKUP(AZ$2,Amphibole!$CN$7:$CW$480,3,FALSE)</f>
        <v>0.43933705656368005</v>
      </c>
      <c r="BA4" s="5">
        <f>VLOOKUP(BA$2,Amphibole!$CN$7:$CW$480,3,FALSE)</f>
        <v>0.42685501181509333</v>
      </c>
      <c r="BB4" s="5">
        <f>VLOOKUP(BB$2,Amphibole!$CN$7:$CW$480,3,FALSE)</f>
        <v>0.41098530065329375</v>
      </c>
      <c r="BC4" s="5">
        <f>VLOOKUP(BC$2,Amphibole!$CN$7:$CW$480,3,FALSE)</f>
        <v>0.27852391431236767</v>
      </c>
      <c r="BD4" s="5">
        <f>VLOOKUP(BD$2,Amphibole!$CN$7:$CW$480,3,FALSE)</f>
        <v>0.30103519332389572</v>
      </c>
      <c r="BE4" s="5">
        <f>VLOOKUP(BE$2,Amphibole!$CN$7:$CW$480,3,FALSE)</f>
        <v>0.2769166963545957</v>
      </c>
      <c r="BF4" s="5">
        <f>VLOOKUP(BF$2,Amphibole!$CN$7:$CW$480,3,FALSE)</f>
        <v>0.30597602689888115</v>
      </c>
      <c r="BG4" s="5">
        <f>VLOOKUP(BG$2,Amphibole!$CN$7:$CW$480,3,FALSE)</f>
        <v>0.31834153285263644</v>
      </c>
      <c r="BH4" s="5">
        <f>VLOOKUP(BH$2,Amphibole!$CN$7:$CW$480,3,FALSE)</f>
        <v>0.27292565201613073</v>
      </c>
      <c r="BI4" s="5">
        <f>VLOOKUP(BI$2,Amphibole!$CN$7:$CW$480,3,FALSE)</f>
        <v>0.24972570207459688</v>
      </c>
      <c r="BJ4" s="5">
        <f>VLOOKUP(BJ$2,Amphibole!$CN$7:$CW$480,3,FALSE)</f>
        <v>0.27436581800844206</v>
      </c>
      <c r="BK4" s="5">
        <f>VLOOKUP(BK$2,Amphibole!$CN$7:$CW$480,3,FALSE)</f>
        <v>0.29673213599529147</v>
      </c>
    </row>
    <row r="5" spans="1:63">
      <c r="A5" s="1"/>
      <c r="C5" s="53"/>
      <c r="D5" s="1"/>
      <c r="E5" s="1"/>
      <c r="F5" s="6" t="s">
        <v>52</v>
      </c>
      <c r="G5" s="5">
        <f>VLOOKUP(G$2,Amphibole!$CN$7:$CW$480,4,FALSE)</f>
        <v>6.0741311926530095E-2</v>
      </c>
      <c r="H5" s="5">
        <f>VLOOKUP(H$2,Amphibole!$CN$7:$CW$480,4,FALSE)</f>
        <v>6.3627005863914121E-2</v>
      </c>
      <c r="I5" s="5">
        <f>VLOOKUP(I$2,Amphibole!$CN$7:$CW$480,4,FALSE)</f>
        <v>5.020109603729761E-2</v>
      </c>
      <c r="J5" s="5">
        <f>VLOOKUP(J$2,Amphibole!$CN$7:$CW$480,4,FALSE)</f>
        <v>4.0752817649128303E-2</v>
      </c>
      <c r="K5" s="5">
        <f>VLOOKUP(K$2,Amphibole!$CN$7:$CW$480,4,FALSE)</f>
        <v>4.88051170236945E-2</v>
      </c>
      <c r="L5" s="5">
        <f>VLOOKUP(L$2,Amphibole!$CN$7:$CW$480,4,FALSE)</f>
        <v>6.3019758054056574E-2</v>
      </c>
      <c r="M5" s="5">
        <f>VLOOKUP(M$2,Amphibole!$CN$7:$CW$480,4,FALSE)</f>
        <v>4.9112293940220653E-2</v>
      </c>
      <c r="N5" s="5">
        <f>VLOOKUP(N$2,Amphibole!$CN$7:$CW$480,4,FALSE)</f>
        <v>6.0328982898434802E-2</v>
      </c>
      <c r="O5" s="5">
        <f>VLOOKUP(O$2,Amphibole!$CN$7:$CW$480,4,FALSE)</f>
        <v>4.6971635336468864E-2</v>
      </c>
      <c r="P5" s="5">
        <f>VLOOKUP(P$2,Amphibole!$CN$7:$CW$480,4,FALSE)</f>
        <v>6.5404270789502839E-2</v>
      </c>
      <c r="Q5" s="5">
        <f>VLOOKUP(Q$2,Amphibole!$CN$7:$CW$480,4,FALSE)</f>
        <v>4.6020357247499533E-2</v>
      </c>
      <c r="R5" s="5">
        <f>VLOOKUP(R$2,Amphibole!$CN$7:$CW$480,4,FALSE)</f>
        <v>5.3562988231267816E-2</v>
      </c>
      <c r="S5" s="5">
        <f>VLOOKUP(S$2,Amphibole!$CN$7:$CW$480,4,FALSE)</f>
        <v>5.6845463693413478E-2</v>
      </c>
      <c r="T5" s="5">
        <f>VLOOKUP(T$2,Amphibole!$CN$7:$CW$480,4,FALSE)</f>
        <v>7.6299283452499367E-2</v>
      </c>
      <c r="U5" s="5">
        <f>VLOOKUP(U$2,Amphibole!$CN$7:$CW$480,4,FALSE)</f>
        <v>6.6244412804694619E-2</v>
      </c>
      <c r="V5" s="5">
        <f>VLOOKUP(V$2,Amphibole!$CN$7:$CW$480,4,FALSE)</f>
        <v>5.6079000349420483E-2</v>
      </c>
      <c r="W5" s="5">
        <f>VLOOKUP(W$2,Amphibole!$CN$7:$CW$480,4,FALSE)</f>
        <v>5.6336749537634567E-2</v>
      </c>
      <c r="X5" s="5">
        <f>VLOOKUP(X$2,Amphibole!$CN$7:$CW$480,4,FALSE)</f>
        <v>6.0093590843911748E-2</v>
      </c>
      <c r="Y5" s="5">
        <f>VLOOKUP(Y$2,Amphibole!$CN$7:$CW$480,4,FALSE)</f>
        <v>4.5208115067318033E-2</v>
      </c>
      <c r="Z5" s="5">
        <f>VLOOKUP(Z$2,Amphibole!$CN$7:$CW$480,4,FALSE)</f>
        <v>4.9064878373491716E-2</v>
      </c>
      <c r="AA5" s="5">
        <f>VLOOKUP(AA$2,Amphibole!$CN$7:$CW$480,4,FALSE)</f>
        <v>6.1121089260450567E-2</v>
      </c>
      <c r="AB5" s="5">
        <f>VLOOKUP(AB$2,Amphibole!$CN$7:$CW$480,4,FALSE)</f>
        <v>4.2831249738701338E-2</v>
      </c>
      <c r="AC5" s="5">
        <f>VLOOKUP(AC$2,Amphibole!$CN$7:$CW$480,4,FALSE)</f>
        <v>6.1165663267205517E-2</v>
      </c>
      <c r="AD5" s="5">
        <f>VLOOKUP(AD$2,Amphibole!$CN$7:$CW$480,4,FALSE)</f>
        <v>6.5439345793897097E-2</v>
      </c>
      <c r="AE5" s="5">
        <f>VLOOKUP(AE$2,Amphibole!$CN$7:$CW$480,4,FALSE)</f>
        <v>8.6109136015755539E-2</v>
      </c>
      <c r="AF5" s="5">
        <f>VLOOKUP(AF$2,Amphibole!$CN$7:$CW$480,4,FALSE)</f>
        <v>5.7824442243143537E-2</v>
      </c>
      <c r="AG5" s="5">
        <f>VLOOKUP(AG$2,Amphibole!$CN$7:$CW$480,4,FALSE)</f>
        <v>6.261467663446485E-2</v>
      </c>
      <c r="AH5" s="5">
        <f>VLOOKUP(AH$2,Amphibole!$CN$7:$CW$480,4,FALSE)</f>
        <v>0.10928975272513419</v>
      </c>
      <c r="AI5" s="5">
        <f>VLOOKUP(AI$2,Amphibole!$CN$7:$CW$480,4,FALSE)</f>
        <v>0.11489120611358317</v>
      </c>
      <c r="AJ5" s="5">
        <f>VLOOKUP(AJ$2,Amphibole!$CN$7:$CW$480,4,FALSE)</f>
        <v>0.11539317293363371</v>
      </c>
      <c r="AK5" s="5">
        <f>VLOOKUP(AK$2,Amphibole!$CN$7:$CW$480,4,FALSE)</f>
        <v>5.0213897283802211E-2</v>
      </c>
      <c r="AL5" s="5">
        <f>VLOOKUP(AL$2,Amphibole!$CN$7:$CW$480,4,FALSE)</f>
        <v>9.311224852315636E-2</v>
      </c>
      <c r="AM5" s="5">
        <f>VLOOKUP(AM$2,Amphibole!$CN$7:$CW$480,4,FALSE)</f>
        <v>9.9322278935271235E-2</v>
      </c>
      <c r="AN5" s="5">
        <f>VLOOKUP(AN$2,Amphibole!$CN$7:$CW$480,4,FALSE)</f>
        <v>8.7359399880490685E-2</v>
      </c>
      <c r="AO5" s="5">
        <f>VLOOKUP(AO$2,Amphibole!$CN$7:$CW$480,4,FALSE)</f>
        <v>8.2405430574953087E-2</v>
      </c>
      <c r="AP5" s="5">
        <f>VLOOKUP(AP$2,Amphibole!$CN$7:$CW$480,4,FALSE)</f>
        <v>9.7827950936573593E-2</v>
      </c>
      <c r="AQ5" s="5">
        <f>VLOOKUP(AQ$2,Amphibole!$CN$7:$CW$480,4,FALSE)</f>
        <v>8.1912906423553977E-2</v>
      </c>
      <c r="AR5" s="5">
        <f>VLOOKUP(AR$2,Amphibole!$CN$7:$CW$480,4,FALSE)</f>
        <v>6.5207519387949553E-2</v>
      </c>
      <c r="AS5" s="5">
        <f>VLOOKUP(AS$2,Amphibole!$CN$7:$CW$480,4,FALSE)</f>
        <v>4.7061039422109374E-2</v>
      </c>
      <c r="AT5" s="5">
        <f>VLOOKUP(AT$2,Amphibole!$CN$7:$CW$480,4,FALSE)</f>
        <v>6.6490311541097746E-2</v>
      </c>
      <c r="AU5" s="5">
        <f>VLOOKUP(AU$2,Amphibole!$CN$7:$CW$480,4,FALSE)</f>
        <v>6.7663192631363778E-2</v>
      </c>
      <c r="AV5" s="5">
        <f>VLOOKUP(AV$2,Amphibole!$CN$7:$CW$480,4,FALSE)</f>
        <v>0.10473785620197695</v>
      </c>
      <c r="AW5" s="5">
        <f>VLOOKUP(AW$2,Amphibole!$CN$7:$CW$480,4,FALSE)</f>
        <v>9.4731224787660828E-2</v>
      </c>
      <c r="AX5" s="5">
        <f>VLOOKUP(AX$2,Amphibole!$CN$7:$CW$480,4,FALSE)</f>
        <v>0.10253641428341975</v>
      </c>
      <c r="AY5" s="5">
        <f>VLOOKUP(AY$2,Amphibole!$CN$7:$CW$480,4,FALSE)</f>
        <v>0.10308075325482857</v>
      </c>
      <c r="AZ5" s="5">
        <f>VLOOKUP(AZ$2,Amphibole!$CN$7:$CW$480,4,FALSE)</f>
        <v>8.3208737494435248E-2</v>
      </c>
      <c r="BA5" s="5">
        <f>VLOOKUP(BA$2,Amphibole!$CN$7:$CW$480,4,FALSE)</f>
        <v>9.6935981424376649E-2</v>
      </c>
      <c r="BB5" s="5">
        <f>VLOOKUP(BB$2,Amphibole!$CN$7:$CW$480,4,FALSE)</f>
        <v>0.10220658304365848</v>
      </c>
      <c r="BC5" s="5">
        <f>VLOOKUP(BC$2,Amphibole!$CN$7:$CW$480,4,FALSE)</f>
        <v>5.8080310894357723E-2</v>
      </c>
      <c r="BD5" s="5">
        <f>VLOOKUP(BD$2,Amphibole!$CN$7:$CW$480,4,FALSE)</f>
        <v>6.3064288240526345E-2</v>
      </c>
      <c r="BE5" s="5">
        <f>VLOOKUP(BE$2,Amphibole!$CN$7:$CW$480,4,FALSE)</f>
        <v>6.6151582660858743E-2</v>
      </c>
      <c r="BF5" s="5">
        <f>VLOOKUP(BF$2,Amphibole!$CN$7:$CW$480,4,FALSE)</f>
        <v>5.0806469423743117E-2</v>
      </c>
      <c r="BG5" s="5">
        <f>VLOOKUP(BG$2,Amphibole!$CN$7:$CW$480,4,FALSE)</f>
        <v>6.1540110138455617E-2</v>
      </c>
      <c r="BH5" s="5">
        <f>VLOOKUP(BH$2,Amphibole!$CN$7:$CW$480,4,FALSE)</f>
        <v>4.2512644699331581E-2</v>
      </c>
      <c r="BI5" s="5">
        <f>VLOOKUP(BI$2,Amphibole!$CN$7:$CW$480,4,FALSE)</f>
        <v>4.1048795785896708E-2</v>
      </c>
      <c r="BJ5" s="5">
        <f>VLOOKUP(BJ$2,Amphibole!$CN$7:$CW$480,4,FALSE)</f>
        <v>5.0890219013007609E-2</v>
      </c>
      <c r="BK5" s="5">
        <f>VLOOKUP(BK$2,Amphibole!$CN$7:$CW$480,4,FALSE)</f>
        <v>7.39361265901195E-2</v>
      </c>
    </row>
    <row r="6" spans="1:63">
      <c r="A6" s="1" t="s">
        <v>78</v>
      </c>
      <c r="C6" s="52">
        <v>8.3143999999999996E-3</v>
      </c>
      <c r="D6" s="1"/>
      <c r="E6" s="1"/>
      <c r="F6" s="6" t="s">
        <v>55</v>
      </c>
      <c r="G6" s="5">
        <f>VLOOKUP(G$2,Amphibole!$CN$7:$CW$480,7,FALSE)</f>
        <v>0.25095935161096294</v>
      </c>
      <c r="H6" s="5">
        <f>VLOOKUP(H$2,Amphibole!$CN$7:$CW$480,7,FALSE)</f>
        <v>0.2615262883334788</v>
      </c>
      <c r="I6" s="5">
        <f>VLOOKUP(I$2,Amphibole!$CN$7:$CW$480,7,FALSE)</f>
        <v>0.24059712820426116</v>
      </c>
      <c r="J6" s="5">
        <f>VLOOKUP(J$2,Amphibole!$CN$7:$CW$480,7,FALSE)</f>
        <v>0.26345786158949203</v>
      </c>
      <c r="K6" s="5">
        <f>VLOOKUP(K$2,Amphibole!$CN$7:$CW$480,7,FALSE)</f>
        <v>0.22891613029754065</v>
      </c>
      <c r="L6" s="5">
        <f>VLOOKUP(L$2,Amphibole!$CN$7:$CW$480,7,FALSE)</f>
        <v>0.26851765767182734</v>
      </c>
      <c r="M6" s="5">
        <f>VLOOKUP(M$2,Amphibole!$CN$7:$CW$480,7,FALSE)</f>
        <v>0.25518364689367523</v>
      </c>
      <c r="N6" s="5">
        <f>VLOOKUP(N$2,Amphibole!$CN$7:$CW$480,7,FALSE)</f>
        <v>0.28918796707262473</v>
      </c>
      <c r="O6" s="5">
        <f>VLOOKUP(O$2,Amphibole!$CN$7:$CW$480,7,FALSE)</f>
        <v>0.27765577858659629</v>
      </c>
      <c r="P6" s="5">
        <f>VLOOKUP(P$2,Amphibole!$CN$7:$CW$480,7,FALSE)</f>
        <v>0.23173160222572209</v>
      </c>
      <c r="Q6" s="5">
        <f>VLOOKUP(Q$2,Amphibole!$CN$7:$CW$480,7,FALSE)</f>
        <v>0.26585767713319353</v>
      </c>
      <c r="R6" s="5">
        <f>VLOOKUP(R$2,Amphibole!$CN$7:$CW$480,7,FALSE)</f>
        <v>0.35286303091294302</v>
      </c>
      <c r="S6" s="5">
        <f>VLOOKUP(S$2,Amphibole!$CN$7:$CW$480,7,FALSE)</f>
        <v>0.25488194894208238</v>
      </c>
      <c r="T6" s="5">
        <f>VLOOKUP(T$2,Amphibole!$CN$7:$CW$480,7,FALSE)</f>
        <v>0.24548785380117355</v>
      </c>
      <c r="U6" s="5">
        <f>VLOOKUP(U$2,Amphibole!$CN$7:$CW$480,7,FALSE)</f>
        <v>0.36420204925304267</v>
      </c>
      <c r="V6" s="5">
        <f>VLOOKUP(V$2,Amphibole!$CN$7:$CW$480,7,FALSE)</f>
        <v>0.21897233358807444</v>
      </c>
      <c r="W6" s="5">
        <f>VLOOKUP(W$2,Amphibole!$CN$7:$CW$480,7,FALSE)</f>
        <v>0.25726810128126809</v>
      </c>
      <c r="X6" s="5">
        <f>VLOOKUP(X$2,Amphibole!$CN$7:$CW$480,7,FALSE)</f>
        <v>0.26272829029457156</v>
      </c>
      <c r="Y6" s="5">
        <f>VLOOKUP(Y$2,Amphibole!$CN$7:$CW$480,7,FALSE)</f>
        <v>0.27200781056327727</v>
      </c>
      <c r="Z6" s="5">
        <f>VLOOKUP(Z$2,Amphibole!$CN$7:$CW$480,7,FALSE)</f>
        <v>0.26202117811125492</v>
      </c>
      <c r="AA6" s="5">
        <f>VLOOKUP(AA$2,Amphibole!$CN$7:$CW$480,7,FALSE)</f>
        <v>0.20396165218244855</v>
      </c>
      <c r="AB6" s="5">
        <f>VLOOKUP(AB$2,Amphibole!$CN$7:$CW$480,7,FALSE)</f>
        <v>0.22259540293246749</v>
      </c>
      <c r="AC6" s="5">
        <f>VLOOKUP(AC$2,Amphibole!$CN$7:$CW$480,7,FALSE)</f>
        <v>0.26071340523014674</v>
      </c>
      <c r="AD6" s="5">
        <f>VLOOKUP(AD$2,Amphibole!$CN$7:$CW$480,7,FALSE)</f>
        <v>0.27898103774718708</v>
      </c>
      <c r="AE6" s="5">
        <f>VLOOKUP(AE$2,Amphibole!$CN$7:$CW$480,7,FALSE)</f>
        <v>0.31235180818528097</v>
      </c>
      <c r="AF6" s="5">
        <f>VLOOKUP(AF$2,Amphibole!$CN$7:$CW$480,7,FALSE)</f>
        <v>0.24881081170543862</v>
      </c>
      <c r="AG6" s="5">
        <f>VLOOKUP(AG$2,Amphibole!$CN$7:$CW$480,7,FALSE)</f>
        <v>0.28298872599432556</v>
      </c>
      <c r="AH6" s="5">
        <f>VLOOKUP(AH$2,Amphibole!$CN$7:$CW$480,7,FALSE)</f>
        <v>0.48926140439278498</v>
      </c>
      <c r="AI6" s="5">
        <f>VLOOKUP(AI$2,Amphibole!$CN$7:$CW$480,7,FALSE)</f>
        <v>0.49313146370598959</v>
      </c>
      <c r="AJ6" s="5">
        <f>VLOOKUP(AJ$2,Amphibole!$CN$7:$CW$480,7,FALSE)</f>
        <v>0.50870975396833584</v>
      </c>
      <c r="AK6" s="5">
        <f>VLOOKUP(AK$2,Amphibole!$CN$7:$CW$480,7,FALSE)</f>
        <v>0.20047265814519655</v>
      </c>
      <c r="AL6" s="5">
        <f>VLOOKUP(AL$2,Amphibole!$CN$7:$CW$480,7,FALSE)</f>
        <v>0.49054323516505427</v>
      </c>
      <c r="AM6" s="5">
        <f>VLOOKUP(AM$2,Amphibole!$CN$7:$CW$480,7,FALSE)</f>
        <v>0.51330036506454046</v>
      </c>
      <c r="AN6" s="5">
        <f>VLOOKUP(AN$2,Amphibole!$CN$7:$CW$480,7,FALSE)</f>
        <v>0.46380534698749631</v>
      </c>
      <c r="AO6" s="5">
        <f>VLOOKUP(AO$2,Amphibole!$CN$7:$CW$480,7,FALSE)</f>
        <v>0.45351994744441626</v>
      </c>
      <c r="AP6" s="5">
        <f>VLOOKUP(AP$2,Amphibole!$CN$7:$CW$480,7,FALSE)</f>
        <v>0.47105773683143237</v>
      </c>
      <c r="AQ6" s="5">
        <f>VLOOKUP(AQ$2,Amphibole!$CN$7:$CW$480,7,FALSE)</f>
        <v>0.51785998328936156</v>
      </c>
      <c r="AR6" s="5">
        <f>VLOOKUP(AR$2,Amphibole!$CN$7:$CW$480,7,FALSE)</f>
        <v>0.28224391061726095</v>
      </c>
      <c r="AS6" s="5">
        <f>VLOOKUP(AS$2,Amphibole!$CN$7:$CW$480,7,FALSE)</f>
        <v>0.21996129072015558</v>
      </c>
      <c r="AT6" s="5">
        <f>VLOOKUP(AT$2,Amphibole!$CN$7:$CW$480,7,FALSE)</f>
        <v>0.3097419940338626</v>
      </c>
      <c r="AU6" s="5">
        <f>VLOOKUP(AU$2,Amphibole!$CN$7:$CW$480,7,FALSE)</f>
        <v>0.32108066924995615</v>
      </c>
      <c r="AV6" s="5">
        <f>VLOOKUP(AV$2,Amphibole!$CN$7:$CW$480,7,FALSE)</f>
        <v>0.55389327193014815</v>
      </c>
      <c r="AW6" s="5">
        <f>VLOOKUP(AW$2,Amphibole!$CN$7:$CW$480,7,FALSE)</f>
        <v>0.42310415816165392</v>
      </c>
      <c r="AX6" s="5">
        <f>VLOOKUP(AX$2,Amphibole!$CN$7:$CW$480,7,FALSE)</f>
        <v>0.44145543689346889</v>
      </c>
      <c r="AY6" s="5">
        <f>VLOOKUP(AY$2,Amphibole!$CN$7:$CW$480,7,FALSE)</f>
        <v>0.44644695315096961</v>
      </c>
      <c r="AZ6" s="5">
        <f>VLOOKUP(AZ$2,Amphibole!$CN$7:$CW$480,7,FALSE)</f>
        <v>0.47419456112790348</v>
      </c>
      <c r="BA6" s="5">
        <f>VLOOKUP(BA$2,Amphibole!$CN$7:$CW$480,7,FALSE)</f>
        <v>0.47582321154512019</v>
      </c>
      <c r="BB6" s="5">
        <f>VLOOKUP(BB$2,Amphibole!$CN$7:$CW$480,7,FALSE)</f>
        <v>0.44709055994041691</v>
      </c>
      <c r="BC6" s="5">
        <f>VLOOKUP(BC$2,Amphibole!$CN$7:$CW$480,7,FALSE)</f>
        <v>0.28057877158830191</v>
      </c>
      <c r="BD6" s="5">
        <f>VLOOKUP(BD$2,Amphibole!$CN$7:$CW$480,7,FALSE)</f>
        <v>0.30876125760245099</v>
      </c>
      <c r="BE6" s="5">
        <f>VLOOKUP(BE$2,Amphibole!$CN$7:$CW$480,7,FALSE)</f>
        <v>0.24962336802467266</v>
      </c>
      <c r="BF6" s="5">
        <f>VLOOKUP(BF$2,Amphibole!$CN$7:$CW$480,7,FALSE)</f>
        <v>0.32032872898372666</v>
      </c>
      <c r="BG6" s="5">
        <f>VLOOKUP(BG$2,Amphibole!$CN$7:$CW$480,7,FALSE)</f>
        <v>0.31984821179827438</v>
      </c>
      <c r="BH6" s="5">
        <f>VLOOKUP(BH$2,Amphibole!$CN$7:$CW$480,7,FALSE)</f>
        <v>0.26258918860283176</v>
      </c>
      <c r="BI6" s="5">
        <f>VLOOKUP(BI$2,Amphibole!$CN$7:$CW$480,7,FALSE)</f>
        <v>0.2300325965413923</v>
      </c>
      <c r="BJ6" s="5">
        <f>VLOOKUP(BJ$2,Amphibole!$CN$7:$CW$480,7,FALSE)</f>
        <v>0.2936694321565505</v>
      </c>
      <c r="BK6" s="5">
        <f>VLOOKUP(BK$2,Amphibole!$CN$7:$CW$480,7,FALSE)</f>
        <v>0.29570420151539434</v>
      </c>
    </row>
    <row r="7" spans="1:63">
      <c r="D7" s="1"/>
      <c r="E7" s="1"/>
      <c r="F7" s="6" t="s">
        <v>56</v>
      </c>
      <c r="G7" s="5">
        <f>VLOOKUP(G$2,Amphibole!$CN$7:$CW$480,8,FALSE)</f>
        <v>8.3784036855678701E-2</v>
      </c>
      <c r="H7" s="5">
        <f>VLOOKUP(H$2,Amphibole!$CN$7:$CW$480,8,FALSE)</f>
        <v>8.4400373353825997E-2</v>
      </c>
      <c r="I7" s="5">
        <f>VLOOKUP(I$2,Amphibole!$CN$7:$CW$480,8,FALSE)</f>
        <v>7.8312324507058162E-2</v>
      </c>
      <c r="J7" s="5">
        <f>VLOOKUP(J$2,Amphibole!$CN$7:$CW$480,8,FALSE)</f>
        <v>7.262644790443995E-2</v>
      </c>
      <c r="K7" s="5">
        <f>VLOOKUP(K$2,Amphibole!$CN$7:$CW$480,8,FALSE)</f>
        <v>8.6854446734436652E-2</v>
      </c>
      <c r="L7" s="5">
        <f>VLOOKUP(L$2,Amphibole!$CN$7:$CW$480,8,FALSE)</f>
        <v>7.543898344736899E-2</v>
      </c>
      <c r="M7" s="5">
        <f>VLOOKUP(M$2,Amphibole!$CN$7:$CW$480,8,FALSE)</f>
        <v>8.1233942736491982E-2</v>
      </c>
      <c r="N7" s="5">
        <f>VLOOKUP(N$2,Amphibole!$CN$7:$CW$480,8,FALSE)</f>
        <v>7.4494824361804768E-2</v>
      </c>
      <c r="O7" s="5">
        <f>VLOOKUP(O$2,Amphibole!$CN$7:$CW$480,8,FALSE)</f>
        <v>7.1913201204668264E-2</v>
      </c>
      <c r="P7" s="5">
        <f>VLOOKUP(P$2,Amphibole!$CN$7:$CW$480,8,FALSE)</f>
        <v>8.8108652421442279E-2</v>
      </c>
      <c r="Q7" s="5">
        <f>VLOOKUP(Q$2,Amphibole!$CN$7:$CW$480,8,FALSE)</f>
        <v>7.1297308784765812E-2</v>
      </c>
      <c r="R7" s="5">
        <f>VLOOKUP(R$2,Amphibole!$CN$7:$CW$480,8,FALSE)</f>
        <v>6.8129561833577323E-2</v>
      </c>
      <c r="S7" s="5">
        <f>VLOOKUP(S$2,Amphibole!$CN$7:$CW$480,8,FALSE)</f>
        <v>8.0974618249155861E-2</v>
      </c>
      <c r="T7" s="5">
        <f>VLOOKUP(T$2,Amphibole!$CN$7:$CW$480,8,FALSE)</f>
        <v>9.3314188237447748E-2</v>
      </c>
      <c r="U7" s="5">
        <f>VLOOKUP(U$2,Amphibole!$CN$7:$CW$480,8,FALSE)</f>
        <v>6.8614010135861214E-2</v>
      </c>
      <c r="V7" s="5">
        <f>VLOOKUP(V$2,Amphibole!$CN$7:$CW$480,8,FALSE)</f>
        <v>7.0356844256377116E-2</v>
      </c>
      <c r="W7" s="5">
        <f>VLOOKUP(W$2,Amphibole!$CN$7:$CW$480,8,FALSE)</f>
        <v>6.8710489966556487E-2</v>
      </c>
      <c r="X7" s="5">
        <f>VLOOKUP(X$2,Amphibole!$CN$7:$CW$480,8,FALSE)</f>
        <v>8.1841308529324586E-2</v>
      </c>
      <c r="Y7" s="5">
        <f>VLOOKUP(Y$2,Amphibole!$CN$7:$CW$480,8,FALSE)</f>
        <v>6.1430575488847339E-2</v>
      </c>
      <c r="Z7" s="5">
        <f>VLOOKUP(Z$2,Amphibole!$CN$7:$CW$480,8,FALSE)</f>
        <v>7.8940694965045854E-2</v>
      </c>
      <c r="AA7" s="5">
        <f>VLOOKUP(AA$2,Amphibole!$CN$7:$CW$480,8,FALSE)</f>
        <v>7.8742356800885593E-2</v>
      </c>
      <c r="AB7" s="5">
        <f>VLOOKUP(AB$2,Amphibole!$CN$7:$CW$480,8,FALSE)</f>
        <v>7.8624794162842404E-2</v>
      </c>
      <c r="AC7" s="5">
        <f>VLOOKUP(AC$2,Amphibole!$CN$7:$CW$480,8,FALSE)</f>
        <v>7.6889549112719724E-2</v>
      </c>
      <c r="AD7" s="5">
        <f>VLOOKUP(AD$2,Amphibole!$CN$7:$CW$480,8,FALSE)</f>
        <v>7.6344117874085016E-2</v>
      </c>
      <c r="AE7" s="5">
        <f>VLOOKUP(AE$2,Amphibole!$CN$7:$CW$480,8,FALSE)</f>
        <v>7.7166725361678234E-2</v>
      </c>
      <c r="AF7" s="5">
        <f>VLOOKUP(AF$2,Amphibole!$CN$7:$CW$480,8,FALSE)</f>
        <v>7.7904756348180837E-2</v>
      </c>
      <c r="AG7" s="5">
        <f>VLOOKUP(AG$2,Amphibole!$CN$7:$CW$480,8,FALSE)</f>
        <v>8.2947735956697022E-2</v>
      </c>
      <c r="AH7" s="5">
        <f>VLOOKUP(AH$2,Amphibole!$CN$7:$CW$480,8,FALSE)</f>
        <v>8.4693151058465199E-2</v>
      </c>
      <c r="AI7" s="5">
        <f>VLOOKUP(AI$2,Amphibole!$CN$7:$CW$480,8,FALSE)</f>
        <v>7.8022711322842997E-2</v>
      </c>
      <c r="AJ7" s="5">
        <f>VLOOKUP(AJ$2,Amphibole!$CN$7:$CW$480,8,FALSE)</f>
        <v>9.0664299336488341E-2</v>
      </c>
      <c r="AK7" s="5">
        <f>VLOOKUP(AK$2,Amphibole!$CN$7:$CW$480,8,FALSE)</f>
        <v>8.3443747054155581E-2</v>
      </c>
      <c r="AL7" s="5">
        <f>VLOOKUP(AL$2,Amphibole!$CN$7:$CW$480,8,FALSE)</f>
        <v>8.3517963191308664E-2</v>
      </c>
      <c r="AM7" s="5">
        <f>VLOOKUP(AM$2,Amphibole!$CN$7:$CW$480,8,FALSE)</f>
        <v>7.464057431539517E-2</v>
      </c>
      <c r="AN7" s="5">
        <f>VLOOKUP(AN$2,Amphibole!$CN$7:$CW$480,8,FALSE)</f>
        <v>8.5061803872582331E-2</v>
      </c>
      <c r="AO7" s="5">
        <f>VLOOKUP(AO$2,Amphibole!$CN$7:$CW$480,8,FALSE)</f>
        <v>9.3869903540976241E-2</v>
      </c>
      <c r="AP7" s="5">
        <f>VLOOKUP(AP$2,Amphibole!$CN$7:$CW$480,8,FALSE)</f>
        <v>9.0057208007066736E-2</v>
      </c>
      <c r="AQ7" s="5">
        <f>VLOOKUP(AQ$2,Amphibole!$CN$7:$CW$480,8,FALSE)</f>
        <v>7.041769519063712E-2</v>
      </c>
      <c r="AR7" s="5">
        <f>VLOOKUP(AR$2,Amphibole!$CN$7:$CW$480,8,FALSE)</f>
        <v>7.9045015420952214E-2</v>
      </c>
      <c r="AS7" s="5">
        <f>VLOOKUP(AS$2,Amphibole!$CN$7:$CW$480,8,FALSE)</f>
        <v>8.7228050911852262E-2</v>
      </c>
      <c r="AT7" s="5">
        <f>VLOOKUP(AT$2,Amphibole!$CN$7:$CW$480,8,FALSE)</f>
        <v>8.7341889147660834E-2</v>
      </c>
      <c r="AU7" s="5">
        <f>VLOOKUP(AU$2,Amphibole!$CN$7:$CW$480,8,FALSE)</f>
        <v>7.9608952265462829E-2</v>
      </c>
      <c r="AV7" s="5">
        <f>VLOOKUP(AV$2,Amphibole!$CN$7:$CW$480,8,FALSE)</f>
        <v>6.2339611777277759E-2</v>
      </c>
      <c r="AW7" s="5">
        <f>VLOOKUP(AW$2,Amphibole!$CN$7:$CW$480,8,FALSE)</f>
        <v>8.0750401529385063E-2</v>
      </c>
      <c r="AX7" s="5">
        <f>VLOOKUP(AX$2,Amphibole!$CN$7:$CW$480,8,FALSE)</f>
        <v>8.5117114523035942E-2</v>
      </c>
      <c r="AY7" s="5">
        <f>VLOOKUP(AY$2,Amphibole!$CN$7:$CW$480,8,FALSE)</f>
        <v>9.2849121773990517E-2</v>
      </c>
      <c r="AZ7" s="5">
        <f>VLOOKUP(AZ$2,Amphibole!$CN$7:$CW$480,8,FALSE)</f>
        <v>8.3368570946112719E-2</v>
      </c>
      <c r="BA7" s="5">
        <f>VLOOKUP(BA$2,Amphibole!$CN$7:$CW$480,8,FALSE)</f>
        <v>8.2852552916024891E-2</v>
      </c>
      <c r="BB7" s="5">
        <f>VLOOKUP(BB$2,Amphibole!$CN$7:$CW$480,8,FALSE)</f>
        <v>7.3355159389207336E-2</v>
      </c>
      <c r="BC7" s="5">
        <f>VLOOKUP(BC$2,Amphibole!$CN$7:$CW$480,8,FALSE)</f>
        <v>7.2375969148657737E-2</v>
      </c>
      <c r="BD7" s="5">
        <f>VLOOKUP(BD$2,Amphibole!$CN$7:$CW$480,8,FALSE)</f>
        <v>6.9889580996562617E-2</v>
      </c>
      <c r="BE7" s="5">
        <f>VLOOKUP(BE$2,Amphibole!$CN$7:$CW$480,8,FALSE)</f>
        <v>7.9175216020348604E-2</v>
      </c>
      <c r="BF7" s="5">
        <f>VLOOKUP(BF$2,Amphibole!$CN$7:$CW$480,8,FALSE)</f>
        <v>6.8470198390176762E-2</v>
      </c>
      <c r="BG7" s="5">
        <f>VLOOKUP(BG$2,Amphibole!$CN$7:$CW$480,8,FALSE)</f>
        <v>6.6630012915444792E-2</v>
      </c>
      <c r="BH7" s="5">
        <f>VLOOKUP(BH$2,Amphibole!$CN$7:$CW$480,8,FALSE)</f>
        <v>6.3711788184759199E-2</v>
      </c>
      <c r="BI7" s="5">
        <f>VLOOKUP(BI$2,Amphibole!$CN$7:$CW$480,8,FALSE)</f>
        <v>7.1083354844906244E-2</v>
      </c>
      <c r="BJ7" s="5">
        <f>VLOOKUP(BJ$2,Amphibole!$CN$7:$CW$480,8,FALSE)</f>
        <v>6.9526256199378578E-2</v>
      </c>
      <c r="BK7" s="5">
        <f>VLOOKUP(BK$2,Amphibole!$CN$7:$CW$480,8,FALSE)</f>
        <v>7.5457200949822778E-2</v>
      </c>
    </row>
    <row r="8" spans="1:63">
      <c r="A8" s="1"/>
      <c r="B8" s="1"/>
      <c r="C8" s="1"/>
      <c r="D8" s="1"/>
      <c r="E8" s="1"/>
      <c r="F8" s="6" t="s">
        <v>57</v>
      </c>
      <c r="G8" s="5">
        <f>VLOOKUP(G$2,Amphibole!$CN$7:$CW$480,9,FALSE)</f>
        <v>0.90547860720243756</v>
      </c>
      <c r="H8" s="5">
        <f>VLOOKUP(H$2,Amphibole!$CN$7:$CW$480,9,FALSE)</f>
        <v>0.90634447374191451</v>
      </c>
      <c r="I8" s="5">
        <f>VLOOKUP(I$2,Amphibole!$CN$7:$CW$480,9,FALSE)</f>
        <v>0.90784113561355617</v>
      </c>
      <c r="J8" s="5">
        <f>VLOOKUP(J$2,Amphibole!$CN$7:$CW$480,9,FALSE)</f>
        <v>0.9166864518241743</v>
      </c>
      <c r="K8" s="5">
        <f>VLOOKUP(K$2,Amphibole!$CN$7:$CW$480,9,FALSE)</f>
        <v>0.89391113478933193</v>
      </c>
      <c r="L8" s="5">
        <f>VLOOKUP(L$2,Amphibole!$CN$7:$CW$480,9,FALSE)</f>
        <v>0.91140507742250865</v>
      </c>
      <c r="M8" s="5">
        <f>VLOOKUP(M$2,Amphibole!$CN$7:$CW$480,9,FALSE)</f>
        <v>0.90761492227215312</v>
      </c>
      <c r="N8" s="5">
        <f>VLOOKUP(N$2,Amphibole!$CN$7:$CW$480,9,FALSE)</f>
        <v>0.91951997650084605</v>
      </c>
      <c r="O8" s="5">
        <f>VLOOKUP(O$2,Amphibole!$CN$7:$CW$480,9,FALSE)</f>
        <v>0.92073472834828352</v>
      </c>
      <c r="P8" s="5">
        <f>VLOOKUP(P$2,Amphibole!$CN$7:$CW$480,9,FALSE)</f>
        <v>0.89624446106362576</v>
      </c>
      <c r="Q8" s="5">
        <f>VLOOKUP(Q$2,Amphibole!$CN$7:$CW$480,9,FALSE)</f>
        <v>0.91619864015942676</v>
      </c>
      <c r="R8" s="5">
        <f>VLOOKUP(R$2,Amphibole!$CN$7:$CW$480,9,FALSE)</f>
        <v>0.92219483561515192</v>
      </c>
      <c r="S8" s="5">
        <f>VLOOKUP(S$2,Amphibole!$CN$7:$CW$480,9,FALSE)</f>
        <v>0.90494281551012479</v>
      </c>
      <c r="T8" s="5">
        <f>VLOOKUP(T$2,Amphibole!$CN$7:$CW$480,9,FALSE)</f>
        <v>0.89627012122973193</v>
      </c>
      <c r="U8" s="5">
        <f>VLOOKUP(U$2,Amphibole!$CN$7:$CW$480,9,FALSE)</f>
        <v>0.9212781437166857</v>
      </c>
      <c r="V8" s="5">
        <f>VLOOKUP(V$2,Amphibole!$CN$7:$CW$480,9,FALSE)</f>
        <v>0.91807161820380401</v>
      </c>
      <c r="W8" s="5">
        <f>VLOOKUP(W$2,Amphibole!$CN$7:$CW$480,9,FALSE)</f>
        <v>0.92109556724839514</v>
      </c>
      <c r="X8" s="5">
        <f>VLOOKUP(X$2,Amphibole!$CN$7:$CW$480,9,FALSE)</f>
        <v>0.90277806903968827</v>
      </c>
      <c r="Y8" s="5">
        <f>VLOOKUP(Y$2,Amphibole!$CN$7:$CW$480,9,FALSE)</f>
        <v>0.93485927752706033</v>
      </c>
      <c r="Z8" s="5">
        <f>VLOOKUP(Z$2,Amphibole!$CN$7:$CW$480,9,FALSE)</f>
        <v>0.90171045498692848</v>
      </c>
      <c r="AA8" s="5">
        <f>VLOOKUP(AA$2,Amphibole!$CN$7:$CW$480,9,FALSE)</f>
        <v>0.91381809595578667</v>
      </c>
      <c r="AB8" s="5">
        <f>VLOOKUP(AB$2,Amphibole!$CN$7:$CW$480,9,FALSE)</f>
        <v>0.89745056293977066</v>
      </c>
      <c r="AC8" s="5">
        <f>VLOOKUP(AC$2,Amphibole!$CN$7:$CW$480,9,FALSE)</f>
        <v>0.91622671529434596</v>
      </c>
      <c r="AD8" s="5">
        <f>VLOOKUP(AD$2,Amphibole!$CN$7:$CW$480,9,FALSE)</f>
        <v>0.91574527813446271</v>
      </c>
      <c r="AE8" s="5">
        <f>VLOOKUP(AE$2,Amphibole!$CN$7:$CW$480,9,FALSE)</f>
        <v>0.91688780863721686</v>
      </c>
      <c r="AF8" s="5">
        <f>VLOOKUP(AF$2,Amphibole!$CN$7:$CW$480,9,FALSE)</f>
        <v>0.91473185146340519</v>
      </c>
      <c r="AG8" s="5">
        <f>VLOOKUP(AG$2,Amphibole!$CN$7:$CW$480,9,FALSE)</f>
        <v>0.91190162059488888</v>
      </c>
      <c r="AH8" s="5">
        <f>VLOOKUP(AH$2,Amphibole!$CN$7:$CW$480,9,FALSE)</f>
        <v>0.90210963816072698</v>
      </c>
      <c r="AI8" s="5">
        <f>VLOOKUP(AI$2,Amphibole!$CN$7:$CW$480,9,FALSE)</f>
        <v>0.90556179676845006</v>
      </c>
      <c r="AJ8" s="5">
        <f>VLOOKUP(AJ$2,Amphibole!$CN$7:$CW$480,9,FALSE)</f>
        <v>0.89659519951184752</v>
      </c>
      <c r="AK8" s="5">
        <f>VLOOKUP(AK$2,Amphibole!$CN$7:$CW$480,9,FALSE)</f>
        <v>0.90051859917772847</v>
      </c>
      <c r="AL8" s="5">
        <f>VLOOKUP(AL$2,Amphibole!$CN$7:$CW$480,9,FALSE)</f>
        <v>0.90215797686778287</v>
      </c>
      <c r="AM8" s="5">
        <f>VLOOKUP(AM$2,Amphibole!$CN$7:$CW$480,9,FALSE)</f>
        <v>0.90986491908343992</v>
      </c>
      <c r="AN8" s="5">
        <f>VLOOKUP(AN$2,Amphibole!$CN$7:$CW$480,9,FALSE)</f>
        <v>0.90263032926117504</v>
      </c>
      <c r="AO8" s="5">
        <f>VLOOKUP(AO$2,Amphibole!$CN$7:$CW$480,9,FALSE)</f>
        <v>0.88828379362664367</v>
      </c>
      <c r="AP8" s="5">
        <f>VLOOKUP(AP$2,Amphibole!$CN$7:$CW$480,9,FALSE)</f>
        <v>0.89805482670495151</v>
      </c>
      <c r="AQ8" s="5">
        <f>VLOOKUP(AQ$2,Amphibole!$CN$7:$CW$480,9,FALSE)</f>
        <v>0.92347239276104121</v>
      </c>
      <c r="AR8" s="5">
        <f>VLOOKUP(AR$2,Amphibole!$CN$7:$CW$480,9,FALSE)</f>
        <v>0.90976700914499997</v>
      </c>
      <c r="AS8" s="5">
        <f>VLOOKUP(AS$2,Amphibole!$CN$7:$CW$480,9,FALSE)</f>
        <v>0.89831802565920771</v>
      </c>
      <c r="AT8" s="5">
        <f>VLOOKUP(AT$2,Amphibole!$CN$7:$CW$480,9,FALSE)</f>
        <v>0.89469218495114056</v>
      </c>
      <c r="AU8" s="5">
        <f>VLOOKUP(AU$2,Amphibole!$CN$7:$CW$480,9,FALSE)</f>
        <v>0.91317945678909185</v>
      </c>
      <c r="AV8" s="5">
        <f>VLOOKUP(AV$2,Amphibole!$CN$7:$CW$480,9,FALSE)</f>
        <v>0.93828240769649585</v>
      </c>
      <c r="AW8" s="5">
        <f>VLOOKUP(AW$2,Amphibole!$CN$7:$CW$480,9,FALSE)</f>
        <v>0.89827594624460694</v>
      </c>
      <c r="AX8" s="5">
        <f>VLOOKUP(AX$2,Amphibole!$CN$7:$CW$480,9,FALSE)</f>
        <v>0.90718273393653781</v>
      </c>
      <c r="AY8" s="5">
        <f>VLOOKUP(AY$2,Amphibole!$CN$7:$CW$480,9,FALSE)</f>
        <v>0.89458294885606693</v>
      </c>
      <c r="AZ8" s="5">
        <f>VLOOKUP(AZ$2,Amphibole!$CN$7:$CW$480,9,FALSE)</f>
        <v>0.89413655559600702</v>
      </c>
      <c r="BA8" s="5">
        <f>VLOOKUP(BA$2,Amphibole!$CN$7:$CW$480,9,FALSE)</f>
        <v>0.90521058809555388</v>
      </c>
      <c r="BB8" s="5">
        <f>VLOOKUP(BB$2,Amphibole!$CN$7:$CW$480,9,FALSE)</f>
        <v>0.91547978343608316</v>
      </c>
      <c r="BC8" s="5">
        <f>VLOOKUP(BC$2,Amphibole!$CN$7:$CW$480,9,FALSE)</f>
        <v>0.91415574302574198</v>
      </c>
      <c r="BD8" s="5">
        <f>VLOOKUP(BD$2,Amphibole!$CN$7:$CW$480,9,FALSE)</f>
        <v>0.91886391467302009</v>
      </c>
      <c r="BE8" s="5">
        <f>VLOOKUP(BE$2,Amphibole!$CN$7:$CW$480,9,FALSE)</f>
        <v>0.9057587714343559</v>
      </c>
      <c r="BF8" s="5">
        <f>VLOOKUP(BF$2,Amphibole!$CN$7:$CW$480,9,FALSE)</f>
        <v>0.9215502817613741</v>
      </c>
      <c r="BG8" s="5">
        <f>VLOOKUP(BG$2,Amphibole!$CN$7:$CW$480,9,FALSE)</f>
        <v>0.92503161966401748</v>
      </c>
      <c r="BH8" s="5">
        <f>VLOOKUP(BH$2,Amphibole!$CN$7:$CW$480,9,FALSE)</f>
        <v>0.93054907665014996</v>
      </c>
      <c r="BI8" s="5">
        <f>VLOOKUP(BI$2,Amphibole!$CN$7:$CW$480,9,FALSE)</f>
        <v>0.91660378474366666</v>
      </c>
      <c r="BJ8" s="5">
        <f>VLOOKUP(BJ$2,Amphibole!$CN$7:$CW$480,9,FALSE)</f>
        <v>0.91955164739369377</v>
      </c>
      <c r="BK8" s="5">
        <f>VLOOKUP(BK$2,Amphibole!$CN$7:$CW$480,9,FALSE)</f>
        <v>0.9136723421572629</v>
      </c>
    </row>
    <row r="9" spans="1:63">
      <c r="A9" s="7" t="s">
        <v>140</v>
      </c>
      <c r="B9" s="1"/>
      <c r="C9" s="1"/>
      <c r="D9" s="1"/>
      <c r="E9" s="1"/>
      <c r="F9" s="6" t="s">
        <v>116</v>
      </c>
      <c r="G9" s="31">
        <f>VLOOKUP(G$2,Amphibole!$GU$7:$GY$480,3,FALSE)</f>
        <v>807.02666924327218</v>
      </c>
      <c r="H9" s="31">
        <f>VLOOKUP(H$2,Amphibole!$GU$7:$GY$480,3,FALSE)</f>
        <v>806.80684814319511</v>
      </c>
      <c r="I9" s="31">
        <f>VLOOKUP(I$2,Amphibole!$GU$7:$GY$480,3,FALSE)</f>
        <v>796.13127997173342</v>
      </c>
      <c r="J9" s="31">
        <f>VLOOKUP(J$2,Amphibole!$GU$7:$GY$480,3,FALSE)</f>
        <v>793.81437610994817</v>
      </c>
      <c r="K9" s="31">
        <f>VLOOKUP(K$2,Amphibole!$GU$7:$GY$480,3,FALSE)</f>
        <v>795.23624894901354</v>
      </c>
      <c r="L9" s="31">
        <f>VLOOKUP(L$2,Amphibole!$GU$7:$GY$480,3,FALSE)</f>
        <v>810.85858431971928</v>
      </c>
      <c r="M9" s="31">
        <f>VLOOKUP(M$2,Amphibole!$GU$7:$GY$480,3,FALSE)</f>
        <v>796.25601933869916</v>
      </c>
      <c r="N9" s="31">
        <f>VLOOKUP(N$2,Amphibole!$GU$7:$GY$480,3,FALSE)</f>
        <v>814.70827615730923</v>
      </c>
      <c r="O9" s="31">
        <f>VLOOKUP(O$2,Amphibole!$GU$7:$GY$480,3,FALSE)</f>
        <v>796.49756913932424</v>
      </c>
      <c r="P9" s="31">
        <f>VLOOKUP(P$2,Amphibole!$GU$7:$GY$480,3,FALSE)</f>
        <v>804.15936147515322</v>
      </c>
      <c r="Q9" s="31">
        <f>VLOOKUP(Q$2,Amphibole!$GU$7:$GY$480,3,FALSE)</f>
        <v>802.17466666445011</v>
      </c>
      <c r="R9" s="31">
        <f>VLOOKUP(R$2,Amphibole!$GU$7:$GY$480,3,FALSE)</f>
        <v>856.57513249825024</v>
      </c>
      <c r="S9" s="31">
        <f>VLOOKUP(S$2,Amphibole!$GU$7:$GY$480,3,FALSE)</f>
        <v>805.05269544448515</v>
      </c>
      <c r="T9" s="31">
        <f>VLOOKUP(T$2,Amphibole!$GU$7:$GY$480,3,FALSE)</f>
        <v>804.9649328073458</v>
      </c>
      <c r="U9" s="31">
        <f>VLOOKUP(U$2,Amphibole!$GU$7:$GY$480,3,FALSE)</f>
        <v>859.47839013277576</v>
      </c>
      <c r="V9" s="31">
        <f>VLOOKUP(V$2,Amphibole!$GU$7:$GY$480,3,FALSE)</f>
        <v>775.97905396005149</v>
      </c>
      <c r="W9" s="31">
        <f>VLOOKUP(W$2,Amphibole!$GU$7:$GY$480,3,FALSE)</f>
        <v>791.88871926118918</v>
      </c>
      <c r="X9" s="31">
        <f>VLOOKUP(X$2,Amphibole!$GU$7:$GY$480,3,FALSE)</f>
        <v>799.92846093807748</v>
      </c>
      <c r="Y9" s="31">
        <f>VLOOKUP(Y$2,Amphibole!$GU$7:$GY$480,3,FALSE)</f>
        <v>797.63433169484233</v>
      </c>
      <c r="Z9" s="31">
        <f>VLOOKUP(Z$2,Amphibole!$GU$7:$GY$480,3,FALSE)</f>
        <v>801.46362614536679</v>
      </c>
      <c r="AA9" s="31">
        <f>VLOOKUP(AA$2,Amphibole!$GU$7:$GY$480,3,FALSE)</f>
        <v>776.20779007576516</v>
      </c>
      <c r="AB9" s="31">
        <f>VLOOKUP(AB$2,Amphibole!$GU$7:$GY$480,3,FALSE)</f>
        <v>784.70032583931629</v>
      </c>
      <c r="AC9" s="31">
        <f>VLOOKUP(AC$2,Amphibole!$GU$7:$GY$480,3,FALSE)</f>
        <v>801.20041174353446</v>
      </c>
      <c r="AD9" s="31">
        <f>VLOOKUP(AD$2,Amphibole!$GU$7:$GY$480,3,FALSE)</f>
        <v>810.12627671707469</v>
      </c>
      <c r="AE9" s="31">
        <f>VLOOKUP(AE$2,Amphibole!$GU$7:$GY$480,3,FALSE)</f>
        <v>840.75766159282989</v>
      </c>
      <c r="AF9" s="31">
        <f>VLOOKUP(AF$2,Amphibole!$GU$7:$GY$480,3,FALSE)</f>
        <v>792.25620591847587</v>
      </c>
      <c r="AG9" s="31">
        <f>VLOOKUP(AG$2,Amphibole!$GU$7:$GY$480,3,FALSE)</f>
        <v>802.69891933054168</v>
      </c>
      <c r="AH9" s="31">
        <f>VLOOKUP(AH$2,Amphibole!$GU$7:$GY$480,3,FALSE)</f>
        <v>972.19168740115538</v>
      </c>
      <c r="AI9" s="31">
        <f>VLOOKUP(AI$2,Amphibole!$GU$7:$GY$480,3,FALSE)</f>
        <v>968.40370545293649</v>
      </c>
      <c r="AJ9" s="31">
        <f>VLOOKUP(AJ$2,Amphibole!$GU$7:$GY$480,3,FALSE)</f>
        <v>971.30445187536839</v>
      </c>
      <c r="AK9" s="31">
        <f>VLOOKUP(AK$2,Amphibole!$GU$7:$GY$480,3,FALSE)</f>
        <v>784.63313381025</v>
      </c>
      <c r="AL9" s="31">
        <f>VLOOKUP(AL$2,Amphibole!$GU$7:$GY$480,3,FALSE)</f>
        <v>970.83098980569707</v>
      </c>
      <c r="AM9" s="31">
        <f>VLOOKUP(AM$2,Amphibole!$GU$7:$GY$480,3,FALSE)</f>
        <v>966.94642677691763</v>
      </c>
      <c r="AN9" s="31">
        <f>VLOOKUP(AN$2,Amphibole!$GU$7:$GY$480,3,FALSE)</f>
        <v>964.58738984708066</v>
      </c>
      <c r="AO9" s="31">
        <f>VLOOKUP(AO$2,Amphibole!$GU$7:$GY$480,3,FALSE)</f>
        <v>959.94659771937108</v>
      </c>
      <c r="AP9" s="31">
        <f>VLOOKUP(AP$2,Amphibole!$GU$7:$GY$480,3,FALSE)</f>
        <v>948.64285708998023</v>
      </c>
      <c r="AQ9" s="31">
        <f>VLOOKUP(AQ$2,Amphibole!$GU$7:$GY$480,3,FALSE)</f>
        <v>973.24040040864315</v>
      </c>
      <c r="AR9" s="31">
        <f>VLOOKUP(AR$2,Amphibole!$GU$7:$GY$480,3,FALSE)</f>
        <v>811.2802346001597</v>
      </c>
      <c r="AS9" s="31">
        <f>VLOOKUP(AS$2,Amphibole!$GU$7:$GY$480,3,FALSE)</f>
        <v>806.45077756468731</v>
      </c>
      <c r="AT9" s="31">
        <f>VLOOKUP(AT$2,Amphibole!$GU$7:$GY$480,3,FALSE)</f>
        <v>849.88952713764502</v>
      </c>
      <c r="AU9" s="31">
        <f>VLOOKUP(AU$2,Amphibole!$GU$7:$GY$480,3,FALSE)</f>
        <v>848.33662061253244</v>
      </c>
      <c r="AV9" s="31">
        <f>VLOOKUP(AV$2,Amphibole!$GU$7:$GY$480,3,FALSE)</f>
        <v>969.62280371892575</v>
      </c>
      <c r="AW9" s="31">
        <f>VLOOKUP(AW$2,Amphibole!$GU$7:$GY$480,3,FALSE)</f>
        <v>919.70552046528087</v>
      </c>
      <c r="AX9" s="31">
        <f>VLOOKUP(AX$2,Amphibole!$GU$7:$GY$480,3,FALSE)</f>
        <v>922.11700713733035</v>
      </c>
      <c r="AY9" s="31">
        <f>VLOOKUP(AY$2,Amphibole!$GU$7:$GY$480,3,FALSE)</f>
        <v>932.85905805504103</v>
      </c>
      <c r="AZ9" s="31">
        <f>VLOOKUP(AZ$2,Amphibole!$GU$7:$GY$480,3,FALSE)</f>
        <v>947.16987141450954</v>
      </c>
      <c r="BA9" s="31">
        <f>VLOOKUP(BA$2,Amphibole!$GU$7:$GY$480,3,FALSE)</f>
        <v>942.68165351298921</v>
      </c>
      <c r="BB9" s="31">
        <f>VLOOKUP(BB$2,Amphibole!$GU$7:$GY$480,3,FALSE)</f>
        <v>925.63020449617102</v>
      </c>
      <c r="BC9" s="31">
        <f>VLOOKUP(BC$2,Amphibole!$GU$7:$GY$480,3,FALSE)</f>
        <v>809.3273463261271</v>
      </c>
      <c r="BD9" s="31">
        <f>VLOOKUP(BD$2,Amphibole!$GU$7:$GY$480,3,FALSE)</f>
        <v>824.15212900513484</v>
      </c>
      <c r="BE9" s="31">
        <f>VLOOKUP(BE$2,Amphibole!$GU$7:$GY$480,3,FALSE)</f>
        <v>806.38757273986744</v>
      </c>
      <c r="BF9" s="31">
        <f>VLOOKUP(BF$2,Amphibole!$GU$7:$GY$480,3,FALSE)</f>
        <v>828.81908039239556</v>
      </c>
      <c r="BG9" s="31">
        <f>VLOOKUP(BG$2,Amphibole!$GU$7:$GY$480,3,FALSE)</f>
        <v>836.61126557763191</v>
      </c>
      <c r="BH9" s="31">
        <f>VLOOKUP(BH$2,Amphibole!$GU$7:$GY$480,3,FALSE)</f>
        <v>804.30525959185093</v>
      </c>
      <c r="BI9" s="31">
        <f>VLOOKUP(BI$2,Amphibole!$GU$7:$GY$480,3,FALSE)</f>
        <v>785.85402573492024</v>
      </c>
      <c r="BJ9" s="31">
        <f>VLOOKUP(BJ$2,Amphibole!$GU$7:$GY$480,3,FALSE)</f>
        <v>804.84233006912336</v>
      </c>
      <c r="BK9" s="31">
        <f>VLOOKUP(BK$2,Amphibole!$GU$7:$GY$480,3,FALSE)</f>
        <v>822.1019215146157</v>
      </c>
    </row>
    <row r="10" spans="1:63">
      <c r="A10" s="7" t="s">
        <v>141</v>
      </c>
      <c r="B10" s="1"/>
      <c r="C10" s="1"/>
      <c r="D10" s="1"/>
      <c r="E10" s="1"/>
      <c r="F10" s="6" t="s">
        <v>116</v>
      </c>
      <c r="G10" s="31">
        <f>VLOOKUP(G$2,Amphibole!$GU$7:$GY$480,5,FALSE)</f>
        <v>786.40132210436491</v>
      </c>
      <c r="H10" s="31">
        <f>VLOOKUP(H$2,Amphibole!$GU$7:$GY$480,5,FALSE)</f>
        <v>791.42575402429634</v>
      </c>
      <c r="I10" s="31">
        <f>VLOOKUP(I$2,Amphibole!$GU$7:$GY$480,5,FALSE)</f>
        <v>775.05238495391836</v>
      </c>
      <c r="J10" s="31">
        <f>VLOOKUP(J$2,Amphibole!$GU$7:$GY$480,5,FALSE)</f>
        <v>770.2769999939087</v>
      </c>
      <c r="K10" s="31">
        <f>VLOOKUP(K$2,Amphibole!$GU$7:$GY$480,5,FALSE)</f>
        <v>783.03728816313401</v>
      </c>
      <c r="L10" s="31">
        <f>VLOOKUP(L$2,Amphibole!$GU$7:$GY$480,5,FALSE)</f>
        <v>786.87247834596042</v>
      </c>
      <c r="M10" s="31">
        <f>VLOOKUP(M$2,Amphibole!$GU$7:$GY$480,5,FALSE)</f>
        <v>783.78437583680807</v>
      </c>
      <c r="N10" s="31">
        <f>VLOOKUP(N$2,Amphibole!$GU$7:$GY$480,5,FALSE)</f>
        <v>792.30903985460554</v>
      </c>
      <c r="O10" s="31">
        <f>VLOOKUP(O$2,Amphibole!$GU$7:$GY$480,5,FALSE)</f>
        <v>773.73406624507652</v>
      </c>
      <c r="P10" s="31">
        <f>VLOOKUP(P$2,Amphibole!$GU$7:$GY$480,5,FALSE)</f>
        <v>782.12267519397392</v>
      </c>
      <c r="Q10" s="31">
        <f>VLOOKUP(Q$2,Amphibole!$GU$7:$GY$480,5,FALSE)</f>
        <v>782.96384497285896</v>
      </c>
      <c r="R10" s="31">
        <f>VLOOKUP(R$2,Amphibole!$GU$7:$GY$480,5,FALSE)</f>
        <v>833.89479622370231</v>
      </c>
      <c r="S10" s="31">
        <f>VLOOKUP(S$2,Amphibole!$GU$7:$GY$480,5,FALSE)</f>
        <v>782.0113222176642</v>
      </c>
      <c r="T10" s="31">
        <f>VLOOKUP(T$2,Amphibole!$GU$7:$GY$480,5,FALSE)</f>
        <v>787.79278798401663</v>
      </c>
      <c r="U10" s="31">
        <f>VLOOKUP(U$2,Amphibole!$GU$7:$GY$480,5,FALSE)</f>
        <v>831.75104610349013</v>
      </c>
      <c r="V10" s="31">
        <f>VLOOKUP(V$2,Amphibole!$GU$7:$GY$480,5,FALSE)</f>
        <v>738.00623688703899</v>
      </c>
      <c r="W10" s="31">
        <f>VLOOKUP(W$2,Amphibole!$GU$7:$GY$480,5,FALSE)</f>
        <v>749.38428929674683</v>
      </c>
      <c r="X10" s="31">
        <f>VLOOKUP(X$2,Amphibole!$GU$7:$GY$480,5,FALSE)</f>
        <v>779.42664312333045</v>
      </c>
      <c r="Y10" s="31">
        <f>VLOOKUP(Y$2,Amphibole!$GU$7:$GY$480,5,FALSE)</f>
        <v>750.09068950606036</v>
      </c>
      <c r="Z10" s="31">
        <f>VLOOKUP(Z$2,Amphibole!$GU$7:$GY$480,5,FALSE)</f>
        <v>778.81477590665713</v>
      </c>
      <c r="AA10" s="31">
        <f>VLOOKUP(AA$2,Amphibole!$GU$7:$GY$480,5,FALSE)</f>
        <v>746.03036110698156</v>
      </c>
      <c r="AB10" s="31">
        <f>VLOOKUP(AB$2,Amphibole!$GU$7:$GY$480,5,FALSE)</f>
        <v>765.68664541519411</v>
      </c>
      <c r="AC10" s="31">
        <f>VLOOKUP(AC$2,Amphibole!$GU$7:$GY$480,5,FALSE)</f>
        <v>773.33634643565051</v>
      </c>
      <c r="AD10" s="31">
        <f>VLOOKUP(AD$2,Amphibole!$GU$7:$GY$480,5,FALSE)</f>
        <v>785.18965596793998</v>
      </c>
      <c r="AE10" s="31">
        <f>VLOOKUP(AE$2,Amphibole!$GU$7:$GY$480,5,FALSE)</f>
        <v>810.73862840325</v>
      </c>
      <c r="AF10" s="31">
        <f>VLOOKUP(AF$2,Amphibole!$GU$7:$GY$480,5,FALSE)</f>
        <v>769.67522747450266</v>
      </c>
      <c r="AG10" s="31">
        <f>VLOOKUP(AG$2,Amphibole!$GU$7:$GY$480,5,FALSE)</f>
        <v>788.84676890086234</v>
      </c>
      <c r="AH10" s="31">
        <f>VLOOKUP(AH$2,Amphibole!$GU$7:$GY$480,5,FALSE)</f>
        <v>955.833045405843</v>
      </c>
      <c r="AI10" s="31">
        <f>VLOOKUP(AI$2,Amphibole!$GU$7:$GY$480,5,FALSE)</f>
        <v>943.38689239685141</v>
      </c>
      <c r="AJ10" s="31">
        <f>VLOOKUP(AJ$2,Amphibole!$GU$7:$GY$480,5,FALSE)</f>
        <v>963.53070936775157</v>
      </c>
      <c r="AK10" s="31">
        <f>VLOOKUP(AK$2,Amphibole!$GU$7:$GY$480,5,FALSE)</f>
        <v>763.17742643315023</v>
      </c>
      <c r="AL10" s="31">
        <f>VLOOKUP(AL$2,Amphibole!$GU$7:$GY$480,5,FALSE)</f>
        <v>960.44861206229916</v>
      </c>
      <c r="AM10" s="31">
        <f>VLOOKUP(AM$2,Amphibole!$GU$7:$GY$480,5,FALSE)</f>
        <v>940.63485248672725</v>
      </c>
      <c r="AN10" s="31">
        <f>VLOOKUP(AN$2,Amphibole!$GU$7:$GY$480,5,FALSE)</f>
        <v>951.92406340426464</v>
      </c>
      <c r="AO10" s="31">
        <f>VLOOKUP(AO$2,Amphibole!$GU$7:$GY$480,5,FALSE)</f>
        <v>963.97529717234011</v>
      </c>
      <c r="AP10" s="31">
        <f>VLOOKUP(AP$2,Amphibole!$GU$7:$GY$480,5,FALSE)</f>
        <v>945.154335636881</v>
      </c>
      <c r="AQ10" s="31">
        <f>VLOOKUP(AQ$2,Amphibole!$GU$7:$GY$480,5,FALSE)</f>
        <v>950.56468649160922</v>
      </c>
      <c r="AR10" s="31">
        <f>VLOOKUP(AR$2,Amphibole!$GU$7:$GY$480,5,FALSE)</f>
        <v>789.1147253235099</v>
      </c>
      <c r="AS10" s="31">
        <f>VLOOKUP(AS$2,Amphibole!$GU$7:$GY$480,5,FALSE)</f>
        <v>775.2875733401105</v>
      </c>
      <c r="AT10" s="31">
        <f>VLOOKUP(AT$2,Amphibole!$GU$7:$GY$480,5,FALSE)</f>
        <v>820.98569179608933</v>
      </c>
      <c r="AU10" s="31">
        <f>VLOOKUP(AU$2,Amphibole!$GU$7:$GY$480,5,FALSE)</f>
        <v>810.54427926505832</v>
      </c>
      <c r="AV10" s="31">
        <f>VLOOKUP(AV$2,Amphibole!$GU$7:$GY$480,5,FALSE)</f>
        <v>925.16588793034839</v>
      </c>
      <c r="AW10" s="31">
        <f>VLOOKUP(AW$2,Amphibole!$GU$7:$GY$480,5,FALSE)</f>
        <v>915.44493802705642</v>
      </c>
      <c r="AX10" s="31">
        <f>VLOOKUP(AX$2,Amphibole!$GU$7:$GY$480,5,FALSE)</f>
        <v>903.65714297939621</v>
      </c>
      <c r="AY10" s="31">
        <f>VLOOKUP(AY$2,Amphibole!$GU$7:$GY$480,5,FALSE)</f>
        <v>929.61944412314756</v>
      </c>
      <c r="AZ10" s="31">
        <f>VLOOKUP(AZ$2,Amphibole!$GU$7:$GY$480,5,FALSE)</f>
        <v>950.84690501994237</v>
      </c>
      <c r="BA10" s="31">
        <f>VLOOKUP(BA$2,Amphibole!$GU$7:$GY$480,5,FALSE)</f>
        <v>933.94003623942422</v>
      </c>
      <c r="BB10" s="31">
        <f>VLOOKUP(BB$2,Amphibole!$GU$7:$GY$480,5,FALSE)</f>
        <v>906.38256115025433</v>
      </c>
      <c r="BC10" s="31">
        <f>VLOOKUP(BC$2,Amphibole!$GU$7:$GY$480,5,FALSE)</f>
        <v>776.52198386828366</v>
      </c>
      <c r="BD10" s="31">
        <f>VLOOKUP(BD$2,Amphibole!$GU$7:$GY$480,5,FALSE)</f>
        <v>782.60410845215836</v>
      </c>
      <c r="BE10" s="31">
        <f>VLOOKUP(BE$2,Amphibole!$GU$7:$GY$480,5,FALSE)</f>
        <v>769.35963950016742</v>
      </c>
      <c r="BF10" s="31">
        <f>VLOOKUP(BF$2,Amphibole!$GU$7:$GY$480,5,FALSE)</f>
        <v>800.02220711889549</v>
      </c>
      <c r="BG10" s="31">
        <f>VLOOKUP(BG$2,Amphibole!$GU$7:$GY$480,5,FALSE)</f>
        <v>795.50501098336895</v>
      </c>
      <c r="BH10" s="31">
        <f>VLOOKUP(BH$2,Amphibole!$GU$7:$GY$480,5,FALSE)</f>
        <v>759.8988882404459</v>
      </c>
      <c r="BI10" s="31">
        <f>VLOOKUP(BI$2,Amphibole!$GU$7:$GY$480,5,FALSE)</f>
        <v>743.39589428611225</v>
      </c>
      <c r="BJ10" s="31">
        <f>VLOOKUP(BJ$2,Amphibole!$GU$7:$GY$480,5,FALSE)</f>
        <v>773.32714427578992</v>
      </c>
      <c r="BK10" s="31">
        <f>VLOOKUP(BK$2,Amphibole!$GU$7:$GY$480,5,FALSE)</f>
        <v>783.58721842454077</v>
      </c>
    </row>
    <row r="11" spans="1:63">
      <c r="A11" s="1"/>
      <c r="B11" s="1"/>
      <c r="C11" s="1"/>
      <c r="D11" s="1"/>
      <c r="E11" s="1"/>
      <c r="F11" s="6" t="s">
        <v>77</v>
      </c>
      <c r="G11" s="46">
        <f>VLOOKUP(G$2,Amphibole!$GU$7:$GY$480,4,FALSE)/100</f>
        <v>1.1489858478664627</v>
      </c>
      <c r="H11" s="46">
        <f>VLOOKUP(H$2,Amphibole!$GU$7:$GY$480,4,FALSE)/100</f>
        <v>1.1519413434720867</v>
      </c>
      <c r="I11" s="46">
        <f>VLOOKUP(I$2,Amphibole!$GU$7:$GY$480,4,FALSE)/100</f>
        <v>1.0530889099942469</v>
      </c>
      <c r="J11" s="46">
        <f>VLOOKUP(J$2,Amphibole!$GU$7:$GY$480,4,FALSE)/100</f>
        <v>0.97965169747351566</v>
      </c>
      <c r="K11" s="46">
        <f>VLOOKUP(K$2,Amphibole!$GU$7:$GY$480,4,FALSE)/100</f>
        <v>1.0777945039007228</v>
      </c>
      <c r="L11" s="46">
        <f>VLOOKUP(L$2,Amphibole!$GU$7:$GY$480,4,FALSE)/100</f>
        <v>1.1762315346789467</v>
      </c>
      <c r="M11" s="46">
        <f>VLOOKUP(M$2,Amphibole!$GU$7:$GY$480,4,FALSE)/100</f>
        <v>1.0441584511922712</v>
      </c>
      <c r="N11" s="46">
        <f>VLOOKUP(N$2,Amphibole!$GU$7:$GY$480,4,FALSE)/100</f>
        <v>1.1749198420747602</v>
      </c>
      <c r="O11" s="46">
        <f>VLOOKUP(O$2,Amphibole!$GU$7:$GY$480,4,FALSE)/100</f>
        <v>0.99827371588265124</v>
      </c>
      <c r="P11" s="46">
        <f>VLOOKUP(P$2,Amphibole!$GU$7:$GY$480,4,FALSE)/100</f>
        <v>1.1623290021253372</v>
      </c>
      <c r="Q11" s="46">
        <f>VLOOKUP(Q$2,Amphibole!$GU$7:$GY$480,4,FALSE)/100</f>
        <v>1.0700255190158072</v>
      </c>
      <c r="R11" s="46">
        <f>VLOOKUP(R$2,Amphibole!$GU$7:$GY$480,4,FALSE)/100</f>
        <v>1.7363092239749194</v>
      </c>
      <c r="S11" s="46">
        <f>VLOOKUP(S$2,Amphibole!$GU$7:$GY$480,4,FALSE)/100</f>
        <v>1.1286003089899446</v>
      </c>
      <c r="T11" s="46">
        <f>VLOOKUP(T$2,Amphibole!$GU$7:$GY$480,4,FALSE)/100</f>
        <v>1.1821807111900176</v>
      </c>
      <c r="U11" s="46">
        <f>VLOOKUP(U$2,Amphibole!$GU$7:$GY$480,4,FALSE)/100</f>
        <v>1.8515728826485418</v>
      </c>
      <c r="V11" s="46">
        <f>VLOOKUP(V$2,Amphibole!$GU$7:$GY$480,4,FALSE)/100</f>
        <v>0.89742722736493841</v>
      </c>
      <c r="W11" s="46">
        <f>VLOOKUP(W$2,Amphibole!$GU$7:$GY$480,4,FALSE)/100</f>
        <v>0.98267206409683572</v>
      </c>
      <c r="X11" s="46">
        <f>VLOOKUP(X$2,Amphibole!$GU$7:$GY$480,4,FALSE)/100</f>
        <v>1.0959696102015239</v>
      </c>
      <c r="Y11" s="46">
        <f>VLOOKUP(Y$2,Amphibole!$GU$7:$GY$480,4,FALSE)/100</f>
        <v>0.96864497133664518</v>
      </c>
      <c r="Z11" s="46">
        <f>VLOOKUP(Z$2,Amphibole!$GU$7:$GY$480,4,FALSE)/100</f>
        <v>1.1004503098819229</v>
      </c>
      <c r="AA11" s="46">
        <f>VLOOKUP(AA$2,Amphibole!$GU$7:$GY$480,4,FALSE)/100</f>
        <v>0.91961233858204383</v>
      </c>
      <c r="AB11" s="46">
        <f>VLOOKUP(AB$2,Amphibole!$GU$7:$GY$480,4,FALSE)/100</f>
        <v>0.98570638850618719</v>
      </c>
      <c r="AC11" s="46">
        <f>VLOOKUP(AC$2,Amphibole!$GU$7:$GY$480,4,FALSE)/100</f>
        <v>1.0699478747491684</v>
      </c>
      <c r="AD11" s="46">
        <f>VLOOKUP(AD$2,Amphibole!$GU$7:$GY$480,4,FALSE)/100</f>
        <v>1.1464641444437045</v>
      </c>
      <c r="AE11" s="46">
        <f>VLOOKUP(AE$2,Amphibole!$GU$7:$GY$480,4,FALSE)/100</f>
        <v>1.6021648622018483</v>
      </c>
      <c r="AF11" s="46">
        <f>VLOOKUP(AF$2,Amphibole!$GU$7:$GY$480,4,FALSE)/100</f>
        <v>1.0122495784884828</v>
      </c>
      <c r="AG11" s="46">
        <f>VLOOKUP(AG$2,Amphibole!$GU$7:$GY$480,4,FALSE)/100</f>
        <v>1.0893784463912584</v>
      </c>
      <c r="AH11" s="46">
        <f>VLOOKUP(AH$2,Amphibole!$GU$7:$GY$480,4,FALSE)/100</f>
        <v>4.2352345021869011</v>
      </c>
      <c r="AI11" s="46">
        <f>VLOOKUP(AI$2,Amphibole!$GU$7:$GY$480,4,FALSE)/100</f>
        <v>4.2182532048132169</v>
      </c>
      <c r="AJ11" s="46">
        <f>VLOOKUP(AJ$2,Amphibole!$GU$7:$GY$480,4,FALSE)/100</f>
        <v>4.6799850993812298</v>
      </c>
      <c r="AK11" s="46">
        <f>VLOOKUP(AK$2,Amphibole!$GU$7:$GY$480,4,FALSE)/100</f>
        <v>0.98982873895354029</v>
      </c>
      <c r="AL11" s="46">
        <f>VLOOKUP(AL$2,Amphibole!$GU$7:$GY$480,4,FALSE)/100</f>
        <v>4.2546765138894225</v>
      </c>
      <c r="AM11" s="46">
        <f>VLOOKUP(AM$2,Amphibole!$GU$7:$GY$480,4,FALSE)/100</f>
        <v>4.2284882570200351</v>
      </c>
      <c r="AN11" s="46">
        <f>VLOOKUP(AN$2,Amphibole!$GU$7:$GY$480,4,FALSE)/100</f>
        <v>3.9497009353315997</v>
      </c>
      <c r="AO11" s="46">
        <f>VLOOKUP(AO$2,Amphibole!$GU$7:$GY$480,4,FALSE)/100</f>
        <v>4.1473136772309678</v>
      </c>
      <c r="AP11" s="46">
        <f>VLOOKUP(AP$2,Amphibole!$GU$7:$GY$480,4,FALSE)/100</f>
        <v>3.5768587185590572</v>
      </c>
      <c r="AQ11" s="46">
        <f>VLOOKUP(AQ$2,Amphibole!$GU$7:$GY$480,4,FALSE)/100</f>
        <v>3.6565939913193155</v>
      </c>
      <c r="AR11" s="46">
        <f>VLOOKUP(AR$2,Amphibole!$GU$7:$GY$480,4,FALSE)/100</f>
        <v>1.1772667795228597</v>
      </c>
      <c r="AS11" s="46">
        <f>VLOOKUP(AS$2,Amphibole!$GU$7:$GY$480,4,FALSE)/100</f>
        <v>1.1054414000508204</v>
      </c>
      <c r="AT11" s="46">
        <f>VLOOKUP(AT$2,Amphibole!$GU$7:$GY$480,4,FALSE)/100</f>
        <v>1.5769228415006376</v>
      </c>
      <c r="AU11" s="46">
        <f>VLOOKUP(AU$2,Amphibole!$GU$7:$GY$480,4,FALSE)/100</f>
        <v>1.4296201886815039</v>
      </c>
      <c r="AV11" s="46">
        <f>VLOOKUP(AV$2,Amphibole!$GU$7:$GY$480,4,FALSE)/100</f>
        <v>3.581892982759058</v>
      </c>
      <c r="AW11" s="46">
        <f>VLOOKUP(AW$2,Amphibole!$GU$7:$GY$480,4,FALSE)/100</f>
        <v>3.1866654779070611</v>
      </c>
      <c r="AX11" s="46">
        <f>VLOOKUP(AX$2,Amphibole!$GU$7:$GY$480,4,FALSE)/100</f>
        <v>2.8969280429420503</v>
      </c>
      <c r="AY11" s="46">
        <f>VLOOKUP(AY$2,Amphibole!$GU$7:$GY$480,4,FALSE)/100</f>
        <v>3.3278268850115693</v>
      </c>
      <c r="AZ11" s="46">
        <f>VLOOKUP(AZ$2,Amphibole!$GU$7:$GY$480,4,FALSE)/100</f>
        <v>3.7882324795116862</v>
      </c>
      <c r="BA11" s="46">
        <f>VLOOKUP(BA$2,Amphibole!$GU$7:$GY$480,4,FALSE)/100</f>
        <v>3.4671761178603218</v>
      </c>
      <c r="BB11" s="46">
        <f>VLOOKUP(BB$2,Amphibole!$GU$7:$GY$480,4,FALSE)/100</f>
        <v>3.0001315454775757</v>
      </c>
      <c r="BC11" s="46">
        <f>VLOOKUP(BC$2,Amphibole!$GU$7:$GY$480,4,FALSE)/100</f>
        <v>1.1299344179040196</v>
      </c>
      <c r="BD11" s="46">
        <f>VLOOKUP(BD$2,Amphibole!$GU$7:$GY$480,4,FALSE)/100</f>
        <v>1.2412278056347212</v>
      </c>
      <c r="BE11" s="46">
        <f>VLOOKUP(BE$2,Amphibole!$GU$7:$GY$480,4,FALSE)/100</f>
        <v>1.1451674632036066</v>
      </c>
      <c r="BF11" s="46">
        <f>VLOOKUP(BF$2,Amphibole!$GU$7:$GY$480,4,FALSE)/100</f>
        <v>1.3815456456278332</v>
      </c>
      <c r="BG11" s="46">
        <f>VLOOKUP(BG$2,Amphibole!$GU$7:$GY$480,4,FALSE)/100</f>
        <v>1.4553810903015931</v>
      </c>
      <c r="BH11" s="46">
        <f>VLOOKUP(BH$2,Amphibole!$GU$7:$GY$480,4,FALSE)/100</f>
        <v>1.0375509441314534</v>
      </c>
      <c r="BI11" s="46">
        <f>VLOOKUP(BI$2,Amphibole!$GU$7:$GY$480,4,FALSE)/100</f>
        <v>0.92831973966870363</v>
      </c>
      <c r="BJ11" s="46">
        <f>VLOOKUP(BJ$2,Amphibole!$GU$7:$GY$480,4,FALSE)/100</f>
        <v>1.0687701310096103</v>
      </c>
      <c r="BK11" s="46">
        <f>VLOOKUP(BK$2,Amphibole!$GU$7:$GY$480,4,FALSE)/100</f>
        <v>1.2597494389872743</v>
      </c>
    </row>
    <row r="12" spans="1:63">
      <c r="A12" s="1"/>
      <c r="B12" s="6" t="s">
        <v>6</v>
      </c>
      <c r="C12" s="1" t="s">
        <v>80</v>
      </c>
      <c r="D12" s="1" t="s">
        <v>73</v>
      </c>
      <c r="E12" s="1" t="s">
        <v>81</v>
      </c>
      <c r="F12" s="29" t="s">
        <v>84</v>
      </c>
      <c r="G12" s="30" t="str">
        <f>VLOOKUP(G$2,Amphibole!$CN$7:$CW$63,10,FALSE)</f>
        <v>18aHP01.10</v>
      </c>
      <c r="H12" s="30" t="str">
        <f>VLOOKUP(H$2,Amphibole!$CN$7:$CW$63,10,FALSE)</f>
        <v>18aHP01.12</v>
      </c>
      <c r="I12" s="30" t="str">
        <f>VLOOKUP(I$2,Amphibole!$CN$7:$CW$63,10,FALSE)</f>
        <v>18aHP01.2</v>
      </c>
      <c r="J12" s="30" t="str">
        <f>VLOOKUP(J$2,Amphibole!$CN$7:$CW$63,10,FALSE)</f>
        <v>18aHP01.4</v>
      </c>
      <c r="K12" s="30" t="str">
        <f>VLOOKUP(K$2,Amphibole!$CN$7:$CW$63,10,FALSE)</f>
        <v>18aHP01.6</v>
      </c>
      <c r="L12" s="30" t="str">
        <f>VLOOKUP(L$2,Amphibole!$CN$7:$CW$63,10,FALSE)</f>
        <v>18aHP01.8</v>
      </c>
      <c r="M12" s="30" t="str">
        <f>VLOOKUP(M$2,Amphibole!$CN$7:$CW$63,10,FALSE)</f>
        <v>18aHP02.1</v>
      </c>
      <c r="N12" s="30" t="str">
        <f>VLOOKUP(N$2,Amphibole!$CN$7:$CW$63,10,FALSE)</f>
        <v>18aHP02.3</v>
      </c>
      <c r="O12" s="30" t="str">
        <f>VLOOKUP(O$2,Amphibole!$CN$7:$CW$63,10,FALSE)</f>
        <v>18aHP02.5</v>
      </c>
      <c r="P12" s="30" t="str">
        <f>VLOOKUP(P$2,Amphibole!$CN$7:$CW$63,10,FALSE)</f>
        <v>18aHP02.6</v>
      </c>
      <c r="Q12" s="30" t="str">
        <f>VLOOKUP(Q$2,Amphibole!$CN$7:$CW$63,10,FALSE)</f>
        <v>18aHP03.2</v>
      </c>
      <c r="R12" s="30" t="str">
        <f>VLOOKUP(R$2,Amphibole!$CN$7:$CW$63,10,FALSE)</f>
        <v>18aHP03.4</v>
      </c>
      <c r="S12" s="30" t="str">
        <f>VLOOKUP(S$2,Amphibole!$CN$7:$CW$63,10,FALSE)</f>
        <v>18eHP02.1</v>
      </c>
      <c r="T12" s="30" t="str">
        <f>VLOOKUP(T$2,Amphibole!$CN$7:$CW$63,10,FALSE)</f>
        <v>18eHP02.4</v>
      </c>
      <c r="U12" s="30" t="str">
        <f>VLOOKUP(U$2,Amphibole!$CN$7:$CW$63,10,FALSE)</f>
        <v>18eHP02.6</v>
      </c>
      <c r="V12" s="30" t="str">
        <f>VLOOKUP(V$2,Amphibole!$CN$7:$CW$63,10,FALSE)</f>
        <v>18eHP03.1</v>
      </c>
      <c r="W12" s="30" t="str">
        <f>VLOOKUP(W$2,Amphibole!$CN$7:$CW$63,10,FALSE)</f>
        <v>18eHP03.3</v>
      </c>
      <c r="X12" s="30" t="str">
        <f>VLOOKUP(X$2,Amphibole!$CN$7:$CW$63,10,FALSE)</f>
        <v>18eHP03.5</v>
      </c>
      <c r="Y12" s="30" t="str">
        <f>VLOOKUP(Y$2,Amphibole!$CN$7:$CW$63,10,FALSE)</f>
        <v>18eHP03.7</v>
      </c>
      <c r="Z12" s="30" t="str">
        <f>VLOOKUP(Z$2,Amphibole!$CN$7:$CW$63,10,FALSE)</f>
        <v>18eHP04.1</v>
      </c>
      <c r="AA12" s="30" t="str">
        <f>VLOOKUP(AA$2,Amphibole!$CN$7:$CW$63,10,FALSE)</f>
        <v>18eHP04.5</v>
      </c>
      <c r="AB12" s="30" t="str">
        <f>VLOOKUP(AB$2,Amphibole!$CN$7:$CW$63,10,FALSE)</f>
        <v>18eHP04.6</v>
      </c>
      <c r="AC12" s="30" t="str">
        <f>VLOOKUP(AC$2,Amphibole!$CN$7:$CW$63,10,FALSE)</f>
        <v>18eHP04.7</v>
      </c>
      <c r="AD12" s="30" t="str">
        <f>VLOOKUP(AD$2,Amphibole!$CN$7:$CW$63,10,FALSE)</f>
        <v>18eHP04.9</v>
      </c>
      <c r="AE12" s="30" t="str">
        <f>VLOOKUP(AE$2,Amphibole!$CN$7:$CW$63,10,FALSE)</f>
        <v>18eHP05.1</v>
      </c>
      <c r="AF12" s="30" t="str">
        <f>VLOOKUP(AF$2,Amphibole!$CN$7:$CW$63,10,FALSE)</f>
        <v>18eHP06.1</v>
      </c>
      <c r="AG12" s="30" t="str">
        <f>VLOOKUP(AG$2,Amphibole!$CN$7:$CW$63,10,FALSE)</f>
        <v>18eHP06.3</v>
      </c>
      <c r="AH12" s="30" t="str">
        <f>VLOOKUP(AH$2,Amphibole!$CN$7:$CW$63,10,FALSE)</f>
        <v>26dHP01.1</v>
      </c>
      <c r="AI12" s="30" t="str">
        <f>VLOOKUP(AI$2,Amphibole!$CN$7:$CW$63,10,FALSE)</f>
        <v>26dHP01.2</v>
      </c>
      <c r="AJ12" s="30" t="str">
        <f>VLOOKUP(AJ$2,Amphibole!$CN$7:$CW$63,10,FALSE)</f>
        <v>26dHP01.5</v>
      </c>
      <c r="AK12" s="30" t="str">
        <f>VLOOKUP(AK$2,Amphibole!$CN$7:$CW$63,10,FALSE)</f>
        <v>26dHP02.1</v>
      </c>
      <c r="AL12" s="30" t="str">
        <f>VLOOKUP(AL$2,Amphibole!$CN$7:$CW$63,10,FALSE)</f>
        <v>26eHP01.10</v>
      </c>
      <c r="AM12" s="30" t="str">
        <f>VLOOKUP(AM$2,Amphibole!$CN$7:$CW$63,10,FALSE)</f>
        <v>26eHP01.11</v>
      </c>
      <c r="AN12" s="30" t="str">
        <f>VLOOKUP(AN$2,Amphibole!$CN$7:$CW$63,10,FALSE)</f>
        <v>26eHP01.12</v>
      </c>
      <c r="AO12" s="30" t="str">
        <f>VLOOKUP(AO$2,Amphibole!$CN$7:$CW$63,10,FALSE)</f>
        <v>26eHP01.7</v>
      </c>
      <c r="AP12" s="30" t="str">
        <f>VLOOKUP(AP$2,Amphibole!$CN$7:$CW$63,10,FALSE)</f>
        <v>26eHP01.8</v>
      </c>
      <c r="AQ12" s="30" t="str">
        <f>VLOOKUP(AQ$2,Amphibole!$CN$7:$CW$63,10,FALSE)</f>
        <v>26eHP01.9</v>
      </c>
      <c r="AR12" s="30" t="str">
        <f>VLOOKUP(AR$2,Amphibole!$CN$7:$CW$63,10,FALSE)</f>
        <v>26hHP01.2</v>
      </c>
      <c r="AS12" s="30" t="str">
        <f>VLOOKUP(AS$2,Amphibole!$CN$7:$CW$63,10,FALSE)</f>
        <v>26hHP02.5</v>
      </c>
      <c r="AT12" s="30" t="str">
        <f>VLOOKUP(AT$2,Amphibole!$CN$7:$CW$63,10,FALSE)</f>
        <v>26hHP02.6</v>
      </c>
      <c r="AU12" s="30" t="str">
        <f>VLOOKUP(AU$2,Amphibole!$CN$7:$CW$63,10,FALSE)</f>
        <v>26hHP02.7</v>
      </c>
      <c r="AV12" s="30" t="str">
        <f>VLOOKUP(AV$2,Amphibole!$CN$7:$CW$63,10,FALSE)</f>
        <v>26hHP02.8</v>
      </c>
      <c r="AW12" s="30" t="str">
        <f>VLOOKUP(AW$2,Amphibole!$CN$7:$CW$63,10,FALSE)</f>
        <v>26hHP04.10</v>
      </c>
      <c r="AX12" s="30" t="str">
        <f>VLOOKUP(AX$2,Amphibole!$CN$7:$CW$63,10,FALSE)</f>
        <v>26hHP04.11</v>
      </c>
      <c r="AY12" s="30" t="str">
        <f>VLOOKUP(AY$2,Amphibole!$CN$7:$CW$63,10,FALSE)</f>
        <v>26hHP04.12</v>
      </c>
      <c r="AZ12" s="30" t="str">
        <f>VLOOKUP(AZ$2,Amphibole!$CN$7:$CW$63,10,FALSE)</f>
        <v>26hHP04.7</v>
      </c>
      <c r="BA12" s="30" t="str">
        <f>VLOOKUP(BA$2,Amphibole!$CN$7:$CW$63,10,FALSE)</f>
        <v>26hHP04.8</v>
      </c>
      <c r="BB12" s="30" t="str">
        <f>VLOOKUP(BB$2,Amphibole!$CN$7:$CW$63,10,FALSE)</f>
        <v>26hHP04.9</v>
      </c>
      <c r="BC12" s="30" t="str">
        <f>VLOOKUP(BC$2,Amphibole!$CN$7:$CW$63,10,FALSE)</f>
        <v>26hHP06.10</v>
      </c>
      <c r="BD12" s="30" t="str">
        <f>VLOOKUP(BD$2,Amphibole!$CN$7:$CW$63,10,FALSE)</f>
        <v>26hHP06.6</v>
      </c>
      <c r="BE12" s="30" t="str">
        <f>VLOOKUP(BE$2,Amphibole!$CN$7:$CW$63,10,FALSE)</f>
        <v>26hHP06.7</v>
      </c>
      <c r="BF12" s="30" t="str">
        <f>VLOOKUP(BF$2,Amphibole!$CN$7:$CW$63,10,FALSE)</f>
        <v>26hHP06.8</v>
      </c>
      <c r="BG12" s="30" t="str">
        <f>VLOOKUP(BG$2,Amphibole!$CN$7:$CW$63,10,FALSE)</f>
        <v>26hHP06.9</v>
      </c>
      <c r="BH12" s="30" t="str">
        <f>VLOOKUP(BH$2,Amphibole!$CN$7:$CW$63,10,FALSE)</f>
        <v>26hHP08.6</v>
      </c>
      <c r="BI12" s="30" t="str">
        <f>VLOOKUP(BI$2,Amphibole!$CN$7:$CW$63,10,FALSE)</f>
        <v>26hHP08.7</v>
      </c>
      <c r="BJ12" s="30" t="str">
        <f>VLOOKUP(BJ$2,Amphibole!$CN$7:$CW$63,10,FALSE)</f>
        <v>26hHP08.8</v>
      </c>
      <c r="BK12" s="30" t="str">
        <f>VLOOKUP(BK$2,Amphibole!$CN$7:$CW$63,10,FALSE)</f>
        <v>26hHP08.9</v>
      </c>
    </row>
    <row r="13" spans="1:63" ht="14" customHeight="1">
      <c r="A13" s="54" t="s">
        <v>72</v>
      </c>
      <c r="B13" s="37">
        <v>16126.999999999998</v>
      </c>
      <c r="C13" s="34">
        <f>VLOOKUP($B13,Plagioclase!$AV$7:$BA$478,2,FALSE)</f>
        <v>0.22174067606422643</v>
      </c>
      <c r="D13" s="34">
        <f>VLOOKUP($B13,Plagioclase!$AV$7:$BA$478,3,FALSE)</f>
        <v>0.71744511531709632</v>
      </c>
      <c r="E13" s="34">
        <f>VLOOKUP($B13,Plagioclase!$AV$7:$BA$478,5,FALSE)</f>
        <v>3</v>
      </c>
      <c r="F13" s="29" t="str">
        <f>VLOOKUP($B13,Plagioclase!$AV$7:$BA$478,6,FALSE)</f>
        <v>18aHP03.1</v>
      </c>
      <c r="G13" s="31">
        <f>(78.44+$E13-33.6*G$7-(66.8-2.92*G$11)*G$5+78.5*G$4+9.4*G$6)/(0.0721-$C$6*LN((27*G$7*G$3*$C13)/(64*G$8*G$4*$D13)))-273.15</f>
        <v>705.24305083634204</v>
      </c>
      <c r="H13" s="31">
        <f t="shared" ref="H13:W20" si="0">(78.44+$E13-33.6*H$7-(66.8-2.92*H$11)*H$5+78.5*H$4+9.4*H$6)/(0.0721-$C$6*LN((27*H$7*H$3*$C13)/(64*H$8*H$4*$D13)))-273.15</f>
        <v>703.97530533298277</v>
      </c>
      <c r="I13" s="31">
        <f t="shared" si="0"/>
        <v>702.96197692751332</v>
      </c>
      <c r="J13" s="31">
        <f t="shared" si="0"/>
        <v>703.22023543097066</v>
      </c>
      <c r="K13" s="31">
        <f t="shared" si="0"/>
        <v>709.618698828329</v>
      </c>
      <c r="L13" s="31">
        <f t="shared" si="0"/>
        <v>701.26132167705589</v>
      </c>
      <c r="M13" s="31">
        <f t="shared" si="0"/>
        <v>705.41688969250981</v>
      </c>
      <c r="N13" s="31">
        <f t="shared" si="0"/>
        <v>705.00790376274665</v>
      </c>
      <c r="O13" s="31">
        <f t="shared" si="0"/>
        <v>700.49237796861746</v>
      </c>
      <c r="P13" s="31">
        <f t="shared" si="0"/>
        <v>703.65646302665584</v>
      </c>
      <c r="Q13" s="31">
        <f t="shared" si="0"/>
        <v>703.53422495516622</v>
      </c>
      <c r="R13" s="31">
        <f t="shared" si="0"/>
        <v>733.54770320864304</v>
      </c>
      <c r="S13" s="31">
        <f t="shared" si="0"/>
        <v>706.68585976047791</v>
      </c>
      <c r="T13" s="31">
        <f t="shared" si="0"/>
        <v>700.49024654408686</v>
      </c>
      <c r="U13" s="31">
        <f t="shared" si="0"/>
        <v>730.7345037312582</v>
      </c>
      <c r="V13" s="31">
        <f t="shared" si="0"/>
        <v>680.44965383289298</v>
      </c>
      <c r="W13" s="31">
        <f t="shared" si="0"/>
        <v>690.34849623229502</v>
      </c>
      <c r="X13" s="31">
        <f t="shared" ref="X13:AM20" si="1">(78.44+$E13-33.6*X$7-(66.8-2.92*X$11)*X$5+78.5*X$4+9.4*X$6)/(0.0721-$C$6*LN((27*X$7*X$3*$C13)/(64*X$8*X$4*$D13)))-273.15</f>
        <v>703.59595841530495</v>
      </c>
      <c r="Y13" s="31">
        <f t="shared" si="1"/>
        <v>692.5051711478169</v>
      </c>
      <c r="Z13" s="31">
        <f t="shared" si="1"/>
        <v>711.54496802696815</v>
      </c>
      <c r="AA13" s="31">
        <f t="shared" si="1"/>
        <v>681.43707604698955</v>
      </c>
      <c r="AB13" s="31">
        <f t="shared" si="1"/>
        <v>702.97085994633858</v>
      </c>
      <c r="AC13" s="31">
        <f t="shared" si="1"/>
        <v>696.62751593343899</v>
      </c>
      <c r="AD13" s="31">
        <f t="shared" si="1"/>
        <v>699.12914119254344</v>
      </c>
      <c r="AE13" s="31">
        <f t="shared" si="1"/>
        <v>707.68358856460964</v>
      </c>
      <c r="AF13" s="31">
        <f t="shared" si="1"/>
        <v>694.29077892700309</v>
      </c>
      <c r="AG13" s="31">
        <f t="shared" si="1"/>
        <v>702.35525102843053</v>
      </c>
      <c r="AH13" s="31">
        <f t="shared" si="1"/>
        <v>786.19888288346158</v>
      </c>
      <c r="AI13" s="31">
        <f t="shared" si="1"/>
        <v>777.95816311137594</v>
      </c>
      <c r="AJ13" s="31">
        <f t="shared" si="1"/>
        <v>791.00137910952992</v>
      </c>
      <c r="AK13" s="31">
        <f t="shared" si="1"/>
        <v>697.10543141354344</v>
      </c>
      <c r="AL13" s="31">
        <f t="shared" si="1"/>
        <v>794.28927430978422</v>
      </c>
      <c r="AM13" s="31">
        <f t="shared" si="1"/>
        <v>785.8905428543336</v>
      </c>
      <c r="AN13" s="31">
        <f t="shared" ref="AN13:AY20" si="2">(78.44+$E13-33.6*AN$7-(66.8-2.92*AN$11)*AN$5+78.5*AN$4+9.4*AN$6)/(0.0721-$C$6*LN((27*AN$7*AN$3*$C13)/(64*AN$8*AN$4*$D13)))-273.15</f>
        <v>791.17264461866773</v>
      </c>
      <c r="AO13" s="31">
        <f t="shared" si="2"/>
        <v>799.39572627690916</v>
      </c>
      <c r="AP13" s="31">
        <f t="shared" si="2"/>
        <v>778.85767047391812</v>
      </c>
      <c r="AQ13" s="31">
        <f t="shared" si="2"/>
        <v>788.30934715526166</v>
      </c>
      <c r="AR13" s="31">
        <f t="shared" si="2"/>
        <v>704.69968057804942</v>
      </c>
      <c r="AS13" s="31">
        <f t="shared" si="2"/>
        <v>712.21053049060822</v>
      </c>
      <c r="AT13" s="31">
        <f t="shared" si="2"/>
        <v>732.2738333603977</v>
      </c>
      <c r="AU13" s="31">
        <f t="shared" si="2"/>
        <v>720.94557072054329</v>
      </c>
      <c r="AV13" s="31">
        <f t="shared" si="2"/>
        <v>772.87935367830221</v>
      </c>
      <c r="AW13" s="31">
        <f t="shared" si="2"/>
        <v>759.3729486844328</v>
      </c>
      <c r="AX13" s="31">
        <f t="shared" si="2"/>
        <v>753.70877343072505</v>
      </c>
      <c r="AY13" s="31">
        <f t="shared" si="2"/>
        <v>767.79358819148285</v>
      </c>
      <c r="AZ13" s="31">
        <f t="shared" ref="AZ13:BC20" si="3">(78.44+$E13-33.6*AZ$7-(66.8-2.92*AZ$11)*AZ$5+78.5*AZ$4+9.4*AZ$6)/(0.0721-$C$6*LN((27*AZ$7*AZ$3*$C13)/(64*AZ$8*AZ$4*$D13)))-273.15</f>
        <v>785.01847521459911</v>
      </c>
      <c r="BA13" s="31">
        <f t="shared" si="3"/>
        <v>770.75306382965198</v>
      </c>
      <c r="BB13" s="31">
        <f t="shared" si="3"/>
        <v>749.97827070794074</v>
      </c>
      <c r="BC13" s="31">
        <f t="shared" si="3"/>
        <v>703.47150791328829</v>
      </c>
      <c r="BD13" s="31">
        <f t="shared" ref="BD13:BK20" si="4">(78.44+$E13-33.6*BD$7-(66.8-2.92*BD$11)*BD$5+78.5*BD$4+9.4*BD$6)/(0.0721-$C$6*LN((27*BD$7*BD$3*$C13)/(64*BD$8*BD$4*$D13)))-273.15</f>
        <v>709.32454420571776</v>
      </c>
      <c r="BE13" s="31">
        <f t="shared" si="4"/>
        <v>700.64772112865342</v>
      </c>
      <c r="BF13" s="31">
        <f t="shared" si="4"/>
        <v>718.54140052205673</v>
      </c>
      <c r="BG13" s="31">
        <f t="shared" si="4"/>
        <v>715.06990878856698</v>
      </c>
      <c r="BH13" s="31">
        <f t="shared" si="4"/>
        <v>700.63788696732547</v>
      </c>
      <c r="BI13" s="31">
        <f t="shared" si="4"/>
        <v>697.5493938718248</v>
      </c>
      <c r="BJ13" s="31">
        <f t="shared" si="4"/>
        <v>704.78677894825148</v>
      </c>
      <c r="BK13" s="31">
        <f t="shared" si="4"/>
        <v>704.54588349504127</v>
      </c>
    </row>
    <row r="14" spans="1:63">
      <c r="A14" s="54"/>
      <c r="B14" s="37">
        <v>16129.000000000002</v>
      </c>
      <c r="C14" s="34">
        <f>VLOOKUP($B14,Plagioclase!$AV$7:$BA$478,2,FALSE)</f>
        <v>0.40867791335811043</v>
      </c>
      <c r="D14" s="34">
        <f>VLOOKUP($B14,Plagioclase!$AV$7:$BA$478,3,FALSE)</f>
        <v>0.56679821598949554</v>
      </c>
      <c r="E14" s="34">
        <f>VLOOKUP($B14,Plagioclase!$AV$7:$BA$478,5,FALSE)</f>
        <v>3</v>
      </c>
      <c r="F14" s="29" t="str">
        <f>VLOOKUP($B14,Plagioclase!$AV$7:$BA$478,6,FALSE)</f>
        <v>18aHP03.3</v>
      </c>
      <c r="G14" s="31">
        <f t="shared" ref="G14:V21" si="5">(78.44+$E14-33.6*G$7-(66.8-2.92*G$11)*G$5+78.5*G$4+9.4*G$6)/(0.0721-$C$6*LN((27*G$7*G$3*$C14)/(64*G$8*G$4*$D14)))-273.15</f>
        <v>778.87767704385794</v>
      </c>
      <c r="H14" s="31">
        <f t="shared" si="0"/>
        <v>777.62319198219996</v>
      </c>
      <c r="I14" s="31">
        <f t="shared" si="0"/>
        <v>776.3302561391439</v>
      </c>
      <c r="J14" s="31">
        <f t="shared" si="0"/>
        <v>776.32320174521772</v>
      </c>
      <c r="K14" s="31">
        <f t="shared" si="0"/>
        <v>784.27296556406202</v>
      </c>
      <c r="L14" s="31">
        <f t="shared" si="0"/>
        <v>773.71097884030803</v>
      </c>
      <c r="M14" s="31">
        <f t="shared" si="0"/>
        <v>779.36330084670624</v>
      </c>
      <c r="N14" s="31">
        <f t="shared" si="0"/>
        <v>777.46712732055937</v>
      </c>
      <c r="O14" s="31">
        <f t="shared" si="0"/>
        <v>773.22593812994899</v>
      </c>
      <c r="P14" s="31">
        <f t="shared" si="0"/>
        <v>777.59834373879141</v>
      </c>
      <c r="Q14" s="31">
        <f t="shared" si="0"/>
        <v>776.14345558082516</v>
      </c>
      <c r="R14" s="31">
        <f t="shared" si="0"/>
        <v>805.76845838890301</v>
      </c>
      <c r="S14" s="31">
        <f t="shared" si="0"/>
        <v>780.17220176951503</v>
      </c>
      <c r="T14" s="31">
        <f t="shared" si="0"/>
        <v>774.61678313152004</v>
      </c>
      <c r="U14" s="31">
        <f t="shared" si="0"/>
        <v>802.60361941114695</v>
      </c>
      <c r="V14" s="31">
        <f t="shared" si="0"/>
        <v>752.32347985581748</v>
      </c>
      <c r="W14" s="31">
        <f t="shared" si="0"/>
        <v>762.01093379690599</v>
      </c>
      <c r="X14" s="31">
        <f t="shared" si="1"/>
        <v>777.1580635195445</v>
      </c>
      <c r="Y14" s="31">
        <f t="shared" si="1"/>
        <v>763.40937580508933</v>
      </c>
      <c r="Z14" s="31">
        <f t="shared" si="1"/>
        <v>785.21440011463199</v>
      </c>
      <c r="AA14" s="31">
        <f t="shared" si="1"/>
        <v>754.24009101728541</v>
      </c>
      <c r="AB14" s="31">
        <f t="shared" si="1"/>
        <v>776.83305210446645</v>
      </c>
      <c r="AC14" s="31">
        <f t="shared" si="1"/>
        <v>769.30341370467647</v>
      </c>
      <c r="AD14" s="31">
        <f t="shared" si="1"/>
        <v>771.6210342186688</v>
      </c>
      <c r="AE14" s="31">
        <f t="shared" si="1"/>
        <v>779.54530237542815</v>
      </c>
      <c r="AF14" s="31">
        <f t="shared" si="1"/>
        <v>767.27117775503996</v>
      </c>
      <c r="AG14" s="31">
        <f t="shared" si="1"/>
        <v>775.977763540105</v>
      </c>
      <c r="AH14" s="31">
        <f t="shared" si="1"/>
        <v>860.33962549310638</v>
      </c>
      <c r="AI14" s="31">
        <f t="shared" si="1"/>
        <v>851.05228721037645</v>
      </c>
      <c r="AJ14" s="31">
        <f t="shared" si="1"/>
        <v>865.90293611231834</v>
      </c>
      <c r="AK14" s="31">
        <f t="shared" si="1"/>
        <v>771.09565356862583</v>
      </c>
      <c r="AL14" s="31">
        <f t="shared" si="1"/>
        <v>868.87619392787781</v>
      </c>
      <c r="AM14" s="31">
        <f t="shared" si="1"/>
        <v>859.16460361518295</v>
      </c>
      <c r="AN14" s="31">
        <f t="shared" si="2"/>
        <v>865.8969092230567</v>
      </c>
      <c r="AO14" s="31">
        <f t="shared" si="2"/>
        <v>875.45963871243259</v>
      </c>
      <c r="AP14" s="31">
        <f t="shared" si="2"/>
        <v>853.73218421635772</v>
      </c>
      <c r="AQ14" s="31">
        <f t="shared" si="2"/>
        <v>861.36346529118453</v>
      </c>
      <c r="AR14" s="31">
        <f t="shared" si="2"/>
        <v>777.64303629213089</v>
      </c>
      <c r="AS14" s="31">
        <f t="shared" si="2"/>
        <v>786.82498488821591</v>
      </c>
      <c r="AT14" s="31">
        <f t="shared" si="2"/>
        <v>806.56047126993792</v>
      </c>
      <c r="AU14" s="31">
        <f t="shared" si="2"/>
        <v>794.02664274092115</v>
      </c>
      <c r="AV14" s="31">
        <f t="shared" si="2"/>
        <v>843.96734959182561</v>
      </c>
      <c r="AW14" s="31">
        <f t="shared" si="2"/>
        <v>832.80193703236489</v>
      </c>
      <c r="AX14" s="31">
        <f t="shared" si="2"/>
        <v>827.27060085980463</v>
      </c>
      <c r="AY14" s="31">
        <f t="shared" si="2"/>
        <v>842.55813180577513</v>
      </c>
      <c r="AZ14" s="31">
        <f t="shared" si="3"/>
        <v>859.77621683940617</v>
      </c>
      <c r="BA14" s="31">
        <f t="shared" si="3"/>
        <v>844.7023268523991</v>
      </c>
      <c r="BB14" s="31">
        <f t="shared" si="3"/>
        <v>822.04706619428009</v>
      </c>
      <c r="BC14" s="31">
        <f t="shared" si="3"/>
        <v>775.74972005376492</v>
      </c>
      <c r="BD14" s="31">
        <f t="shared" si="4"/>
        <v>781.09837517434096</v>
      </c>
      <c r="BE14" s="31">
        <f t="shared" si="4"/>
        <v>773.3972064133319</v>
      </c>
      <c r="BF14" s="31">
        <f t="shared" si="4"/>
        <v>790.69727372037835</v>
      </c>
      <c r="BG14" s="31">
        <f t="shared" si="4"/>
        <v>786.43007921713422</v>
      </c>
      <c r="BH14" s="31">
        <f t="shared" si="4"/>
        <v>771.97566445428572</v>
      </c>
      <c r="BI14" s="31">
        <f t="shared" si="4"/>
        <v>770.19911229143293</v>
      </c>
      <c r="BJ14" s="31">
        <f t="shared" si="4"/>
        <v>777.00291920516804</v>
      </c>
      <c r="BK14" s="31">
        <f t="shared" si="4"/>
        <v>776.60979705521152</v>
      </c>
    </row>
    <row r="15" spans="1:63">
      <c r="A15" s="54"/>
      <c r="B15" s="37">
        <v>16132.000000000002</v>
      </c>
      <c r="C15" s="34">
        <f>VLOOKUP($B15,Plagioclase!$AV$7:$BA$478,2,FALSE)</f>
        <v>0.24936853305349355</v>
      </c>
      <c r="D15" s="34">
        <f>VLOOKUP($B15,Plagioclase!$AV$7:$BA$478,3,FALSE)</f>
        <v>0.70059932039967565</v>
      </c>
      <c r="E15" s="34">
        <f>VLOOKUP($B15,Plagioclase!$AV$7:$BA$478,5,FALSE)</f>
        <v>3</v>
      </c>
      <c r="F15" s="29" t="str">
        <f>VLOOKUP($B15,Plagioclase!$AV$7:$BA$478,6,FALSE)</f>
        <v>18eHP02.2</v>
      </c>
      <c r="G15" s="31">
        <f t="shared" si="5"/>
        <v>716.79107611089239</v>
      </c>
      <c r="H15" s="31">
        <f t="shared" si="0"/>
        <v>715.52440302219372</v>
      </c>
      <c r="I15" s="31">
        <f t="shared" si="0"/>
        <v>714.46910650279733</v>
      </c>
      <c r="J15" s="31">
        <f t="shared" si="0"/>
        <v>714.68837579412741</v>
      </c>
      <c r="K15" s="31">
        <f t="shared" si="0"/>
        <v>721.32018769556316</v>
      </c>
      <c r="L15" s="31">
        <f t="shared" si="0"/>
        <v>712.63161044740411</v>
      </c>
      <c r="M15" s="31">
        <f t="shared" si="0"/>
        <v>717.01103664619973</v>
      </c>
      <c r="N15" s="31">
        <f t="shared" si="0"/>
        <v>716.38214847258712</v>
      </c>
      <c r="O15" s="31">
        <f t="shared" si="0"/>
        <v>711.90408563839435</v>
      </c>
      <c r="P15" s="31">
        <f t="shared" si="0"/>
        <v>715.24870413658175</v>
      </c>
      <c r="Q15" s="31">
        <f t="shared" si="0"/>
        <v>714.9296435358259</v>
      </c>
      <c r="R15" s="31">
        <f t="shared" si="0"/>
        <v>744.90534719181426</v>
      </c>
      <c r="S15" s="31">
        <f t="shared" si="0"/>
        <v>718.21299946888723</v>
      </c>
      <c r="T15" s="31">
        <f t="shared" si="0"/>
        <v>712.10746826425463</v>
      </c>
      <c r="U15" s="31">
        <f t="shared" si="0"/>
        <v>742.03817437493831</v>
      </c>
      <c r="V15" s="31">
        <f t="shared" si="0"/>
        <v>691.72056030444173</v>
      </c>
      <c r="W15" s="31">
        <f t="shared" si="0"/>
        <v>701.59501690963202</v>
      </c>
      <c r="X15" s="31">
        <f t="shared" si="1"/>
        <v>715.13213388109727</v>
      </c>
      <c r="Y15" s="31">
        <f t="shared" si="1"/>
        <v>703.64100952181423</v>
      </c>
      <c r="Z15" s="31">
        <f t="shared" si="1"/>
        <v>723.10249674412273</v>
      </c>
      <c r="AA15" s="31">
        <f t="shared" si="1"/>
        <v>692.84568351459552</v>
      </c>
      <c r="AB15" s="31">
        <f t="shared" si="1"/>
        <v>714.55086631325514</v>
      </c>
      <c r="AC15" s="31">
        <f t="shared" si="1"/>
        <v>708.02804565800227</v>
      </c>
      <c r="AD15" s="31">
        <f t="shared" si="1"/>
        <v>710.50421529360347</v>
      </c>
      <c r="AE15" s="31">
        <f t="shared" si="1"/>
        <v>718.97122692503433</v>
      </c>
      <c r="AF15" s="31">
        <f t="shared" si="1"/>
        <v>705.73462521357203</v>
      </c>
      <c r="AG15" s="31">
        <f t="shared" si="1"/>
        <v>713.89947209324384</v>
      </c>
      <c r="AH15" s="31">
        <f t="shared" si="1"/>
        <v>797.87456531142618</v>
      </c>
      <c r="AI15" s="31">
        <f t="shared" si="1"/>
        <v>789.4730772699719</v>
      </c>
      <c r="AJ15" s="31">
        <f t="shared" si="1"/>
        <v>802.79316894110514</v>
      </c>
      <c r="AK15" s="31">
        <f t="shared" si="1"/>
        <v>708.70015305472873</v>
      </c>
      <c r="AL15" s="31">
        <f t="shared" si="1"/>
        <v>806.03626091994681</v>
      </c>
      <c r="AM15" s="31">
        <f t="shared" si="1"/>
        <v>797.43699540204136</v>
      </c>
      <c r="AN15" s="31">
        <f t="shared" si="2"/>
        <v>802.93817085747617</v>
      </c>
      <c r="AO15" s="31">
        <f t="shared" si="2"/>
        <v>811.36548567990906</v>
      </c>
      <c r="AP15" s="31">
        <f t="shared" si="2"/>
        <v>790.63790701152823</v>
      </c>
      <c r="AQ15" s="31">
        <f t="shared" si="2"/>
        <v>799.82445179221679</v>
      </c>
      <c r="AR15" s="31">
        <f t="shared" si="2"/>
        <v>716.14526419866934</v>
      </c>
      <c r="AS15" s="31">
        <f t="shared" si="2"/>
        <v>723.90798124310845</v>
      </c>
      <c r="AT15" s="31">
        <f t="shared" si="2"/>
        <v>743.93668683371686</v>
      </c>
      <c r="AU15" s="31">
        <f t="shared" si="2"/>
        <v>732.42249305324276</v>
      </c>
      <c r="AV15" s="31">
        <f t="shared" si="2"/>
        <v>784.09218835229956</v>
      </c>
      <c r="AW15" s="31">
        <f t="shared" si="2"/>
        <v>770.92627333936696</v>
      </c>
      <c r="AX15" s="31">
        <f t="shared" si="2"/>
        <v>765.27825109140201</v>
      </c>
      <c r="AY15" s="31">
        <f t="shared" si="2"/>
        <v>779.55050319159943</v>
      </c>
      <c r="AZ15" s="31">
        <f t="shared" si="3"/>
        <v>796.7851968757044</v>
      </c>
      <c r="BA15" s="31">
        <f t="shared" si="3"/>
        <v>782.3907835285039</v>
      </c>
      <c r="BB15" s="31">
        <f t="shared" si="3"/>
        <v>761.32362001600461</v>
      </c>
      <c r="BC15" s="31">
        <f t="shared" si="3"/>
        <v>714.81795124059727</v>
      </c>
      <c r="BD15" s="31">
        <f t="shared" si="4"/>
        <v>720.60025425629431</v>
      </c>
      <c r="BE15" s="31">
        <f t="shared" si="4"/>
        <v>712.06188767982087</v>
      </c>
      <c r="BF15" s="31">
        <f t="shared" si="4"/>
        <v>729.8797456925555</v>
      </c>
      <c r="BG15" s="31">
        <f t="shared" si="4"/>
        <v>726.28806386350948</v>
      </c>
      <c r="BH15" s="31">
        <f t="shared" si="4"/>
        <v>711.84329814915282</v>
      </c>
      <c r="BI15" s="31">
        <f t="shared" si="4"/>
        <v>708.94669422420122</v>
      </c>
      <c r="BJ15" s="31">
        <f t="shared" si="4"/>
        <v>716.1249287722178</v>
      </c>
      <c r="BK15" s="31">
        <f t="shared" si="4"/>
        <v>715.86135471828652</v>
      </c>
    </row>
    <row r="16" spans="1:63">
      <c r="A16" s="54"/>
      <c r="B16" s="37">
        <v>16133</v>
      </c>
      <c r="C16" s="34">
        <f>VLOOKUP($B16,Plagioclase!$AV$7:$BA$478,2,FALSE)</f>
        <v>0.46649545568081019</v>
      </c>
      <c r="D16" s="34">
        <f>VLOOKUP($B16,Plagioclase!$AV$7:$BA$478,3,FALSE)</f>
        <v>0.51440569893045907</v>
      </c>
      <c r="E16" s="34">
        <f>VLOOKUP($B16,Plagioclase!$AV$7:$BA$478,5,FALSE)</f>
        <v>3</v>
      </c>
      <c r="F16" s="29" t="str">
        <f>VLOOKUP($B16,Plagioclase!$AV$7:$BA$478,6,FALSE)</f>
        <v>18eHP02.3</v>
      </c>
      <c r="G16" s="31">
        <f t="shared" si="5"/>
        <v>800.75636305044975</v>
      </c>
      <c r="H16" s="31">
        <f t="shared" si="0"/>
        <v>799.50875394293655</v>
      </c>
      <c r="I16" s="31">
        <f t="shared" si="0"/>
        <v>798.12725331140575</v>
      </c>
      <c r="J16" s="31">
        <f t="shared" si="0"/>
        <v>798.03373703712134</v>
      </c>
      <c r="K16" s="31">
        <f t="shared" si="0"/>
        <v>806.47341184391314</v>
      </c>
      <c r="L16" s="31">
        <f t="shared" si="0"/>
        <v>795.21399339184347</v>
      </c>
      <c r="M16" s="31">
        <f t="shared" si="0"/>
        <v>801.34271705518438</v>
      </c>
      <c r="N16" s="31">
        <f t="shared" si="0"/>
        <v>798.96584289059126</v>
      </c>
      <c r="O16" s="31">
        <f t="shared" si="0"/>
        <v>794.82234379561316</v>
      </c>
      <c r="P16" s="31">
        <f t="shared" si="0"/>
        <v>799.57990052575758</v>
      </c>
      <c r="Q16" s="31">
        <f t="shared" si="0"/>
        <v>797.6935805012198</v>
      </c>
      <c r="R16" s="31">
        <f t="shared" si="0"/>
        <v>827.13600346119404</v>
      </c>
      <c r="S16" s="31">
        <f t="shared" si="0"/>
        <v>801.99992414655969</v>
      </c>
      <c r="T16" s="31">
        <f t="shared" si="0"/>
        <v>796.66481831627618</v>
      </c>
      <c r="U16" s="31">
        <f t="shared" si="0"/>
        <v>823.86329006943527</v>
      </c>
      <c r="V16" s="31">
        <f t="shared" si="0"/>
        <v>773.68182946892455</v>
      </c>
      <c r="W16" s="31">
        <f t="shared" si="0"/>
        <v>783.28094617001477</v>
      </c>
      <c r="X16" s="31">
        <f t="shared" si="1"/>
        <v>799.01659033668591</v>
      </c>
      <c r="Y16" s="31">
        <f t="shared" si="1"/>
        <v>784.43017942532958</v>
      </c>
      <c r="Z16" s="31">
        <f t="shared" si="1"/>
        <v>807.09164417243699</v>
      </c>
      <c r="AA16" s="31">
        <f t="shared" si="1"/>
        <v>775.89793601111717</v>
      </c>
      <c r="AB16" s="31">
        <f t="shared" si="1"/>
        <v>798.79016504953745</v>
      </c>
      <c r="AC16" s="31">
        <f t="shared" si="1"/>
        <v>790.88890281606166</v>
      </c>
      <c r="AD16" s="31">
        <f t="shared" si="1"/>
        <v>793.14194734376986</v>
      </c>
      <c r="AE16" s="31">
        <f t="shared" si="1"/>
        <v>800.84585838040005</v>
      </c>
      <c r="AF16" s="31">
        <f t="shared" si="1"/>
        <v>788.96007463767626</v>
      </c>
      <c r="AG16" s="31">
        <f t="shared" si="1"/>
        <v>797.85840217468638</v>
      </c>
      <c r="AH16" s="31">
        <f t="shared" si="1"/>
        <v>882.22874977201025</v>
      </c>
      <c r="AI16" s="31">
        <f t="shared" si="1"/>
        <v>872.62073418946295</v>
      </c>
      <c r="AJ16" s="31">
        <f t="shared" si="1"/>
        <v>888.02736597822638</v>
      </c>
      <c r="AK16" s="31">
        <f t="shared" si="1"/>
        <v>793.10646322603304</v>
      </c>
      <c r="AL16" s="31">
        <f t="shared" si="1"/>
        <v>890.89404861967785</v>
      </c>
      <c r="AM16" s="31">
        <f t="shared" si="1"/>
        <v>880.77695829993843</v>
      </c>
      <c r="AN16" s="31">
        <f t="shared" si="2"/>
        <v>887.96421858068368</v>
      </c>
      <c r="AO16" s="31">
        <f t="shared" si="2"/>
        <v>897.94189590464237</v>
      </c>
      <c r="AP16" s="31">
        <f t="shared" si="2"/>
        <v>875.86968920107972</v>
      </c>
      <c r="AQ16" s="31">
        <f t="shared" si="2"/>
        <v>882.90142614910008</v>
      </c>
      <c r="AR16" s="31">
        <f t="shared" si="2"/>
        <v>799.29894234126971</v>
      </c>
      <c r="AS16" s="31">
        <f t="shared" si="2"/>
        <v>809.0071655283208</v>
      </c>
      <c r="AT16" s="31">
        <f t="shared" si="2"/>
        <v>828.59629133643205</v>
      </c>
      <c r="AU16" s="31">
        <f t="shared" si="2"/>
        <v>815.69514951534381</v>
      </c>
      <c r="AV16" s="31">
        <f t="shared" si="2"/>
        <v>864.90371318504742</v>
      </c>
      <c r="AW16" s="31">
        <f t="shared" si="2"/>
        <v>854.51056203240285</v>
      </c>
      <c r="AX16" s="31">
        <f t="shared" si="2"/>
        <v>849.03222318465339</v>
      </c>
      <c r="AY16" s="31">
        <f t="shared" si="2"/>
        <v>864.68052803478656</v>
      </c>
      <c r="AZ16" s="31">
        <f t="shared" si="3"/>
        <v>881.86517005168218</v>
      </c>
      <c r="BA16" s="31">
        <f t="shared" si="3"/>
        <v>866.55744486373089</v>
      </c>
      <c r="BB16" s="31">
        <f t="shared" si="3"/>
        <v>843.33613199235685</v>
      </c>
      <c r="BC16" s="31">
        <f t="shared" si="3"/>
        <v>797.19294797475925</v>
      </c>
      <c r="BD16" s="31">
        <f t="shared" si="4"/>
        <v>802.36743878853065</v>
      </c>
      <c r="BE16" s="31">
        <f t="shared" si="4"/>
        <v>794.99845630350626</v>
      </c>
      <c r="BF16" s="31">
        <f t="shared" si="4"/>
        <v>812.07196282644043</v>
      </c>
      <c r="BG16" s="31">
        <f t="shared" si="4"/>
        <v>807.55502203140998</v>
      </c>
      <c r="BH16" s="31">
        <f t="shared" si="4"/>
        <v>793.12071765625581</v>
      </c>
      <c r="BI16" s="31">
        <f t="shared" si="4"/>
        <v>791.77427078938797</v>
      </c>
      <c r="BJ16" s="31">
        <f t="shared" si="4"/>
        <v>798.42351554595177</v>
      </c>
      <c r="BK16" s="31">
        <f t="shared" si="4"/>
        <v>797.98169140319544</v>
      </c>
    </row>
    <row r="17" spans="1:63">
      <c r="A17" s="54"/>
      <c r="B17" s="37">
        <v>16137</v>
      </c>
      <c r="C17" s="34">
        <f>VLOOKUP($B17,Plagioclase!$AV$7:$BA$478,2,FALSE)</f>
        <v>0.26574443057459013</v>
      </c>
      <c r="D17" s="34">
        <f>VLOOKUP($B17,Plagioclase!$AV$7:$BA$478,3,FALSE)</f>
        <v>0.68932086143830085</v>
      </c>
      <c r="E17" s="34">
        <f>VLOOKUP($B17,Plagioclase!$AV$7:$BA$478,5,FALSE)</f>
        <v>3</v>
      </c>
      <c r="F17" s="29" t="str">
        <f>VLOOKUP($B17,Plagioclase!$AV$7:$BA$478,6,FALSE)</f>
        <v>18eHP02.7</v>
      </c>
      <c r="G17" s="31">
        <f t="shared" si="5"/>
        <v>723.44238921102567</v>
      </c>
      <c r="H17" s="31">
        <f t="shared" si="0"/>
        <v>722.17650383670752</v>
      </c>
      <c r="I17" s="31">
        <f t="shared" si="0"/>
        <v>721.09671715124</v>
      </c>
      <c r="J17" s="31">
        <f t="shared" si="0"/>
        <v>721.29308743202171</v>
      </c>
      <c r="K17" s="31">
        <f t="shared" si="0"/>
        <v>728.06097883260645</v>
      </c>
      <c r="L17" s="31">
        <f t="shared" si="0"/>
        <v>719.17918416483769</v>
      </c>
      <c r="M17" s="31">
        <f t="shared" si="0"/>
        <v>723.68938287627498</v>
      </c>
      <c r="N17" s="31">
        <f t="shared" si="0"/>
        <v>722.93158548842268</v>
      </c>
      <c r="O17" s="31">
        <f t="shared" si="0"/>
        <v>718.47604019778146</v>
      </c>
      <c r="P17" s="31">
        <f t="shared" si="0"/>
        <v>721.9261543663946</v>
      </c>
      <c r="Q17" s="31">
        <f t="shared" si="0"/>
        <v>721.49167366643962</v>
      </c>
      <c r="R17" s="31">
        <f t="shared" si="0"/>
        <v>751.44169970550922</v>
      </c>
      <c r="S17" s="31">
        <f t="shared" si="0"/>
        <v>724.85188296513957</v>
      </c>
      <c r="T17" s="31">
        <f t="shared" si="0"/>
        <v>718.79997769728914</v>
      </c>
      <c r="U17" s="31">
        <f t="shared" si="0"/>
        <v>748.54324062924502</v>
      </c>
      <c r="V17" s="31">
        <f t="shared" si="0"/>
        <v>698.21242591519933</v>
      </c>
      <c r="W17" s="31">
        <f t="shared" si="0"/>
        <v>708.07135625082458</v>
      </c>
      <c r="X17" s="31">
        <f t="shared" si="1"/>
        <v>721.77670228174054</v>
      </c>
      <c r="Y17" s="31">
        <f t="shared" si="1"/>
        <v>710.05220697650952</v>
      </c>
      <c r="Z17" s="31">
        <f t="shared" si="1"/>
        <v>729.75860041677265</v>
      </c>
      <c r="AA17" s="31">
        <f t="shared" si="1"/>
        <v>699.41821414402602</v>
      </c>
      <c r="AB17" s="31">
        <f t="shared" si="1"/>
        <v>721.22122537288783</v>
      </c>
      <c r="AC17" s="31">
        <f t="shared" si="1"/>
        <v>714.59392270978367</v>
      </c>
      <c r="AD17" s="31">
        <f t="shared" si="1"/>
        <v>717.05485596111896</v>
      </c>
      <c r="AE17" s="31">
        <f t="shared" si="1"/>
        <v>725.46957983996799</v>
      </c>
      <c r="AF17" s="31">
        <f t="shared" si="1"/>
        <v>712.32620064279479</v>
      </c>
      <c r="AG17" s="31">
        <f t="shared" si="1"/>
        <v>720.54891556769826</v>
      </c>
      <c r="AH17" s="31">
        <f t="shared" si="1"/>
        <v>804.59122299877265</v>
      </c>
      <c r="AI17" s="31">
        <f t="shared" si="1"/>
        <v>796.09656320357556</v>
      </c>
      <c r="AJ17" s="31">
        <f t="shared" si="1"/>
        <v>809.57724710977425</v>
      </c>
      <c r="AK17" s="31">
        <f t="shared" si="1"/>
        <v>715.37989231411427</v>
      </c>
      <c r="AL17" s="31">
        <f t="shared" si="1"/>
        <v>812.79376147721166</v>
      </c>
      <c r="AM17" s="31">
        <f t="shared" si="1"/>
        <v>804.07808155806799</v>
      </c>
      <c r="AN17" s="31">
        <f t="shared" si="2"/>
        <v>809.70685995018096</v>
      </c>
      <c r="AO17" s="31">
        <f t="shared" si="2"/>
        <v>818.25280357270447</v>
      </c>
      <c r="AP17" s="31">
        <f t="shared" si="2"/>
        <v>797.41657312400605</v>
      </c>
      <c r="AQ17" s="31">
        <f t="shared" si="2"/>
        <v>806.44694665470172</v>
      </c>
      <c r="AR17" s="31">
        <f t="shared" si="2"/>
        <v>722.73656570090805</v>
      </c>
      <c r="AS17" s="31">
        <f t="shared" si="2"/>
        <v>730.64607447284163</v>
      </c>
      <c r="AT17" s="31">
        <f t="shared" si="2"/>
        <v>750.65201254480041</v>
      </c>
      <c r="AU17" s="31">
        <f t="shared" si="2"/>
        <v>739.03019735399005</v>
      </c>
      <c r="AV17" s="31">
        <f t="shared" si="2"/>
        <v>790.53954802196802</v>
      </c>
      <c r="AW17" s="31">
        <f t="shared" si="2"/>
        <v>777.5742807092912</v>
      </c>
      <c r="AX17" s="31">
        <f t="shared" si="2"/>
        <v>771.93635657629136</v>
      </c>
      <c r="AY17" s="31">
        <f t="shared" si="2"/>
        <v>786.31676786982541</v>
      </c>
      <c r="AZ17" s="31">
        <f t="shared" si="3"/>
        <v>803.55526372758879</v>
      </c>
      <c r="BA17" s="31">
        <f t="shared" si="3"/>
        <v>789.08692427942731</v>
      </c>
      <c r="BB17" s="31">
        <f t="shared" si="3"/>
        <v>767.85093190123996</v>
      </c>
      <c r="BC17" s="31">
        <f t="shared" si="3"/>
        <v>721.35127632329318</v>
      </c>
      <c r="BD17" s="31">
        <f t="shared" si="4"/>
        <v>727.09142284009761</v>
      </c>
      <c r="BE17" s="31">
        <f t="shared" si="4"/>
        <v>718.63526500859018</v>
      </c>
      <c r="BF17" s="31">
        <f t="shared" si="4"/>
        <v>736.4065295126552</v>
      </c>
      <c r="BG17" s="31">
        <f t="shared" si="4"/>
        <v>732.74484225734648</v>
      </c>
      <c r="BH17" s="31">
        <f t="shared" si="4"/>
        <v>718.29430064044561</v>
      </c>
      <c r="BI17" s="31">
        <f t="shared" si="4"/>
        <v>715.51056323001933</v>
      </c>
      <c r="BJ17" s="31">
        <f t="shared" si="4"/>
        <v>722.65323327751332</v>
      </c>
      <c r="BK17" s="31">
        <f t="shared" si="4"/>
        <v>722.37639486942817</v>
      </c>
    </row>
    <row r="18" spans="1:63">
      <c r="A18" s="1"/>
      <c r="B18" s="37">
        <v>16143</v>
      </c>
      <c r="C18" s="34">
        <f>VLOOKUP($B18,Plagioclase!$AV$7:$BA$478,2,FALSE)</f>
        <v>0.2532786635296238</v>
      </c>
      <c r="D18" s="34">
        <f>VLOOKUP($B18,Plagioclase!$AV$7:$BA$478,3,FALSE)</f>
        <v>0.695624026579586</v>
      </c>
      <c r="E18" s="34">
        <f>VLOOKUP($B18,Plagioclase!$AV$7:$BA$478,5,FALSE)</f>
        <v>3</v>
      </c>
      <c r="F18" s="29" t="str">
        <f>VLOOKUP($B18,Plagioclase!$AV$7:$BA$478,6,FALSE)</f>
        <v>18eHP03.6</v>
      </c>
      <c r="G18" s="31">
        <f t="shared" si="5"/>
        <v>718.67207314030884</v>
      </c>
      <c r="H18" s="31">
        <f t="shared" si="0"/>
        <v>717.40561021353517</v>
      </c>
      <c r="I18" s="31">
        <f t="shared" si="0"/>
        <v>716.3434114118179</v>
      </c>
      <c r="J18" s="31">
        <f t="shared" si="0"/>
        <v>716.55623763447443</v>
      </c>
      <c r="K18" s="31">
        <f t="shared" si="0"/>
        <v>723.22640855711768</v>
      </c>
      <c r="L18" s="31">
        <f t="shared" si="0"/>
        <v>714.48337131949711</v>
      </c>
      <c r="M18" s="31">
        <f t="shared" si="0"/>
        <v>718.89964394246522</v>
      </c>
      <c r="N18" s="31">
        <f t="shared" si="0"/>
        <v>718.23446705359868</v>
      </c>
      <c r="O18" s="31">
        <f t="shared" si="0"/>
        <v>713.76270254098335</v>
      </c>
      <c r="P18" s="31">
        <f t="shared" si="0"/>
        <v>717.1370430894541</v>
      </c>
      <c r="Q18" s="31">
        <f t="shared" si="0"/>
        <v>716.78549399795986</v>
      </c>
      <c r="R18" s="31">
        <f t="shared" si="0"/>
        <v>746.75422640137151</v>
      </c>
      <c r="S18" s="31">
        <f t="shared" si="0"/>
        <v>720.09051105600497</v>
      </c>
      <c r="T18" s="31">
        <f t="shared" si="0"/>
        <v>714.00001621343745</v>
      </c>
      <c r="U18" s="31">
        <f t="shared" si="0"/>
        <v>743.87822055397066</v>
      </c>
      <c r="V18" s="31">
        <f t="shared" si="0"/>
        <v>693.55645324949353</v>
      </c>
      <c r="W18" s="31">
        <f t="shared" si="0"/>
        <v>703.426628763454</v>
      </c>
      <c r="X18" s="31">
        <f t="shared" si="1"/>
        <v>717.01121754157168</v>
      </c>
      <c r="Y18" s="31">
        <f t="shared" si="1"/>
        <v>705.45430234730884</v>
      </c>
      <c r="Z18" s="31">
        <f t="shared" si="1"/>
        <v>724.98489918506925</v>
      </c>
      <c r="AA18" s="31">
        <f t="shared" si="1"/>
        <v>694.7042882535103</v>
      </c>
      <c r="AB18" s="31">
        <f t="shared" si="1"/>
        <v>716.4372031635105</v>
      </c>
      <c r="AC18" s="31">
        <f t="shared" si="1"/>
        <v>709.88491710653648</v>
      </c>
      <c r="AD18" s="31">
        <f t="shared" si="1"/>
        <v>712.35682047377225</v>
      </c>
      <c r="AE18" s="31">
        <f t="shared" si="1"/>
        <v>720.80918789033933</v>
      </c>
      <c r="AF18" s="31">
        <f t="shared" si="1"/>
        <v>707.59870864013749</v>
      </c>
      <c r="AG18" s="31">
        <f t="shared" si="1"/>
        <v>715.77991655965275</v>
      </c>
      <c r="AH18" s="31">
        <f t="shared" si="1"/>
        <v>799.77464780778394</v>
      </c>
      <c r="AI18" s="31">
        <f t="shared" si="1"/>
        <v>791.34685318247682</v>
      </c>
      <c r="AJ18" s="31">
        <f t="shared" si="1"/>
        <v>804.71227759955002</v>
      </c>
      <c r="AK18" s="31">
        <f t="shared" si="1"/>
        <v>710.58907555938674</v>
      </c>
      <c r="AL18" s="31">
        <f t="shared" si="1"/>
        <v>807.94791055376106</v>
      </c>
      <c r="AM18" s="31">
        <f t="shared" si="1"/>
        <v>799.31579046673994</v>
      </c>
      <c r="AN18" s="31">
        <f t="shared" si="2"/>
        <v>804.85294686231703</v>
      </c>
      <c r="AO18" s="31">
        <f t="shared" si="2"/>
        <v>813.31373625643789</v>
      </c>
      <c r="AP18" s="31">
        <f t="shared" si="2"/>
        <v>792.55539318949002</v>
      </c>
      <c r="AQ18" s="31">
        <f t="shared" si="2"/>
        <v>801.69802885671322</v>
      </c>
      <c r="AR18" s="31">
        <f t="shared" si="2"/>
        <v>718.00936463040387</v>
      </c>
      <c r="AS18" s="31">
        <f t="shared" si="2"/>
        <v>725.81346672018435</v>
      </c>
      <c r="AT18" s="31">
        <f t="shared" si="2"/>
        <v>745.83594416260917</v>
      </c>
      <c r="AU18" s="31">
        <f t="shared" si="2"/>
        <v>734.29135427253152</v>
      </c>
      <c r="AV18" s="31">
        <f t="shared" si="2"/>
        <v>785.91631368782862</v>
      </c>
      <c r="AW18" s="31">
        <f t="shared" si="2"/>
        <v>772.80680646901794</v>
      </c>
      <c r="AX18" s="31">
        <f t="shared" si="2"/>
        <v>767.16158116353211</v>
      </c>
      <c r="AY18" s="31">
        <f t="shared" si="2"/>
        <v>781.46440590157442</v>
      </c>
      <c r="AZ18" s="31">
        <f t="shared" si="3"/>
        <v>798.70031150591774</v>
      </c>
      <c r="BA18" s="31">
        <f t="shared" si="3"/>
        <v>784.28496402586882</v>
      </c>
      <c r="BB18" s="31">
        <f t="shared" si="3"/>
        <v>763.17008755482846</v>
      </c>
      <c r="BC18" s="31">
        <f t="shared" si="3"/>
        <v>716.66572070174266</v>
      </c>
      <c r="BD18" s="31">
        <f t="shared" si="4"/>
        <v>722.43620674450437</v>
      </c>
      <c r="BE18" s="31">
        <f t="shared" si="4"/>
        <v>713.92090645899509</v>
      </c>
      <c r="BF18" s="31">
        <f t="shared" si="4"/>
        <v>731.72580432307916</v>
      </c>
      <c r="BG18" s="31">
        <f t="shared" si="4"/>
        <v>728.11438263011132</v>
      </c>
      <c r="BH18" s="31">
        <f t="shared" si="4"/>
        <v>713.6678676371024</v>
      </c>
      <c r="BI18" s="31">
        <f t="shared" si="4"/>
        <v>710.80300876681315</v>
      </c>
      <c r="BJ18" s="31">
        <f t="shared" si="4"/>
        <v>717.97129647137342</v>
      </c>
      <c r="BK18" s="31">
        <f t="shared" si="4"/>
        <v>717.70398622496123</v>
      </c>
    </row>
    <row r="19" spans="1:63">
      <c r="A19" s="1"/>
      <c r="B19" s="37">
        <v>16145</v>
      </c>
      <c r="C19" s="34">
        <f>VLOOKUP($B19,Plagioclase!$AV$7:$BA$478,2,FALSE)</f>
        <v>0.22943956033774698</v>
      </c>
      <c r="D19" s="34">
        <f>VLOOKUP($B19,Plagioclase!$AV$7:$BA$478,3,FALSE)</f>
        <v>0.7158957298825237</v>
      </c>
      <c r="E19" s="34">
        <f>VLOOKUP($B19,Plagioclase!$AV$7:$BA$478,5,FALSE)</f>
        <v>3</v>
      </c>
      <c r="F19" s="29" t="str">
        <f>VLOOKUP($B19,Plagioclase!$AV$7:$BA$478,6,FALSE)</f>
        <v>18eHP03.8</v>
      </c>
      <c r="G19" s="31">
        <f t="shared" si="5"/>
        <v>708.18580890554085</v>
      </c>
      <c r="H19" s="31">
        <f t="shared" si="0"/>
        <v>706.91830111297281</v>
      </c>
      <c r="I19" s="31">
        <f t="shared" si="0"/>
        <v>705.89434454786488</v>
      </c>
      <c r="J19" s="31">
        <f t="shared" si="0"/>
        <v>706.14276007392516</v>
      </c>
      <c r="K19" s="31">
        <f t="shared" si="0"/>
        <v>712.60033618690329</v>
      </c>
      <c r="L19" s="31">
        <f t="shared" si="0"/>
        <v>704.15907388477387</v>
      </c>
      <c r="M19" s="31">
        <f t="shared" si="0"/>
        <v>708.37130285824617</v>
      </c>
      <c r="N19" s="31">
        <f t="shared" si="0"/>
        <v>707.90675094824257</v>
      </c>
      <c r="O19" s="31">
        <f t="shared" si="0"/>
        <v>703.40057504423999</v>
      </c>
      <c r="P19" s="31">
        <f t="shared" si="0"/>
        <v>706.61034833964948</v>
      </c>
      <c r="Q19" s="31">
        <f t="shared" si="0"/>
        <v>706.43838462003191</v>
      </c>
      <c r="R19" s="31">
        <f t="shared" si="0"/>
        <v>736.44305773638052</v>
      </c>
      <c r="S19" s="31">
        <f t="shared" si="0"/>
        <v>709.62337932091475</v>
      </c>
      <c r="T19" s="31">
        <f t="shared" si="0"/>
        <v>703.45035724875095</v>
      </c>
      <c r="U19" s="31">
        <f t="shared" si="0"/>
        <v>733.61614609479852</v>
      </c>
      <c r="V19" s="31">
        <f t="shared" si="0"/>
        <v>683.32175989876839</v>
      </c>
      <c r="W19" s="31">
        <f t="shared" si="0"/>
        <v>693.21469794282461</v>
      </c>
      <c r="X19" s="31">
        <f t="shared" si="1"/>
        <v>706.53567999767688</v>
      </c>
      <c r="Y19" s="31">
        <f t="shared" si="1"/>
        <v>695.34345933284578</v>
      </c>
      <c r="Z19" s="31">
        <f t="shared" si="1"/>
        <v>714.49029075739759</v>
      </c>
      <c r="AA19" s="31">
        <f t="shared" si="1"/>
        <v>684.34398908778599</v>
      </c>
      <c r="AB19" s="31">
        <f t="shared" si="1"/>
        <v>705.92163677837209</v>
      </c>
      <c r="AC19" s="31">
        <f t="shared" si="1"/>
        <v>699.53278909782171</v>
      </c>
      <c r="AD19" s="31">
        <f t="shared" si="1"/>
        <v>702.028047808564</v>
      </c>
      <c r="AE19" s="31">
        <f t="shared" si="1"/>
        <v>710.56061754148038</v>
      </c>
      <c r="AF19" s="31">
        <f t="shared" si="1"/>
        <v>697.20693359032873</v>
      </c>
      <c r="AG19" s="31">
        <f t="shared" si="1"/>
        <v>705.29697242832924</v>
      </c>
      <c r="AH19" s="31">
        <f t="shared" si="1"/>
        <v>789.1758849603674</v>
      </c>
      <c r="AI19" s="31">
        <f t="shared" si="1"/>
        <v>780.89431734237007</v>
      </c>
      <c r="AJ19" s="31">
        <f t="shared" si="1"/>
        <v>794.00785409303228</v>
      </c>
      <c r="AK19" s="31">
        <f t="shared" si="1"/>
        <v>700.05976890833176</v>
      </c>
      <c r="AL19" s="31">
        <f t="shared" si="1"/>
        <v>797.28449407905794</v>
      </c>
      <c r="AM19" s="31">
        <f t="shared" si="1"/>
        <v>788.83485239128697</v>
      </c>
      <c r="AN19" s="31">
        <f t="shared" si="2"/>
        <v>794.17248183533786</v>
      </c>
      <c r="AO19" s="31">
        <f t="shared" si="2"/>
        <v>802.44739887937237</v>
      </c>
      <c r="AP19" s="31">
        <f t="shared" si="2"/>
        <v>781.86094102321442</v>
      </c>
      <c r="AQ19" s="31">
        <f t="shared" si="2"/>
        <v>791.24578074844055</v>
      </c>
      <c r="AR19" s="31">
        <f t="shared" si="2"/>
        <v>707.6165446259397</v>
      </c>
      <c r="AS19" s="31">
        <f t="shared" si="2"/>
        <v>715.19121664491763</v>
      </c>
      <c r="AT19" s="31">
        <f t="shared" si="2"/>
        <v>735.24629750176382</v>
      </c>
      <c r="AU19" s="31">
        <f t="shared" si="2"/>
        <v>723.87076552545602</v>
      </c>
      <c r="AV19" s="31">
        <f t="shared" si="2"/>
        <v>775.73897803589477</v>
      </c>
      <c r="AW19" s="31">
        <f t="shared" si="2"/>
        <v>762.31838832806272</v>
      </c>
      <c r="AX19" s="31">
        <f t="shared" si="2"/>
        <v>756.65816285707194</v>
      </c>
      <c r="AY19" s="31">
        <f t="shared" si="2"/>
        <v>770.79069975606296</v>
      </c>
      <c r="AZ19" s="31">
        <f t="shared" si="3"/>
        <v>788.01847260270722</v>
      </c>
      <c r="BA19" s="31">
        <f t="shared" si="3"/>
        <v>773.72010933106515</v>
      </c>
      <c r="BB19" s="31">
        <f t="shared" si="3"/>
        <v>752.87090274654531</v>
      </c>
      <c r="BC19" s="31">
        <f t="shared" si="3"/>
        <v>706.3632912909253</v>
      </c>
      <c r="BD19" s="31">
        <f t="shared" si="4"/>
        <v>712.1985992559238</v>
      </c>
      <c r="BE19" s="31">
        <f t="shared" si="4"/>
        <v>703.55654342969308</v>
      </c>
      <c r="BF19" s="31">
        <f t="shared" si="4"/>
        <v>721.43151320550567</v>
      </c>
      <c r="BG19" s="31">
        <f t="shared" si="4"/>
        <v>717.92955695571447</v>
      </c>
      <c r="BH19" s="31">
        <f t="shared" si="4"/>
        <v>703.49396009191196</v>
      </c>
      <c r="BI19" s="31">
        <f t="shared" si="4"/>
        <v>700.45387507323619</v>
      </c>
      <c r="BJ19" s="31">
        <f t="shared" si="4"/>
        <v>707.67649993296777</v>
      </c>
      <c r="BK19" s="31">
        <f t="shared" si="4"/>
        <v>707.42986765859473</v>
      </c>
    </row>
    <row r="20" spans="1:63">
      <c r="A20" s="1"/>
      <c r="B20" s="37">
        <v>16146.999999999998</v>
      </c>
      <c r="C20" s="34">
        <f>VLOOKUP($B20,Plagioclase!$AV$7:$BA$478,2,FALSE)</f>
        <v>0.24216243767026385</v>
      </c>
      <c r="D20" s="34">
        <f>VLOOKUP($B20,Plagioclase!$AV$7:$BA$478,3,FALSE)</f>
        <v>0.70714774311094464</v>
      </c>
      <c r="E20" s="34">
        <f>VLOOKUP($B20,Plagioclase!$AV$7:$BA$478,5,FALSE)</f>
        <v>3</v>
      </c>
      <c r="F20" s="29" t="str">
        <f>VLOOKUP($B20,Plagioclase!$AV$7:$BA$478,6,FALSE)</f>
        <v>18eHP04.2</v>
      </c>
      <c r="G20" s="31">
        <f t="shared" si="5"/>
        <v>713.60463580469786</v>
      </c>
      <c r="H20" s="31">
        <f t="shared" si="0"/>
        <v>712.33762937982488</v>
      </c>
      <c r="I20" s="31">
        <f t="shared" si="0"/>
        <v>711.29398304920574</v>
      </c>
      <c r="J20" s="31">
        <f t="shared" si="0"/>
        <v>711.52410799414065</v>
      </c>
      <c r="K20" s="31">
        <f t="shared" si="0"/>
        <v>718.09116288658367</v>
      </c>
      <c r="L20" s="31">
        <f t="shared" si="0"/>
        <v>709.49451413415147</v>
      </c>
      <c r="M20" s="31">
        <f t="shared" si="0"/>
        <v>713.81176690818086</v>
      </c>
      <c r="N20" s="31">
        <f t="shared" si="0"/>
        <v>713.24405201145237</v>
      </c>
      <c r="O20" s="31">
        <f t="shared" si="0"/>
        <v>708.75544509616134</v>
      </c>
      <c r="P20" s="31">
        <f t="shared" si="0"/>
        <v>712.0499158839765</v>
      </c>
      <c r="Q20" s="31">
        <f t="shared" si="0"/>
        <v>711.78561704176707</v>
      </c>
      <c r="R20" s="31">
        <f t="shared" si="0"/>
        <v>741.77260724423775</v>
      </c>
      <c r="S20" s="31">
        <f t="shared" si="0"/>
        <v>715.0324101836959</v>
      </c>
      <c r="T20" s="31">
        <f t="shared" si="0"/>
        <v>708.90163943043046</v>
      </c>
      <c r="U20" s="31">
        <f t="shared" si="0"/>
        <v>738.9203711591756</v>
      </c>
      <c r="V20" s="31">
        <f t="shared" si="0"/>
        <v>688.61054901914326</v>
      </c>
      <c r="W20" s="31">
        <f t="shared" ref="W20:AL30" si="6">(78.44+$E20-33.6*W$7-(66.8-2.92*W$11)*W$5+78.5*W$4+9.4*W$6)/(0.0721-$C$6*LN((27*W$7*W$3*$C20)/(64*W$8*W$4*$D20)))-273.15</f>
        <v>698.4920603449533</v>
      </c>
      <c r="X20" s="31">
        <f t="shared" si="1"/>
        <v>711.94894558278236</v>
      </c>
      <c r="Y20" s="31">
        <f t="shared" si="1"/>
        <v>700.5689000065787</v>
      </c>
      <c r="Z20" s="31">
        <f t="shared" si="1"/>
        <v>719.91358452581198</v>
      </c>
      <c r="AA20" s="31">
        <f t="shared" si="1"/>
        <v>689.69737861612839</v>
      </c>
      <c r="AB20" s="31">
        <f t="shared" si="1"/>
        <v>711.35546374253568</v>
      </c>
      <c r="AC20" s="31">
        <f t="shared" si="1"/>
        <v>704.88241005015925</v>
      </c>
      <c r="AD20" s="31">
        <f t="shared" si="1"/>
        <v>707.36573015632098</v>
      </c>
      <c r="AE20" s="31">
        <f t="shared" si="1"/>
        <v>715.85729226116507</v>
      </c>
      <c r="AF20" s="31">
        <f t="shared" si="1"/>
        <v>702.57687235155868</v>
      </c>
      <c r="AG20" s="31">
        <f t="shared" si="1"/>
        <v>710.71401072193214</v>
      </c>
      <c r="AH20" s="31">
        <f t="shared" si="1"/>
        <v>794.65470274257962</v>
      </c>
      <c r="AI20" s="31">
        <f t="shared" si="1"/>
        <v>786.29770195481899</v>
      </c>
      <c r="AJ20" s="31">
        <f t="shared" si="1"/>
        <v>799.54114855019918</v>
      </c>
      <c r="AK20" s="31">
        <f t="shared" si="1"/>
        <v>705.50049102312767</v>
      </c>
      <c r="AL20" s="31">
        <f t="shared" si="1"/>
        <v>802.79677326970807</v>
      </c>
      <c r="AM20" s="31">
        <f t="shared" ref="AM20:AY30" si="7">(78.44+$E20-33.6*AM$7-(66.8-2.92*AM$11)*AM$5+78.5*AM$4+9.4*AM$6)/(0.0721-$C$6*LN((27*AM$7*AM$3*$C20)/(64*AM$8*AM$4*$D20)))-273.15</f>
        <v>794.25304224106901</v>
      </c>
      <c r="AN20" s="31">
        <f t="shared" si="2"/>
        <v>799.69345511599238</v>
      </c>
      <c r="AO20" s="31">
        <f t="shared" si="2"/>
        <v>808.06419634496194</v>
      </c>
      <c r="AP20" s="31">
        <f t="shared" si="2"/>
        <v>787.38880077432316</v>
      </c>
      <c r="AQ20" s="31">
        <f t="shared" si="2"/>
        <v>796.64926657463809</v>
      </c>
      <c r="AR20" s="31">
        <f t="shared" si="2"/>
        <v>712.98731251422839</v>
      </c>
      <c r="AS20" s="31">
        <f t="shared" si="2"/>
        <v>720.68015255302441</v>
      </c>
      <c r="AT20" s="31">
        <f t="shared" si="2"/>
        <v>740.71902984055112</v>
      </c>
      <c r="AU20" s="31">
        <f t="shared" si="2"/>
        <v>729.25625679521522</v>
      </c>
      <c r="AV20" s="31">
        <f t="shared" si="2"/>
        <v>781.00063697916823</v>
      </c>
      <c r="AW20" s="31">
        <f t="shared" si="2"/>
        <v>767.73977093644783</v>
      </c>
      <c r="AX20" s="31">
        <f t="shared" si="2"/>
        <v>762.08711656022399</v>
      </c>
      <c r="AY20" s="31">
        <f t="shared" si="2"/>
        <v>776.3076048983163</v>
      </c>
      <c r="AZ20" s="31">
        <f t="shared" si="3"/>
        <v>793.53999939497646</v>
      </c>
      <c r="BA20" s="31">
        <f t="shared" si="3"/>
        <v>779.18109883801014</v>
      </c>
      <c r="BB20" s="31">
        <f t="shared" si="3"/>
        <v>758.19470422692837</v>
      </c>
      <c r="BC20" s="31">
        <f t="shared" si="3"/>
        <v>711.68754783619488</v>
      </c>
      <c r="BD20" s="31">
        <f t="shared" si="4"/>
        <v>717.48968011082547</v>
      </c>
      <c r="BE20" s="31">
        <f t="shared" si="4"/>
        <v>708.91256722271294</v>
      </c>
      <c r="BF20" s="31">
        <f t="shared" si="4"/>
        <v>726.75199013297413</v>
      </c>
      <c r="BG20" s="31">
        <f t="shared" si="4"/>
        <v>723.19364400078246</v>
      </c>
      <c r="BH20" s="31">
        <f t="shared" si="4"/>
        <v>708.75205019736723</v>
      </c>
      <c r="BI20" s="31">
        <f t="shared" si="4"/>
        <v>705.80198227947494</v>
      </c>
      <c r="BJ20" s="31">
        <f t="shared" si="4"/>
        <v>712.99686746280076</v>
      </c>
      <c r="BK20" s="31">
        <f t="shared" si="4"/>
        <v>712.73959561738616</v>
      </c>
    </row>
    <row r="21" spans="1:63">
      <c r="A21" s="1"/>
      <c r="B21" s="37">
        <v>16148</v>
      </c>
      <c r="C21" s="34">
        <f>VLOOKUP($B21,Plagioclase!$AV$7:$BA$478,2,FALSE)</f>
        <v>0.24711245662680628</v>
      </c>
      <c r="D21" s="34">
        <f>VLOOKUP($B21,Plagioclase!$AV$7:$BA$478,3,FALSE)</f>
        <v>0.70087051685863433</v>
      </c>
      <c r="E21" s="34">
        <f>VLOOKUP($B21,Plagioclase!$AV$7:$BA$478,5,FALSE)</f>
        <v>3</v>
      </c>
      <c r="F21" s="29" t="str">
        <f>VLOOKUP($B21,Plagioclase!$AV$7:$BA$478,6,FALSE)</f>
        <v>18eHP04.3</v>
      </c>
      <c r="G21" s="31">
        <f t="shared" si="5"/>
        <v>716.0075187257595</v>
      </c>
      <c r="H21" s="31">
        <f t="shared" si="5"/>
        <v>714.74076102373715</v>
      </c>
      <c r="I21" s="31">
        <f t="shared" si="5"/>
        <v>713.6883342716701</v>
      </c>
      <c r="J21" s="31">
        <f t="shared" si="5"/>
        <v>713.91027988921849</v>
      </c>
      <c r="K21" s="31">
        <f t="shared" si="5"/>
        <v>720.52614170724257</v>
      </c>
      <c r="L21" s="31">
        <f t="shared" si="5"/>
        <v>711.86020821741363</v>
      </c>
      <c r="M21" s="31">
        <f t="shared" si="5"/>
        <v>716.22431717052848</v>
      </c>
      <c r="N21" s="31">
        <f t="shared" si="5"/>
        <v>715.61050676044044</v>
      </c>
      <c r="O21" s="31">
        <f t="shared" si="5"/>
        <v>711.12983647734802</v>
      </c>
      <c r="P21" s="31">
        <f t="shared" si="5"/>
        <v>714.46209992256115</v>
      </c>
      <c r="Q21" s="31">
        <f t="shared" si="5"/>
        <v>714.15653742259758</v>
      </c>
      <c r="R21" s="31">
        <f t="shared" si="5"/>
        <v>744.13507745931679</v>
      </c>
      <c r="S21" s="31">
        <f t="shared" si="5"/>
        <v>717.43088709521544</v>
      </c>
      <c r="T21" s="31">
        <f t="shared" si="5"/>
        <v>711.319122306591</v>
      </c>
      <c r="U21" s="31">
        <f t="shared" si="5"/>
        <v>741.27158073853275</v>
      </c>
      <c r="V21" s="31">
        <f t="shared" si="5"/>
        <v>690.95579453702703</v>
      </c>
      <c r="W21" s="31">
        <f t="shared" si="6"/>
        <v>700.83200895586322</v>
      </c>
      <c r="X21" s="31">
        <f t="shared" si="6"/>
        <v>714.34937492562528</v>
      </c>
      <c r="Y21" s="31">
        <f t="shared" si="6"/>
        <v>702.88560862485519</v>
      </c>
      <c r="Z21" s="31">
        <f t="shared" si="6"/>
        <v>722.3183421319095</v>
      </c>
      <c r="AA21" s="31">
        <f t="shared" si="6"/>
        <v>692.07148015576672</v>
      </c>
      <c r="AB21" s="31">
        <f t="shared" si="6"/>
        <v>713.76509534034528</v>
      </c>
      <c r="AC21" s="31">
        <f t="shared" si="6"/>
        <v>707.25452981188937</v>
      </c>
      <c r="AD21" s="31">
        <f t="shared" si="6"/>
        <v>709.73246671346999</v>
      </c>
      <c r="AE21" s="31">
        <f t="shared" si="6"/>
        <v>718.20554537446105</v>
      </c>
      <c r="AF21" s="31">
        <f t="shared" si="6"/>
        <v>704.95811803481081</v>
      </c>
      <c r="AG21" s="31">
        <f t="shared" si="6"/>
        <v>713.11615043144195</v>
      </c>
      <c r="AH21" s="31">
        <f t="shared" si="6"/>
        <v>797.08291652453602</v>
      </c>
      <c r="AI21" s="31">
        <f t="shared" si="6"/>
        <v>788.69237699047164</v>
      </c>
      <c r="AJ21" s="31">
        <f t="shared" si="6"/>
        <v>801.9936039341693</v>
      </c>
      <c r="AK21" s="31">
        <f t="shared" si="6"/>
        <v>707.9133205936721</v>
      </c>
      <c r="AL21" s="31">
        <f t="shared" si="6"/>
        <v>805.2397897710124</v>
      </c>
      <c r="AM21" s="31">
        <f t="shared" si="7"/>
        <v>796.65419458448685</v>
      </c>
      <c r="AN21" s="31">
        <f t="shared" si="7"/>
        <v>802.14040616596537</v>
      </c>
      <c r="AO21" s="31">
        <f t="shared" si="7"/>
        <v>810.55379383335924</v>
      </c>
      <c r="AP21" s="31">
        <f t="shared" si="7"/>
        <v>789.83903928521647</v>
      </c>
      <c r="AQ21" s="31">
        <f t="shared" si="7"/>
        <v>799.04381537741517</v>
      </c>
      <c r="AR21" s="31">
        <f t="shared" si="7"/>
        <v>715.36872795335159</v>
      </c>
      <c r="AS21" s="31">
        <f t="shared" si="7"/>
        <v>723.11423517213893</v>
      </c>
      <c r="AT21" s="31">
        <f t="shared" si="7"/>
        <v>743.14548620141659</v>
      </c>
      <c r="AU21" s="31">
        <f t="shared" si="7"/>
        <v>731.64394522290377</v>
      </c>
      <c r="AV21" s="31">
        <f t="shared" si="7"/>
        <v>783.33213393127505</v>
      </c>
      <c r="AW21" s="31">
        <f t="shared" si="7"/>
        <v>770.14279957173937</v>
      </c>
      <c r="AX21" s="31">
        <f t="shared" si="7"/>
        <v>764.49362591037004</v>
      </c>
      <c r="AY21" s="31">
        <f t="shared" si="7"/>
        <v>778.75314598580451</v>
      </c>
      <c r="AZ21" s="31">
        <f t="shared" ref="AZ21:BC30" si="8">(78.44+$E21-33.6*AZ$7-(66.8-2.92*AZ$11)*AZ$5+78.5*AZ$4+9.4*AZ$6)/(0.0721-$C$6*LN((27*AZ$7*AZ$3*$C21)/(64*AZ$8*AZ$4*$D21)))-273.15</f>
        <v>795.98730300369573</v>
      </c>
      <c r="BA21" s="31">
        <f t="shared" si="8"/>
        <v>781.60161654804358</v>
      </c>
      <c r="BB21" s="31">
        <f t="shared" si="8"/>
        <v>760.55432112946016</v>
      </c>
      <c r="BC21" s="31">
        <f t="shared" si="8"/>
        <v>714.04820282194714</v>
      </c>
      <c r="BD21" s="31">
        <f t="shared" ref="BD21:BK30" si="9">(78.44+$E21-33.6*BD$7-(66.8-2.92*BD$11)*BD$5+78.5*BD$4+9.4*BD$6)/(0.0721-$C$6*LN((27*BD$7*BD$3*$C21)/(64*BD$8*BD$4*$D21)))-273.15</f>
        <v>719.83540395302043</v>
      </c>
      <c r="BE21" s="31">
        <f t="shared" si="9"/>
        <v>711.28747122367088</v>
      </c>
      <c r="BF21" s="31">
        <f t="shared" si="9"/>
        <v>729.1106775816603</v>
      </c>
      <c r="BG21" s="31">
        <f t="shared" si="9"/>
        <v>725.5272052475616</v>
      </c>
      <c r="BH21" s="31">
        <f t="shared" si="9"/>
        <v>711.08319518982819</v>
      </c>
      <c r="BI21" s="31">
        <f t="shared" si="9"/>
        <v>708.173407812601</v>
      </c>
      <c r="BJ21" s="31">
        <f t="shared" si="9"/>
        <v>715.35576007480631</v>
      </c>
      <c r="BK21" s="31">
        <f t="shared" si="9"/>
        <v>715.09373890149072</v>
      </c>
    </row>
    <row r="22" spans="1:63">
      <c r="A22" s="1"/>
      <c r="B22" s="37">
        <v>16149</v>
      </c>
      <c r="C22" s="34">
        <f>VLOOKUP($B22,Plagioclase!$AV$7:$BA$478,2,FALSE)</f>
        <v>0.2231462717907908</v>
      </c>
      <c r="D22" s="34">
        <f>VLOOKUP($B22,Plagioclase!$AV$7:$BA$478,3,FALSE)</f>
        <v>0.71689274056942931</v>
      </c>
      <c r="E22" s="34">
        <f>VLOOKUP($B22,Plagioclase!$AV$7:$BA$478,5,FALSE)</f>
        <v>3</v>
      </c>
      <c r="F22" s="29" t="str">
        <f>VLOOKUP($B22,Plagioclase!$AV$7:$BA$478,6,FALSE)</f>
        <v>18eHP04.4</v>
      </c>
      <c r="G22" s="31">
        <f t="shared" ref="G22:V32" si="10">(78.44+$E22-33.6*G$7-(66.8-2.92*G$11)*G$5+78.5*G$4+9.4*G$6)/(0.0721-$C$6*LN((27*G$7*G$3*$C22)/(64*G$8*G$4*$D22)))-273.15</f>
        <v>705.81647327537814</v>
      </c>
      <c r="H22" s="31">
        <f t="shared" si="10"/>
        <v>704.54877218369677</v>
      </c>
      <c r="I22" s="31">
        <f t="shared" si="10"/>
        <v>703.53337635423441</v>
      </c>
      <c r="J22" s="31">
        <f t="shared" si="10"/>
        <v>703.78972183272037</v>
      </c>
      <c r="K22" s="31">
        <f t="shared" si="10"/>
        <v>710.19968503609641</v>
      </c>
      <c r="L22" s="31">
        <f t="shared" si="10"/>
        <v>701.82598969062758</v>
      </c>
      <c r="M22" s="31">
        <f t="shared" si="10"/>
        <v>705.99257797308951</v>
      </c>
      <c r="N22" s="31">
        <f t="shared" si="10"/>
        <v>705.57278980579372</v>
      </c>
      <c r="O22" s="31">
        <f t="shared" si="10"/>
        <v>701.05907536387997</v>
      </c>
      <c r="P22" s="31">
        <f t="shared" si="10"/>
        <v>704.23204618709372</v>
      </c>
      <c r="Q22" s="31">
        <f t="shared" si="10"/>
        <v>704.10014171605326</v>
      </c>
      <c r="R22" s="31">
        <f t="shared" si="10"/>
        <v>734.11194827942472</v>
      </c>
      <c r="S22" s="31">
        <f t="shared" si="10"/>
        <v>707.2582659213208</v>
      </c>
      <c r="T22" s="31">
        <f t="shared" si="10"/>
        <v>701.06703524784257</v>
      </c>
      <c r="U22" s="31">
        <f t="shared" si="10"/>
        <v>731.29607910757807</v>
      </c>
      <c r="V22" s="31">
        <f t="shared" si="10"/>
        <v>681.00930725729108</v>
      </c>
      <c r="W22" s="31">
        <f t="shared" si="6"/>
        <v>690.90701576511754</v>
      </c>
      <c r="X22" s="31">
        <f t="shared" si="6"/>
        <v>704.16878826529364</v>
      </c>
      <c r="Y22" s="31">
        <f t="shared" si="6"/>
        <v>693.05826712352189</v>
      </c>
      <c r="Z22" s="31">
        <f t="shared" si="6"/>
        <v>712.11889788126928</v>
      </c>
      <c r="AA22" s="31">
        <f t="shared" si="6"/>
        <v>682.00349673356141</v>
      </c>
      <c r="AB22" s="31">
        <f t="shared" si="6"/>
        <v>703.54583788915988</v>
      </c>
      <c r="AC22" s="31">
        <f t="shared" si="6"/>
        <v>697.19363952970184</v>
      </c>
      <c r="AD22" s="31">
        <f t="shared" si="6"/>
        <v>699.69403066319978</v>
      </c>
      <c r="AE22" s="31">
        <f t="shared" si="6"/>
        <v>708.24423663599305</v>
      </c>
      <c r="AF22" s="31">
        <f t="shared" si="6"/>
        <v>694.85901446867649</v>
      </c>
      <c r="AG22" s="31">
        <f t="shared" si="6"/>
        <v>702.92846785527672</v>
      </c>
      <c r="AH22" s="31">
        <f t="shared" si="6"/>
        <v>786.77907006515318</v>
      </c>
      <c r="AI22" s="31">
        <f t="shared" si="6"/>
        <v>778.53039719852575</v>
      </c>
      <c r="AJ22" s="31">
        <f t="shared" si="6"/>
        <v>791.58730319591848</v>
      </c>
      <c r="AK22" s="31">
        <f t="shared" si="6"/>
        <v>697.68109303418021</v>
      </c>
      <c r="AL22" s="31">
        <f t="shared" si="6"/>
        <v>794.87301391658855</v>
      </c>
      <c r="AM22" s="31">
        <f t="shared" si="7"/>
        <v>786.46437244007427</v>
      </c>
      <c r="AN22" s="31">
        <f t="shared" si="7"/>
        <v>791.7572782286137</v>
      </c>
      <c r="AO22" s="31">
        <f t="shared" si="7"/>
        <v>799.99044924657153</v>
      </c>
      <c r="AP22" s="31">
        <f t="shared" si="7"/>
        <v>779.44295616328088</v>
      </c>
      <c r="AQ22" s="31">
        <f t="shared" si="7"/>
        <v>788.88164808360523</v>
      </c>
      <c r="AR22" s="31">
        <f t="shared" si="7"/>
        <v>705.26806865746494</v>
      </c>
      <c r="AS22" s="31">
        <f t="shared" si="7"/>
        <v>712.79133552228586</v>
      </c>
      <c r="AT22" s="31">
        <f t="shared" si="7"/>
        <v>732.85306815122863</v>
      </c>
      <c r="AU22" s="31">
        <f t="shared" si="7"/>
        <v>721.51560062589567</v>
      </c>
      <c r="AV22" s="31">
        <f t="shared" si="7"/>
        <v>773.43669934542152</v>
      </c>
      <c r="AW22" s="31">
        <f t="shared" si="7"/>
        <v>759.94696511115228</v>
      </c>
      <c r="AX22" s="31">
        <f t="shared" si="7"/>
        <v>754.28355056740781</v>
      </c>
      <c r="AY22" s="31">
        <f t="shared" si="7"/>
        <v>768.37766214695523</v>
      </c>
      <c r="AZ22" s="31">
        <f t="shared" si="8"/>
        <v>785.60313227467202</v>
      </c>
      <c r="BA22" s="31">
        <f t="shared" si="8"/>
        <v>771.33129570145945</v>
      </c>
      <c r="BB22" s="31">
        <f t="shared" si="8"/>
        <v>750.54200732914774</v>
      </c>
      <c r="BC22" s="31">
        <f t="shared" si="8"/>
        <v>704.03501862496421</v>
      </c>
      <c r="BD22" s="31">
        <f t="shared" si="9"/>
        <v>709.8846163102271</v>
      </c>
      <c r="BE22" s="31">
        <f t="shared" si="9"/>
        <v>701.21454028132143</v>
      </c>
      <c r="BF22" s="31">
        <f t="shared" si="9"/>
        <v>719.1046067771058</v>
      </c>
      <c r="BG22" s="31">
        <f t="shared" si="9"/>
        <v>715.62718752942999</v>
      </c>
      <c r="BH22" s="31">
        <f t="shared" si="9"/>
        <v>701.19445149394994</v>
      </c>
      <c r="BI22" s="31">
        <f t="shared" si="9"/>
        <v>698.11536480890447</v>
      </c>
      <c r="BJ22" s="31">
        <f t="shared" si="9"/>
        <v>705.34989052287403</v>
      </c>
      <c r="BK22" s="31">
        <f t="shared" si="9"/>
        <v>705.10787947064352</v>
      </c>
    </row>
    <row r="23" spans="1:63">
      <c r="B23" s="37">
        <v>16157</v>
      </c>
      <c r="C23" s="34">
        <f>VLOOKUP($B23,Plagioclase!$AV$7:$BA$478,2,FALSE)</f>
        <v>0.2465368513446243</v>
      </c>
      <c r="D23" s="34">
        <f>VLOOKUP($B23,Plagioclase!$AV$7:$BA$478,3,FALSE)</f>
        <v>0.70216789508481736</v>
      </c>
      <c r="E23" s="34">
        <f>VLOOKUP($B23,Plagioclase!$AV$7:$BA$478,5,FALSE)</f>
        <v>3</v>
      </c>
      <c r="F23" s="29" t="str">
        <f>VLOOKUP($B23,Plagioclase!$AV$7:$BA$478,6,FALSE)</f>
        <v>18eHP05.2</v>
      </c>
      <c r="G23" s="31">
        <f t="shared" si="10"/>
        <v>715.6621328923087</v>
      </c>
      <c r="H23" s="31">
        <f t="shared" si="10"/>
        <v>714.39533844112646</v>
      </c>
      <c r="I23" s="31">
        <f t="shared" si="10"/>
        <v>713.34417563586805</v>
      </c>
      <c r="J23" s="31">
        <f t="shared" si="10"/>
        <v>713.56729953159197</v>
      </c>
      <c r="K23" s="31">
        <f t="shared" si="10"/>
        <v>720.17613608493093</v>
      </c>
      <c r="L23" s="31">
        <f t="shared" si="10"/>
        <v>711.52017587107798</v>
      </c>
      <c r="M23" s="31">
        <f t="shared" si="10"/>
        <v>715.87753902177587</v>
      </c>
      <c r="N23" s="31">
        <f t="shared" si="10"/>
        <v>715.27036751495018</v>
      </c>
      <c r="O23" s="31">
        <f t="shared" si="10"/>
        <v>710.78855091696062</v>
      </c>
      <c r="P23" s="31">
        <f t="shared" si="10"/>
        <v>714.11537322997719</v>
      </c>
      <c r="Q23" s="31">
        <f t="shared" si="10"/>
        <v>713.81575396146786</v>
      </c>
      <c r="R23" s="31">
        <f t="shared" si="10"/>
        <v>743.79553162537616</v>
      </c>
      <c r="S23" s="31">
        <f t="shared" si="10"/>
        <v>717.08613692233087</v>
      </c>
      <c r="T23" s="31">
        <f t="shared" si="10"/>
        <v>710.97163002925117</v>
      </c>
      <c r="U23" s="31">
        <f t="shared" si="10"/>
        <v>740.93365465674185</v>
      </c>
      <c r="V23" s="31">
        <f t="shared" si="10"/>
        <v>690.61869242855289</v>
      </c>
      <c r="W23" s="31">
        <f t="shared" si="6"/>
        <v>700.49567690785909</v>
      </c>
      <c r="X23" s="31">
        <f t="shared" si="6"/>
        <v>714.00434129267319</v>
      </c>
      <c r="Y23" s="31">
        <f t="shared" si="6"/>
        <v>702.55262522255669</v>
      </c>
      <c r="Z23" s="31">
        <f t="shared" si="6"/>
        <v>721.97269084511697</v>
      </c>
      <c r="AA23" s="31">
        <f t="shared" si="6"/>
        <v>691.73022239217187</v>
      </c>
      <c r="AB23" s="31">
        <f t="shared" si="6"/>
        <v>713.41873579099013</v>
      </c>
      <c r="AC23" s="31">
        <f t="shared" si="6"/>
        <v>706.91356865254215</v>
      </c>
      <c r="AD23" s="31">
        <f t="shared" si="6"/>
        <v>709.39228269965884</v>
      </c>
      <c r="AE23" s="31">
        <f t="shared" si="6"/>
        <v>717.86802945090767</v>
      </c>
      <c r="AF23" s="31">
        <f t="shared" si="6"/>
        <v>704.61584073370398</v>
      </c>
      <c r="AG23" s="31">
        <f t="shared" si="6"/>
        <v>712.77086953851449</v>
      </c>
      <c r="AH23" s="31">
        <f t="shared" si="6"/>
        <v>796.73393771528697</v>
      </c>
      <c r="AI23" s="31">
        <f t="shared" si="6"/>
        <v>788.34822234737487</v>
      </c>
      <c r="AJ23" s="31">
        <f t="shared" si="6"/>
        <v>801.6411374768403</v>
      </c>
      <c r="AK23" s="31">
        <f t="shared" si="6"/>
        <v>707.56649606300084</v>
      </c>
      <c r="AL23" s="31">
        <f t="shared" si="6"/>
        <v>804.88868457480646</v>
      </c>
      <c r="AM23" s="31">
        <f t="shared" si="7"/>
        <v>796.30911222204725</v>
      </c>
      <c r="AN23" s="31">
        <f t="shared" si="7"/>
        <v>801.78873242953762</v>
      </c>
      <c r="AO23" s="31">
        <f t="shared" si="7"/>
        <v>810.19598432754299</v>
      </c>
      <c r="AP23" s="31">
        <f t="shared" si="7"/>
        <v>789.48688418389031</v>
      </c>
      <c r="AQ23" s="31">
        <f t="shared" si="7"/>
        <v>798.69968534120324</v>
      </c>
      <c r="AR23" s="31">
        <f t="shared" si="7"/>
        <v>715.02643373437979</v>
      </c>
      <c r="AS23" s="31">
        <f t="shared" si="7"/>
        <v>722.76436055242823</v>
      </c>
      <c r="AT23" s="31">
        <f t="shared" si="7"/>
        <v>742.79672444120547</v>
      </c>
      <c r="AU23" s="31">
        <f t="shared" si="7"/>
        <v>731.30075900741474</v>
      </c>
      <c r="AV23" s="31">
        <f t="shared" si="7"/>
        <v>782.99707293557151</v>
      </c>
      <c r="AW23" s="31">
        <f t="shared" si="7"/>
        <v>769.79743011919129</v>
      </c>
      <c r="AX23" s="31">
        <f t="shared" si="7"/>
        <v>764.14775148236902</v>
      </c>
      <c r="AY23" s="31">
        <f t="shared" si="7"/>
        <v>778.40166003014645</v>
      </c>
      <c r="AZ23" s="31">
        <f t="shared" si="8"/>
        <v>795.63557454485601</v>
      </c>
      <c r="BA23" s="31">
        <f t="shared" si="8"/>
        <v>781.25373604122785</v>
      </c>
      <c r="BB23" s="31">
        <f t="shared" si="8"/>
        <v>760.21519692752224</v>
      </c>
      <c r="BC23" s="31">
        <f t="shared" si="8"/>
        <v>713.70889780566017</v>
      </c>
      <c r="BD23" s="31">
        <f t="shared" si="9"/>
        <v>719.49825342539407</v>
      </c>
      <c r="BE23" s="31">
        <f t="shared" si="9"/>
        <v>710.94611194196591</v>
      </c>
      <c r="BF23" s="31">
        <f t="shared" si="9"/>
        <v>728.77166639441589</v>
      </c>
      <c r="BG23" s="31">
        <f t="shared" si="9"/>
        <v>725.19181022950261</v>
      </c>
      <c r="BH23" s="31">
        <f t="shared" si="9"/>
        <v>710.74813829674349</v>
      </c>
      <c r="BI23" s="31">
        <f t="shared" si="9"/>
        <v>707.83254730935232</v>
      </c>
      <c r="BJ23" s="31">
        <f t="shared" si="9"/>
        <v>715.01670980986171</v>
      </c>
      <c r="BK23" s="31">
        <f t="shared" si="9"/>
        <v>714.75537248277294</v>
      </c>
    </row>
    <row r="24" spans="1:63">
      <c r="B24" s="37">
        <v>16158.999999999998</v>
      </c>
      <c r="C24" s="34">
        <f>VLOOKUP($B24,Plagioclase!$AV$7:$BA$478,2,FALSE)</f>
        <v>0.25229327269678253</v>
      </c>
      <c r="D24" s="34">
        <f>VLOOKUP($B24,Plagioclase!$AV$7:$BA$478,3,FALSE)</f>
        <v>0.69718440775261314</v>
      </c>
      <c r="E24" s="34">
        <f>VLOOKUP($B24,Plagioclase!$AV$7:$BA$478,5,FALSE)</f>
        <v>3</v>
      </c>
      <c r="F24" s="29" t="str">
        <f>VLOOKUP($B24,Plagioclase!$AV$7:$BA$478,6,FALSE)</f>
        <v>18eHP06.2</v>
      </c>
      <c r="G24" s="31">
        <f t="shared" si="10"/>
        <v>718.16236054274748</v>
      </c>
      <c r="H24" s="31">
        <f t="shared" si="10"/>
        <v>716.89583968446425</v>
      </c>
      <c r="I24" s="31">
        <f t="shared" si="10"/>
        <v>715.83551309834274</v>
      </c>
      <c r="J24" s="31">
        <f t="shared" si="10"/>
        <v>716.05008781821687</v>
      </c>
      <c r="K24" s="31">
        <f t="shared" si="10"/>
        <v>722.70985452447781</v>
      </c>
      <c r="L24" s="31">
        <f t="shared" si="10"/>
        <v>713.98158903761714</v>
      </c>
      <c r="M24" s="31">
        <f t="shared" si="10"/>
        <v>718.38786640977162</v>
      </c>
      <c r="N24" s="31">
        <f t="shared" si="10"/>
        <v>717.73253604068782</v>
      </c>
      <c r="O24" s="31">
        <f t="shared" si="10"/>
        <v>713.25905938199662</v>
      </c>
      <c r="P24" s="31">
        <f t="shared" si="10"/>
        <v>716.62533710766991</v>
      </c>
      <c r="Q24" s="31">
        <f t="shared" si="10"/>
        <v>716.28260362051287</v>
      </c>
      <c r="R24" s="31">
        <f t="shared" si="10"/>
        <v>746.25324772183399</v>
      </c>
      <c r="S24" s="31">
        <f t="shared" si="10"/>
        <v>719.58174525411232</v>
      </c>
      <c r="T24" s="31">
        <f t="shared" si="10"/>
        <v>713.48716580205303</v>
      </c>
      <c r="U24" s="31">
        <f t="shared" si="10"/>
        <v>743.37963659874038</v>
      </c>
      <c r="V24" s="31">
        <f t="shared" si="10"/>
        <v>693.05896200707264</v>
      </c>
      <c r="W24" s="31">
        <f t="shared" si="6"/>
        <v>702.93030616084548</v>
      </c>
      <c r="X24" s="31">
        <f t="shared" si="6"/>
        <v>716.50202296431985</v>
      </c>
      <c r="Y24" s="31">
        <f t="shared" si="6"/>
        <v>704.96295187192379</v>
      </c>
      <c r="Z24" s="31">
        <f t="shared" si="6"/>
        <v>724.47480969336402</v>
      </c>
      <c r="AA24" s="31">
        <f t="shared" si="6"/>
        <v>694.20063475318341</v>
      </c>
      <c r="AB24" s="31">
        <f t="shared" si="6"/>
        <v>715.92603996749972</v>
      </c>
      <c r="AC24" s="31">
        <f t="shared" si="6"/>
        <v>709.3817448484391</v>
      </c>
      <c r="AD24" s="31">
        <f t="shared" si="6"/>
        <v>711.85480760728535</v>
      </c>
      <c r="AE24" s="31">
        <f t="shared" si="6"/>
        <v>720.31115443948113</v>
      </c>
      <c r="AF24" s="31">
        <f t="shared" si="6"/>
        <v>707.09357775334161</v>
      </c>
      <c r="AG24" s="31">
        <f t="shared" si="6"/>
        <v>715.27035183927683</v>
      </c>
      <c r="AH24" s="31">
        <f t="shared" si="6"/>
        <v>799.25981064910354</v>
      </c>
      <c r="AI24" s="31">
        <f t="shared" si="6"/>
        <v>790.83914789297648</v>
      </c>
      <c r="AJ24" s="31">
        <f t="shared" si="6"/>
        <v>804.19228158133376</v>
      </c>
      <c r="AK24" s="31">
        <f t="shared" si="6"/>
        <v>710.07720647836959</v>
      </c>
      <c r="AL24" s="31">
        <f t="shared" si="6"/>
        <v>807.42994023676499</v>
      </c>
      <c r="AM24" s="31">
        <f t="shared" si="7"/>
        <v>798.80672834545874</v>
      </c>
      <c r="AN24" s="31">
        <f t="shared" si="7"/>
        <v>804.33412641809343</v>
      </c>
      <c r="AO24" s="31">
        <f t="shared" si="7"/>
        <v>812.78583912333045</v>
      </c>
      <c r="AP24" s="31">
        <f t="shared" si="7"/>
        <v>792.035829664473</v>
      </c>
      <c r="AQ24" s="31">
        <f t="shared" si="7"/>
        <v>801.19038379915094</v>
      </c>
      <c r="AR24" s="31">
        <f t="shared" si="7"/>
        <v>717.50423649481672</v>
      </c>
      <c r="AS24" s="31">
        <f t="shared" si="7"/>
        <v>725.29711411072515</v>
      </c>
      <c r="AT24" s="31">
        <f t="shared" si="7"/>
        <v>745.32129565701018</v>
      </c>
      <c r="AU24" s="31">
        <f t="shared" si="7"/>
        <v>733.78494556840963</v>
      </c>
      <c r="AV24" s="31">
        <f t="shared" si="7"/>
        <v>785.42207503762495</v>
      </c>
      <c r="AW24" s="31">
        <f t="shared" si="7"/>
        <v>772.29725627558116</v>
      </c>
      <c r="AX24" s="31">
        <f t="shared" si="7"/>
        <v>766.65126847086628</v>
      </c>
      <c r="AY24" s="31">
        <f t="shared" si="7"/>
        <v>780.94580747580392</v>
      </c>
      <c r="AZ24" s="31">
        <f t="shared" si="8"/>
        <v>798.1813953252198</v>
      </c>
      <c r="BA24" s="31">
        <f t="shared" si="8"/>
        <v>783.77171841251436</v>
      </c>
      <c r="BB24" s="31">
        <f t="shared" si="8"/>
        <v>762.66977369324024</v>
      </c>
      <c r="BC24" s="31">
        <f t="shared" si="8"/>
        <v>716.16502298191233</v>
      </c>
      <c r="BD24" s="31">
        <f t="shared" si="9"/>
        <v>721.93871936301139</v>
      </c>
      <c r="BE24" s="31">
        <f t="shared" si="9"/>
        <v>713.41715436179641</v>
      </c>
      <c r="BF24" s="31">
        <f t="shared" si="9"/>
        <v>731.22558103790391</v>
      </c>
      <c r="BG24" s="31">
        <f t="shared" si="9"/>
        <v>727.61951295221104</v>
      </c>
      <c r="BH24" s="31">
        <f t="shared" si="9"/>
        <v>713.1734629515239</v>
      </c>
      <c r="BI24" s="31">
        <f t="shared" si="9"/>
        <v>710.29998827374834</v>
      </c>
      <c r="BJ24" s="31">
        <f t="shared" si="9"/>
        <v>717.47098000820881</v>
      </c>
      <c r="BK24" s="31">
        <f t="shared" si="9"/>
        <v>717.20468336226315</v>
      </c>
    </row>
    <row r="25" spans="1:63">
      <c r="B25" s="37">
        <v>16161.000000000002</v>
      </c>
      <c r="C25" s="34">
        <f>VLOOKUP($B25,Plagioclase!$AV$7:$BA$478,2,FALSE)</f>
        <v>0.31861669104317425</v>
      </c>
      <c r="D25" s="34">
        <f>VLOOKUP($B25,Plagioclase!$AV$7:$BA$478,3,FALSE)</f>
        <v>0.64252265165981248</v>
      </c>
      <c r="E25" s="34">
        <f>VLOOKUP($B25,Plagioclase!$AV$7:$BA$478,5,FALSE)</f>
        <v>3</v>
      </c>
      <c r="F25" s="29" t="str">
        <f>VLOOKUP($B25,Plagioclase!$AV$7:$BA$478,6,FALSE)</f>
        <v>18eHP06.4</v>
      </c>
      <c r="G25" s="31">
        <f t="shared" si="10"/>
        <v>745.01591219687225</v>
      </c>
      <c r="H25" s="31">
        <f t="shared" si="10"/>
        <v>743.75343714403084</v>
      </c>
      <c r="I25" s="31">
        <f t="shared" si="10"/>
        <v>742.59261800846002</v>
      </c>
      <c r="J25" s="31">
        <f t="shared" si="10"/>
        <v>742.71249052643532</v>
      </c>
      <c r="K25" s="31">
        <f t="shared" si="10"/>
        <v>749.93019677072152</v>
      </c>
      <c r="L25" s="31">
        <f t="shared" si="10"/>
        <v>740.40934770710703</v>
      </c>
      <c r="M25" s="31">
        <f t="shared" si="10"/>
        <v>745.35294449764547</v>
      </c>
      <c r="N25" s="31">
        <f t="shared" si="10"/>
        <v>744.16570625541465</v>
      </c>
      <c r="O25" s="31">
        <f t="shared" si="10"/>
        <v>739.787920929243</v>
      </c>
      <c r="P25" s="31">
        <f t="shared" si="10"/>
        <v>743.58782483254049</v>
      </c>
      <c r="Q25" s="31">
        <f t="shared" si="10"/>
        <v>742.7686381172681</v>
      </c>
      <c r="R25" s="31">
        <f t="shared" si="10"/>
        <v>772.61570135576551</v>
      </c>
      <c r="S25" s="31">
        <f t="shared" si="10"/>
        <v>746.38307796327103</v>
      </c>
      <c r="T25" s="31">
        <f t="shared" si="10"/>
        <v>740.51387082037547</v>
      </c>
      <c r="U25" s="31">
        <f t="shared" si="10"/>
        <v>769.61476693421957</v>
      </c>
      <c r="V25" s="31">
        <f t="shared" si="10"/>
        <v>719.26960903370946</v>
      </c>
      <c r="W25" s="31">
        <f t="shared" si="6"/>
        <v>729.07073409032182</v>
      </c>
      <c r="X25" s="31">
        <f t="shared" si="6"/>
        <v>743.32875344852766</v>
      </c>
      <c r="Y25" s="31">
        <f t="shared" si="6"/>
        <v>730.83330358309092</v>
      </c>
      <c r="Z25" s="31">
        <f t="shared" si="6"/>
        <v>751.34422610899958</v>
      </c>
      <c r="AA25" s="31">
        <f t="shared" si="6"/>
        <v>720.74384592615002</v>
      </c>
      <c r="AB25" s="31">
        <f t="shared" si="6"/>
        <v>742.85967256328331</v>
      </c>
      <c r="AC25" s="31">
        <f t="shared" si="6"/>
        <v>735.887904417953</v>
      </c>
      <c r="AD25" s="31">
        <f t="shared" si="6"/>
        <v>738.29652900670374</v>
      </c>
      <c r="AE25" s="31">
        <f t="shared" si="6"/>
        <v>746.53197546771332</v>
      </c>
      <c r="AF25" s="31">
        <f t="shared" si="6"/>
        <v>733.70730413305557</v>
      </c>
      <c r="AG25" s="31">
        <f t="shared" si="6"/>
        <v>742.11799174135626</v>
      </c>
      <c r="AH25" s="31">
        <f t="shared" si="6"/>
        <v>826.33564247205243</v>
      </c>
      <c r="AI25" s="31">
        <f t="shared" si="6"/>
        <v>817.53591000928839</v>
      </c>
      <c r="AJ25" s="31">
        <f t="shared" si="6"/>
        <v>831.54307694601073</v>
      </c>
      <c r="AK25" s="31">
        <f t="shared" si="6"/>
        <v>737.05331797833355</v>
      </c>
      <c r="AL25" s="31">
        <f t="shared" si="6"/>
        <v>834.6695224042229</v>
      </c>
      <c r="AM25" s="31">
        <f t="shared" si="7"/>
        <v>825.5716893849675</v>
      </c>
      <c r="AN25" s="31">
        <f t="shared" si="7"/>
        <v>831.62146401101234</v>
      </c>
      <c r="AO25" s="31">
        <f t="shared" si="7"/>
        <v>840.55716829099708</v>
      </c>
      <c r="AP25" s="31">
        <f t="shared" si="7"/>
        <v>819.37106990716472</v>
      </c>
      <c r="AQ25" s="31">
        <f t="shared" si="7"/>
        <v>827.87757559428371</v>
      </c>
      <c r="AR25" s="31">
        <f t="shared" si="7"/>
        <v>744.11037083704537</v>
      </c>
      <c r="AS25" s="31">
        <f t="shared" si="7"/>
        <v>752.50466902661526</v>
      </c>
      <c r="AT25" s="31">
        <f t="shared" si="7"/>
        <v>772.42247865273487</v>
      </c>
      <c r="AU25" s="31">
        <f t="shared" si="7"/>
        <v>760.44892837988721</v>
      </c>
      <c r="AV25" s="31">
        <f t="shared" si="7"/>
        <v>811.39695152903471</v>
      </c>
      <c r="AW25" s="31">
        <f t="shared" si="7"/>
        <v>799.10516588066469</v>
      </c>
      <c r="AX25" s="31">
        <f t="shared" si="7"/>
        <v>793.50397566820004</v>
      </c>
      <c r="AY25" s="31">
        <f t="shared" si="7"/>
        <v>808.23620762207076</v>
      </c>
      <c r="AZ25" s="31">
        <f t="shared" si="8"/>
        <v>825.47778669164165</v>
      </c>
      <c r="BA25" s="31">
        <f t="shared" si="8"/>
        <v>810.77154734174781</v>
      </c>
      <c r="BB25" s="31">
        <f t="shared" si="8"/>
        <v>788.98579610384206</v>
      </c>
      <c r="BC25" s="31">
        <f t="shared" si="8"/>
        <v>742.53263979580242</v>
      </c>
      <c r="BD25" s="31">
        <f t="shared" si="9"/>
        <v>748.12894002887981</v>
      </c>
      <c r="BE25" s="31">
        <f t="shared" si="9"/>
        <v>739.95179330959695</v>
      </c>
      <c r="BF25" s="31">
        <f t="shared" si="9"/>
        <v>757.55725260606198</v>
      </c>
      <c r="BG25" s="31">
        <f t="shared" si="9"/>
        <v>753.66459269371887</v>
      </c>
      <c r="BH25" s="31">
        <f t="shared" si="9"/>
        <v>739.20316527282432</v>
      </c>
      <c r="BI25" s="31">
        <f t="shared" si="9"/>
        <v>736.79728751650066</v>
      </c>
      <c r="BJ25" s="31">
        <f t="shared" si="9"/>
        <v>743.81708793827306</v>
      </c>
      <c r="BK25" s="31">
        <f t="shared" si="9"/>
        <v>743.49621120570873</v>
      </c>
    </row>
    <row r="26" spans="1:63">
      <c r="B26" s="37">
        <v>16164.000000000002</v>
      </c>
      <c r="C26" s="34">
        <f>VLOOKUP($B26,Plagioclase!$AV$7:$BA$478,2,FALSE)</f>
        <v>0.53719986642812845</v>
      </c>
      <c r="D26" s="34">
        <f>VLOOKUP($B26,Plagioclase!$AV$7:$BA$478,3,FALSE)</f>
        <v>0.44506709050230248</v>
      </c>
      <c r="E26" s="34">
        <f>VLOOKUP($B26,Plagioclase!$AV$7:$BA$478,5,FALSE)</f>
        <v>1.6816101720552594</v>
      </c>
      <c r="F26" s="29" t="str">
        <f>VLOOKUP($B26,Plagioclase!$AV$7:$BA$478,6,FALSE)</f>
        <v>26dHP01.3</v>
      </c>
      <c r="G26" s="31">
        <f t="shared" si="10"/>
        <v>814.58002830983253</v>
      </c>
      <c r="H26" s="31">
        <f t="shared" si="10"/>
        <v>813.32056589990009</v>
      </c>
      <c r="I26" s="31">
        <f t="shared" si="10"/>
        <v>811.86235874099009</v>
      </c>
      <c r="J26" s="31">
        <f t="shared" si="10"/>
        <v>811.71053559089785</v>
      </c>
      <c r="K26" s="31">
        <f t="shared" si="10"/>
        <v>820.5860227902175</v>
      </c>
      <c r="L26" s="31">
        <f t="shared" si="10"/>
        <v>808.71720370468859</v>
      </c>
      <c r="M26" s="31">
        <f t="shared" si="10"/>
        <v>815.24082450760591</v>
      </c>
      <c r="N26" s="31">
        <f t="shared" si="10"/>
        <v>812.51498120076837</v>
      </c>
      <c r="O26" s="31">
        <f t="shared" si="10"/>
        <v>808.38185772465897</v>
      </c>
      <c r="P26" s="31">
        <f t="shared" si="10"/>
        <v>813.45615884324877</v>
      </c>
      <c r="Q26" s="31">
        <f t="shared" si="10"/>
        <v>811.26011856669436</v>
      </c>
      <c r="R26" s="31">
        <f t="shared" si="10"/>
        <v>840.95140221295458</v>
      </c>
      <c r="S26" s="31">
        <f t="shared" si="10"/>
        <v>815.80611827134146</v>
      </c>
      <c r="T26" s="31">
        <f t="shared" si="10"/>
        <v>810.54630399622135</v>
      </c>
      <c r="U26" s="31">
        <f t="shared" si="10"/>
        <v>837.56596285760736</v>
      </c>
      <c r="V26" s="31">
        <f t="shared" si="10"/>
        <v>786.80489949629384</v>
      </c>
      <c r="W26" s="31">
        <f t="shared" si="6"/>
        <v>796.47517894228724</v>
      </c>
      <c r="X26" s="31">
        <f t="shared" si="6"/>
        <v>812.80404693857361</v>
      </c>
      <c r="Y26" s="31">
        <f t="shared" si="6"/>
        <v>797.47757599639601</v>
      </c>
      <c r="Z26" s="31">
        <f t="shared" si="6"/>
        <v>820.99702037973191</v>
      </c>
      <c r="AA26" s="31">
        <f t="shared" si="6"/>
        <v>789.2443144977068</v>
      </c>
      <c r="AB26" s="31">
        <f t="shared" si="6"/>
        <v>812.63981055940837</v>
      </c>
      <c r="AC26" s="31">
        <f t="shared" si="6"/>
        <v>804.38948719010943</v>
      </c>
      <c r="AD26" s="31">
        <f t="shared" si="6"/>
        <v>806.6298218871749</v>
      </c>
      <c r="AE26" s="31">
        <f t="shared" si="6"/>
        <v>814.28834830646213</v>
      </c>
      <c r="AF26" s="31">
        <f t="shared" si="6"/>
        <v>802.50279412222324</v>
      </c>
      <c r="AG26" s="31">
        <f t="shared" si="6"/>
        <v>811.645198811569</v>
      </c>
      <c r="AH26" s="31">
        <f t="shared" si="6"/>
        <v>897.05074489140623</v>
      </c>
      <c r="AI26" s="31">
        <f t="shared" si="6"/>
        <v>887.10841209041098</v>
      </c>
      <c r="AJ26" s="31">
        <f t="shared" si="6"/>
        <v>903.08157640882348</v>
      </c>
      <c r="AK26" s="31">
        <f t="shared" si="6"/>
        <v>806.91582919994619</v>
      </c>
      <c r="AL26" s="31">
        <f t="shared" si="6"/>
        <v>905.90459700725989</v>
      </c>
      <c r="AM26" s="31">
        <f t="shared" si="7"/>
        <v>895.38713816894563</v>
      </c>
      <c r="AN26" s="31">
        <f t="shared" si="7"/>
        <v>902.97711854310785</v>
      </c>
      <c r="AO26" s="31">
        <f t="shared" si="7"/>
        <v>913.36322146394957</v>
      </c>
      <c r="AP26" s="31">
        <f t="shared" si="7"/>
        <v>890.79453050010432</v>
      </c>
      <c r="AQ26" s="31">
        <f t="shared" si="7"/>
        <v>897.4826973435014</v>
      </c>
      <c r="AR26" s="31">
        <f t="shared" si="7"/>
        <v>812.95619944697626</v>
      </c>
      <c r="AS26" s="31">
        <f t="shared" si="7"/>
        <v>823.14087693322324</v>
      </c>
      <c r="AT26" s="31">
        <f t="shared" si="7"/>
        <v>842.88245682969443</v>
      </c>
      <c r="AU26" s="31">
        <f t="shared" si="7"/>
        <v>829.57118485577723</v>
      </c>
      <c r="AV26" s="31">
        <f t="shared" si="7"/>
        <v>878.86334385803468</v>
      </c>
      <c r="AW26" s="31">
        <f t="shared" si="7"/>
        <v>868.88708622664888</v>
      </c>
      <c r="AX26" s="31">
        <f t="shared" si="7"/>
        <v>863.38051221524881</v>
      </c>
      <c r="AY26" s="31">
        <f t="shared" si="7"/>
        <v>879.46445502145264</v>
      </c>
      <c r="AZ26" s="31">
        <f t="shared" si="8"/>
        <v>896.82441361994699</v>
      </c>
      <c r="BA26" s="31">
        <f t="shared" si="8"/>
        <v>881.17647337765914</v>
      </c>
      <c r="BB26" s="31">
        <f t="shared" si="8"/>
        <v>857.29223702727211</v>
      </c>
      <c r="BC26" s="31">
        <f t="shared" si="8"/>
        <v>810.6825359160315</v>
      </c>
      <c r="BD26" s="31">
        <f t="shared" si="9"/>
        <v>815.80851902097527</v>
      </c>
      <c r="BE26" s="31">
        <f t="shared" si="9"/>
        <v>808.5634658571056</v>
      </c>
      <c r="BF26" s="31">
        <f t="shared" si="9"/>
        <v>825.70585104238091</v>
      </c>
      <c r="BG26" s="31">
        <f t="shared" si="9"/>
        <v>820.96605360432284</v>
      </c>
      <c r="BH26" s="31">
        <f t="shared" si="9"/>
        <v>806.3617697135054</v>
      </c>
      <c r="BI26" s="31">
        <f t="shared" si="9"/>
        <v>805.27976298327496</v>
      </c>
      <c r="BJ26" s="31">
        <f t="shared" si="9"/>
        <v>811.91410681640775</v>
      </c>
      <c r="BK26" s="31">
        <f t="shared" si="9"/>
        <v>811.43447617878212</v>
      </c>
    </row>
    <row r="27" spans="1:63">
      <c r="B27" s="37">
        <v>16165</v>
      </c>
      <c r="C27" s="34">
        <f>VLOOKUP($B27,Plagioclase!$AV$7:$BA$478,2,FALSE)</f>
        <v>0.53097306177128545</v>
      </c>
      <c r="D27" s="34">
        <f>VLOOKUP($B27,Plagioclase!$AV$7:$BA$478,3,FALSE)</f>
        <v>0.45163401861372482</v>
      </c>
      <c r="E27" s="34">
        <f>VLOOKUP($B27,Plagioclase!$AV$7:$BA$478,5,FALSE)</f>
        <v>1.8392164467293957</v>
      </c>
      <c r="F27" s="29" t="str">
        <f>VLOOKUP($B27,Plagioclase!$AV$7:$BA$478,6,FALSE)</f>
        <v>26dHP01.4</v>
      </c>
      <c r="G27" s="31">
        <f t="shared" si="10"/>
        <v>813.68300373647128</v>
      </c>
      <c r="H27" s="31">
        <f t="shared" si="10"/>
        <v>812.4252374204558</v>
      </c>
      <c r="I27" s="31">
        <f t="shared" si="10"/>
        <v>810.97317361898274</v>
      </c>
      <c r="J27" s="31">
        <f t="shared" si="10"/>
        <v>810.82532501969297</v>
      </c>
      <c r="K27" s="31">
        <f t="shared" si="10"/>
        <v>819.66542469250055</v>
      </c>
      <c r="L27" s="31">
        <f t="shared" si="10"/>
        <v>807.84563730295974</v>
      </c>
      <c r="M27" s="31">
        <f t="shared" si="10"/>
        <v>814.33837451227998</v>
      </c>
      <c r="N27" s="31">
        <f t="shared" si="10"/>
        <v>811.63765592046946</v>
      </c>
      <c r="O27" s="31">
        <f t="shared" si="10"/>
        <v>807.50681291984972</v>
      </c>
      <c r="P27" s="31">
        <f t="shared" si="10"/>
        <v>812.55645291438225</v>
      </c>
      <c r="Q27" s="31">
        <f t="shared" si="10"/>
        <v>810.38253650674289</v>
      </c>
      <c r="R27" s="31">
        <f t="shared" si="10"/>
        <v>840.03686275921166</v>
      </c>
      <c r="S27" s="31">
        <f t="shared" si="10"/>
        <v>814.90937493952822</v>
      </c>
      <c r="T27" s="31">
        <f t="shared" si="10"/>
        <v>809.64837581562267</v>
      </c>
      <c r="U27" s="31">
        <f t="shared" si="10"/>
        <v>836.66125871232737</v>
      </c>
      <c r="V27" s="31">
        <f t="shared" si="10"/>
        <v>785.97446652778433</v>
      </c>
      <c r="W27" s="31">
        <f t="shared" si="6"/>
        <v>795.63284887218276</v>
      </c>
      <c r="X27" s="31">
        <f t="shared" si="6"/>
        <v>811.91070849462005</v>
      </c>
      <c r="Y27" s="31">
        <f t="shared" si="6"/>
        <v>796.64410964336423</v>
      </c>
      <c r="Z27" s="31">
        <f t="shared" si="6"/>
        <v>820.08997418795445</v>
      </c>
      <c r="AA27" s="31">
        <f t="shared" si="6"/>
        <v>788.39751803918341</v>
      </c>
      <c r="AB27" s="31">
        <f t="shared" si="6"/>
        <v>811.74246433182714</v>
      </c>
      <c r="AC27" s="31">
        <f t="shared" si="6"/>
        <v>803.52123644629353</v>
      </c>
      <c r="AD27" s="31">
        <f t="shared" si="6"/>
        <v>805.76077641860741</v>
      </c>
      <c r="AE27" s="31">
        <f t="shared" si="6"/>
        <v>813.41684250466153</v>
      </c>
      <c r="AF27" s="31">
        <f t="shared" si="6"/>
        <v>801.6331590787164</v>
      </c>
      <c r="AG27" s="31">
        <f t="shared" si="6"/>
        <v>810.75274409207429</v>
      </c>
      <c r="AH27" s="31">
        <f t="shared" si="6"/>
        <v>896.03243888787154</v>
      </c>
      <c r="AI27" s="31">
        <f t="shared" si="6"/>
        <v>886.11925032354145</v>
      </c>
      <c r="AJ27" s="31">
        <f t="shared" si="6"/>
        <v>902.04347754514686</v>
      </c>
      <c r="AK27" s="31">
        <f t="shared" si="6"/>
        <v>806.02535079792449</v>
      </c>
      <c r="AL27" s="31">
        <f t="shared" si="6"/>
        <v>904.86797699652777</v>
      </c>
      <c r="AM27" s="31">
        <f t="shared" si="7"/>
        <v>894.38464883155336</v>
      </c>
      <c r="AN27" s="31">
        <f t="shared" si="7"/>
        <v>901.94199168710145</v>
      </c>
      <c r="AO27" s="31">
        <f t="shared" si="7"/>
        <v>912.29331864507128</v>
      </c>
      <c r="AP27" s="31">
        <f t="shared" si="7"/>
        <v>889.77265058397541</v>
      </c>
      <c r="AQ27" s="31">
        <f t="shared" si="7"/>
        <v>896.48104936897687</v>
      </c>
      <c r="AR27" s="31">
        <f t="shared" si="7"/>
        <v>812.0713896779406</v>
      </c>
      <c r="AS27" s="31">
        <f t="shared" si="7"/>
        <v>822.21704074928982</v>
      </c>
      <c r="AT27" s="31">
        <f t="shared" si="7"/>
        <v>841.93471860622628</v>
      </c>
      <c r="AU27" s="31">
        <f t="shared" si="7"/>
        <v>828.66014821221881</v>
      </c>
      <c r="AV27" s="31">
        <f t="shared" si="7"/>
        <v>877.91568805879103</v>
      </c>
      <c r="AW27" s="31">
        <f t="shared" si="7"/>
        <v>867.91650982115732</v>
      </c>
      <c r="AX27" s="31">
        <f t="shared" si="7"/>
        <v>862.4152878972842</v>
      </c>
      <c r="AY27" s="31">
        <f t="shared" si="7"/>
        <v>878.45918983724494</v>
      </c>
      <c r="AZ27" s="31">
        <f t="shared" si="8"/>
        <v>895.79659662014035</v>
      </c>
      <c r="BA27" s="31">
        <f t="shared" si="8"/>
        <v>880.18164987599982</v>
      </c>
      <c r="BB27" s="31">
        <f t="shared" si="8"/>
        <v>856.35772129087502</v>
      </c>
      <c r="BC27" s="31">
        <f t="shared" si="8"/>
        <v>809.81046123782392</v>
      </c>
      <c r="BD27" s="31">
        <f t="shared" si="9"/>
        <v>814.93604328515687</v>
      </c>
      <c r="BE27" s="31">
        <f t="shared" si="9"/>
        <v>807.6879264342773</v>
      </c>
      <c r="BF27" s="31">
        <f t="shared" si="9"/>
        <v>824.8136938515878</v>
      </c>
      <c r="BG27" s="31">
        <f t="shared" si="9"/>
        <v>820.09201917106554</v>
      </c>
      <c r="BH27" s="31">
        <f t="shared" si="9"/>
        <v>805.5091910493403</v>
      </c>
      <c r="BI27" s="31">
        <f t="shared" si="9"/>
        <v>804.41053807218611</v>
      </c>
      <c r="BJ27" s="31">
        <f t="shared" si="9"/>
        <v>811.04108852081265</v>
      </c>
      <c r="BK27" s="31">
        <f t="shared" si="9"/>
        <v>810.56430233316962</v>
      </c>
    </row>
    <row r="28" spans="1:63">
      <c r="B28" s="37">
        <v>16167.000000000002</v>
      </c>
      <c r="C28" s="34">
        <f>VLOOKUP($B28,Plagioclase!$AV$7:$BA$478,2,FALSE)</f>
        <v>0.39846448065830131</v>
      </c>
      <c r="D28" s="34">
        <f>VLOOKUP($B28,Plagioclase!$AV$7:$BA$478,3,FALSE)</f>
        <v>0.5749237689804918</v>
      </c>
      <c r="E28" s="34">
        <f>VLOOKUP($B28,Plagioclase!$AV$7:$BA$478,5,FALSE)</f>
        <v>3</v>
      </c>
      <c r="F28" s="29" t="str">
        <f>VLOOKUP($B28,Plagioclase!$AV$7:$BA$478,6,FALSE)</f>
        <v>26dHP01.6</v>
      </c>
      <c r="G28" s="31">
        <f t="shared" si="10"/>
        <v>775.19466980631353</v>
      </c>
      <c r="H28" s="31">
        <f t="shared" si="10"/>
        <v>773.93915954357669</v>
      </c>
      <c r="I28" s="31">
        <f t="shared" si="10"/>
        <v>772.6608853173899</v>
      </c>
      <c r="J28" s="31">
        <f t="shared" si="10"/>
        <v>772.66804208645033</v>
      </c>
      <c r="K28" s="31">
        <f t="shared" si="10"/>
        <v>780.53664142075615</v>
      </c>
      <c r="L28" s="31">
        <f t="shared" si="10"/>
        <v>770.09014946708032</v>
      </c>
      <c r="M28" s="31">
        <f t="shared" si="10"/>
        <v>775.66370153376204</v>
      </c>
      <c r="N28" s="31">
        <f t="shared" si="10"/>
        <v>773.84670049357794</v>
      </c>
      <c r="O28" s="31">
        <f t="shared" si="10"/>
        <v>769.58979408688867</v>
      </c>
      <c r="P28" s="31">
        <f t="shared" si="10"/>
        <v>773.89854126844523</v>
      </c>
      <c r="Q28" s="31">
        <f t="shared" si="10"/>
        <v>772.5146821319089</v>
      </c>
      <c r="R28" s="31">
        <f t="shared" si="10"/>
        <v>802.16740651726934</v>
      </c>
      <c r="S28" s="31">
        <f t="shared" si="10"/>
        <v>776.49746263802706</v>
      </c>
      <c r="T28" s="31">
        <f t="shared" si="10"/>
        <v>770.90631360515829</v>
      </c>
      <c r="U28" s="31">
        <f t="shared" si="10"/>
        <v>799.02057502160358</v>
      </c>
      <c r="V28" s="31">
        <f t="shared" si="10"/>
        <v>748.72819285635319</v>
      </c>
      <c r="W28" s="31">
        <f t="shared" si="6"/>
        <v>758.42936797961613</v>
      </c>
      <c r="X28" s="31">
        <f t="shared" si="6"/>
        <v>773.47851239613408</v>
      </c>
      <c r="Y28" s="31">
        <f t="shared" si="6"/>
        <v>759.8686862436424</v>
      </c>
      <c r="Z28" s="31">
        <f t="shared" si="6"/>
        <v>781.53110495255385</v>
      </c>
      <c r="AA28" s="31">
        <f t="shared" si="6"/>
        <v>750.59544335540568</v>
      </c>
      <c r="AB28" s="31">
        <f t="shared" si="6"/>
        <v>773.13732990165533</v>
      </c>
      <c r="AC28" s="31">
        <f t="shared" si="6"/>
        <v>765.66938716775701</v>
      </c>
      <c r="AD28" s="31">
        <f t="shared" si="6"/>
        <v>767.99743248798529</v>
      </c>
      <c r="AE28" s="31">
        <f t="shared" si="6"/>
        <v>775.95730673999526</v>
      </c>
      <c r="AF28" s="31">
        <f t="shared" si="6"/>
        <v>763.62032636363585</v>
      </c>
      <c r="AG28" s="31">
        <f t="shared" si="6"/>
        <v>772.29467776876379</v>
      </c>
      <c r="AH28" s="31">
        <f t="shared" si="6"/>
        <v>856.64858593811562</v>
      </c>
      <c r="AI28" s="31">
        <f t="shared" si="6"/>
        <v>847.41479739492604</v>
      </c>
      <c r="AJ28" s="31">
        <f t="shared" si="6"/>
        <v>862.17269840465349</v>
      </c>
      <c r="AK28" s="31">
        <f t="shared" si="6"/>
        <v>767.39159837499767</v>
      </c>
      <c r="AL28" s="31">
        <f t="shared" si="6"/>
        <v>865.16331265087672</v>
      </c>
      <c r="AM28" s="31">
        <f t="shared" si="7"/>
        <v>855.51929637140131</v>
      </c>
      <c r="AN28" s="31">
        <f t="shared" si="7"/>
        <v>862.17608872796802</v>
      </c>
      <c r="AO28" s="31">
        <f t="shared" si="7"/>
        <v>871.66972170746851</v>
      </c>
      <c r="AP28" s="31">
        <f t="shared" si="7"/>
        <v>850.00068899159749</v>
      </c>
      <c r="AQ28" s="31">
        <f t="shared" si="7"/>
        <v>857.73027854664531</v>
      </c>
      <c r="AR28" s="31">
        <f t="shared" si="7"/>
        <v>773.99674850405825</v>
      </c>
      <c r="AS28" s="31">
        <f t="shared" si="7"/>
        <v>783.09144527417618</v>
      </c>
      <c r="AT28" s="31">
        <f t="shared" si="7"/>
        <v>802.84936580547389</v>
      </c>
      <c r="AU28" s="31">
        <f t="shared" si="7"/>
        <v>790.37696071938933</v>
      </c>
      <c r="AV28" s="31">
        <f t="shared" si="7"/>
        <v>840.43466069926205</v>
      </c>
      <c r="AW28" s="31">
        <f t="shared" si="7"/>
        <v>829.14266662325406</v>
      </c>
      <c r="AX28" s="31">
        <f t="shared" si="7"/>
        <v>823.60301422163081</v>
      </c>
      <c r="AY28" s="31">
        <f t="shared" si="7"/>
        <v>838.82996608654514</v>
      </c>
      <c r="AZ28" s="31">
        <f t="shared" si="8"/>
        <v>856.05227531719595</v>
      </c>
      <c r="BA28" s="31">
        <f t="shared" si="8"/>
        <v>841.01803414932363</v>
      </c>
      <c r="BB28" s="31">
        <f t="shared" si="8"/>
        <v>818.4577349731743</v>
      </c>
      <c r="BC28" s="31">
        <f t="shared" si="8"/>
        <v>772.13855726194072</v>
      </c>
      <c r="BD28" s="31">
        <f t="shared" si="9"/>
        <v>777.51543941550437</v>
      </c>
      <c r="BE28" s="31">
        <f t="shared" si="9"/>
        <v>769.76025196674834</v>
      </c>
      <c r="BF28" s="31">
        <f t="shared" si="9"/>
        <v>787.09620325975072</v>
      </c>
      <c r="BG28" s="31">
        <f t="shared" si="9"/>
        <v>782.87045327536487</v>
      </c>
      <c r="BH28" s="31">
        <f t="shared" si="9"/>
        <v>768.41385354047009</v>
      </c>
      <c r="BI28" s="31">
        <f t="shared" si="9"/>
        <v>766.56670988684471</v>
      </c>
      <c r="BJ28" s="31">
        <f t="shared" si="9"/>
        <v>773.39537791141277</v>
      </c>
      <c r="BK28" s="31">
        <f t="shared" si="9"/>
        <v>773.01029815516529</v>
      </c>
    </row>
    <row r="29" spans="1:63">
      <c r="B29" s="37">
        <v>16169</v>
      </c>
      <c r="C29" s="34">
        <f>VLOOKUP($B29,Plagioclase!$AV$7:$BA$478,2,FALSE)</f>
        <v>0.25848703062735284</v>
      </c>
      <c r="D29" s="34">
        <f>VLOOKUP($B29,Plagioclase!$AV$7:$BA$478,3,FALSE)</f>
        <v>0.69198760076402566</v>
      </c>
      <c r="E29" s="34">
        <f>VLOOKUP($B29,Plagioclase!$AV$7:$BA$478,5,FALSE)</f>
        <v>3</v>
      </c>
      <c r="F29" s="29" t="str">
        <f>VLOOKUP($B29,Plagioclase!$AV$7:$BA$478,6,FALSE)</f>
        <v>26dHP02.2</v>
      </c>
      <c r="G29" s="31">
        <f t="shared" si="10"/>
        <v>720.80306014879045</v>
      </c>
      <c r="H29" s="31">
        <f t="shared" si="10"/>
        <v>719.53684732455986</v>
      </c>
      <c r="I29" s="31">
        <f t="shared" si="10"/>
        <v>718.46680646131392</v>
      </c>
      <c r="J29" s="31">
        <f t="shared" si="10"/>
        <v>718.67230206865747</v>
      </c>
      <c r="K29" s="31">
        <f t="shared" si="10"/>
        <v>725.38604854445066</v>
      </c>
      <c r="L29" s="31">
        <f t="shared" si="10"/>
        <v>716.58113995534472</v>
      </c>
      <c r="M29" s="31">
        <f t="shared" si="10"/>
        <v>721.03928573066139</v>
      </c>
      <c r="N29" s="31">
        <f t="shared" si="10"/>
        <v>720.33283820289944</v>
      </c>
      <c r="O29" s="31">
        <f t="shared" si="10"/>
        <v>715.86827545252879</v>
      </c>
      <c r="P29" s="31">
        <f t="shared" si="10"/>
        <v>719.27639511832103</v>
      </c>
      <c r="Q29" s="31">
        <f t="shared" si="10"/>
        <v>718.88789449970079</v>
      </c>
      <c r="R29" s="31">
        <f t="shared" si="10"/>
        <v>748.8484524152243</v>
      </c>
      <c r="S29" s="31">
        <f t="shared" si="10"/>
        <v>722.21752113598654</v>
      </c>
      <c r="T29" s="31">
        <f t="shared" si="10"/>
        <v>716.14418403532909</v>
      </c>
      <c r="U29" s="31">
        <f t="shared" si="10"/>
        <v>745.96242554399089</v>
      </c>
      <c r="V29" s="31">
        <f t="shared" si="10"/>
        <v>695.63635333192281</v>
      </c>
      <c r="W29" s="31">
        <f t="shared" si="6"/>
        <v>705.50157421093309</v>
      </c>
      <c r="X29" s="31">
        <f t="shared" si="6"/>
        <v>719.14004256958776</v>
      </c>
      <c r="Y29" s="31">
        <f t="shared" si="6"/>
        <v>707.50839582060303</v>
      </c>
      <c r="Z29" s="31">
        <f t="shared" si="6"/>
        <v>727.11743014368813</v>
      </c>
      <c r="AA29" s="31">
        <f t="shared" si="6"/>
        <v>696.81001419660822</v>
      </c>
      <c r="AB29" s="31">
        <f t="shared" si="6"/>
        <v>718.57428387330833</v>
      </c>
      <c r="AC29" s="31">
        <f t="shared" si="6"/>
        <v>711.98853805709132</v>
      </c>
      <c r="AD29" s="31">
        <f t="shared" si="6"/>
        <v>714.45556757113229</v>
      </c>
      <c r="AE29" s="31">
        <f t="shared" si="6"/>
        <v>722.89120843504224</v>
      </c>
      <c r="AF29" s="31">
        <f t="shared" si="6"/>
        <v>709.71055298555439</v>
      </c>
      <c r="AG29" s="31">
        <f t="shared" si="6"/>
        <v>717.91030027432384</v>
      </c>
      <c r="AH29" s="31">
        <f t="shared" si="6"/>
        <v>801.92667933101109</v>
      </c>
      <c r="AI29" s="31">
        <f t="shared" si="6"/>
        <v>793.46904142034271</v>
      </c>
      <c r="AJ29" s="31">
        <f t="shared" si="6"/>
        <v>806.88590243186752</v>
      </c>
      <c r="AK29" s="31">
        <f t="shared" si="6"/>
        <v>712.72914947023617</v>
      </c>
      <c r="AL29" s="31">
        <f t="shared" si="6"/>
        <v>810.1130305666494</v>
      </c>
      <c r="AM29" s="31">
        <f t="shared" si="7"/>
        <v>801.44362507951007</v>
      </c>
      <c r="AN29" s="31">
        <f t="shared" si="7"/>
        <v>807.02164473727623</v>
      </c>
      <c r="AO29" s="31">
        <f t="shared" si="7"/>
        <v>815.5204278682196</v>
      </c>
      <c r="AP29" s="31">
        <f t="shared" si="7"/>
        <v>794.72726754224698</v>
      </c>
      <c r="AQ29" s="31">
        <f t="shared" si="7"/>
        <v>803.81991420259635</v>
      </c>
      <c r="AR29" s="31">
        <f t="shared" si="7"/>
        <v>720.12113822606</v>
      </c>
      <c r="AS29" s="31">
        <f t="shared" si="7"/>
        <v>727.97224730518576</v>
      </c>
      <c r="AT29" s="31">
        <f t="shared" si="7"/>
        <v>747.98746826418164</v>
      </c>
      <c r="AU29" s="31">
        <f t="shared" si="7"/>
        <v>736.40840506733207</v>
      </c>
      <c r="AV29" s="31">
        <f t="shared" si="7"/>
        <v>787.98210195223089</v>
      </c>
      <c r="AW29" s="31">
        <f t="shared" si="7"/>
        <v>774.93681912475051</v>
      </c>
      <c r="AX29" s="31">
        <f t="shared" si="7"/>
        <v>769.29481853564437</v>
      </c>
      <c r="AY29" s="31">
        <f t="shared" si="7"/>
        <v>783.63229328064051</v>
      </c>
      <c r="AZ29" s="31">
        <f t="shared" si="8"/>
        <v>800.86944162522434</v>
      </c>
      <c r="BA29" s="31">
        <f t="shared" si="8"/>
        <v>786.43040427015501</v>
      </c>
      <c r="BB29" s="31">
        <f t="shared" si="8"/>
        <v>765.26144315885256</v>
      </c>
      <c r="BC29" s="31">
        <f t="shared" si="8"/>
        <v>718.75893113753625</v>
      </c>
      <c r="BD29" s="31">
        <f t="shared" si="9"/>
        <v>724.51592971626701</v>
      </c>
      <c r="BE29" s="31">
        <f t="shared" si="9"/>
        <v>716.02693511868995</v>
      </c>
      <c r="BF29" s="31">
        <f t="shared" si="9"/>
        <v>733.81694405521</v>
      </c>
      <c r="BG29" s="31">
        <f t="shared" si="9"/>
        <v>730.18310399651523</v>
      </c>
      <c r="BH29" s="31">
        <f t="shared" si="9"/>
        <v>715.73471764042552</v>
      </c>
      <c r="BI29" s="31">
        <f t="shared" si="9"/>
        <v>712.90598834334651</v>
      </c>
      <c r="BJ29" s="31">
        <f t="shared" si="9"/>
        <v>720.06290163619155</v>
      </c>
      <c r="BK29" s="31">
        <f t="shared" si="9"/>
        <v>719.79134437367884</v>
      </c>
    </row>
    <row r="30" spans="1:63">
      <c r="B30" s="37">
        <v>15205</v>
      </c>
      <c r="C30" s="34">
        <f>VLOOKUP($B30,Plagioclase!$AV$7:$BA$478,2,FALSE)</f>
        <v>0.32515427018506954</v>
      </c>
      <c r="D30" s="34">
        <f>VLOOKUP($B30,Plagioclase!$AV$7:$BA$478,3,FALSE)</f>
        <v>0.63511201670339423</v>
      </c>
      <c r="E30" s="34">
        <f>VLOOKUP($B30,Plagioclase!$AV$7:$BA$478,5,FALSE)</f>
        <v>3</v>
      </c>
      <c r="F30" s="29" t="str">
        <f>VLOOKUP($B30,Plagioclase!$AV$7:$BA$478,6,FALSE)</f>
        <v>26eHP01.1</v>
      </c>
      <c r="G30" s="31">
        <f t="shared" si="10"/>
        <v>747.81734631726511</v>
      </c>
      <c r="H30" s="31">
        <f t="shared" si="10"/>
        <v>746.5554100403823</v>
      </c>
      <c r="I30" s="31">
        <f t="shared" si="10"/>
        <v>745.38388914306279</v>
      </c>
      <c r="J30" s="31">
        <f t="shared" si="10"/>
        <v>745.49357857408859</v>
      </c>
      <c r="K30" s="31">
        <f t="shared" si="10"/>
        <v>752.77064235485739</v>
      </c>
      <c r="L30" s="31">
        <f t="shared" si="10"/>
        <v>743.16542344622383</v>
      </c>
      <c r="M30" s="31">
        <f t="shared" si="10"/>
        <v>748.16633492438166</v>
      </c>
      <c r="N30" s="31">
        <f t="shared" si="10"/>
        <v>746.92206207976471</v>
      </c>
      <c r="O30" s="31">
        <f t="shared" si="10"/>
        <v>742.55490372897805</v>
      </c>
      <c r="P30" s="31">
        <f t="shared" si="10"/>
        <v>746.40108354333734</v>
      </c>
      <c r="Q30" s="31">
        <f t="shared" si="10"/>
        <v>745.53078128585071</v>
      </c>
      <c r="R30" s="31">
        <f t="shared" si="10"/>
        <v>775.36227142519931</v>
      </c>
      <c r="S30" s="31">
        <f t="shared" si="10"/>
        <v>749.17878990011343</v>
      </c>
      <c r="T30" s="31">
        <f t="shared" si="10"/>
        <v>743.33428994495864</v>
      </c>
      <c r="U30" s="31">
        <f t="shared" si="10"/>
        <v>772.34791841864865</v>
      </c>
      <c r="V30" s="31">
        <f t="shared" si="10"/>
        <v>722.00408657372054</v>
      </c>
      <c r="W30" s="31">
        <f t="shared" si="6"/>
        <v>731.79687056819864</v>
      </c>
      <c r="X30" s="31">
        <f t="shared" si="6"/>
        <v>746.12744471581993</v>
      </c>
      <c r="Y30" s="31">
        <f t="shared" si="6"/>
        <v>733.53031166309017</v>
      </c>
      <c r="Z30" s="31">
        <f t="shared" si="6"/>
        <v>754.146846628351</v>
      </c>
      <c r="AA30" s="31">
        <f t="shared" si="6"/>
        <v>723.51394715035769</v>
      </c>
      <c r="AB30" s="31">
        <f t="shared" si="6"/>
        <v>745.66989058625995</v>
      </c>
      <c r="AC30" s="31">
        <f t="shared" si="6"/>
        <v>738.65276622224371</v>
      </c>
      <c r="AD30" s="31">
        <f t="shared" si="6"/>
        <v>741.05427435502395</v>
      </c>
      <c r="AE30" s="31">
        <f t="shared" si="6"/>
        <v>749.2653560755457</v>
      </c>
      <c r="AF30" s="31">
        <f t="shared" si="6"/>
        <v>736.48390181188347</v>
      </c>
      <c r="AG30" s="31">
        <f t="shared" si="6"/>
        <v>744.91902980547559</v>
      </c>
      <c r="AH30" s="31">
        <f t="shared" si="6"/>
        <v>829.1546746166963</v>
      </c>
      <c r="AI30" s="31">
        <f t="shared" si="6"/>
        <v>820.31500653809337</v>
      </c>
      <c r="AJ30" s="31">
        <f t="shared" si="6"/>
        <v>834.39116545874947</v>
      </c>
      <c r="AK30" s="31">
        <f t="shared" si="6"/>
        <v>739.8685890966957</v>
      </c>
      <c r="AL30" s="31">
        <f t="shared" si="6"/>
        <v>837.50548340934745</v>
      </c>
      <c r="AM30" s="31">
        <f t="shared" si="7"/>
        <v>828.35751659152913</v>
      </c>
      <c r="AN30" s="31">
        <f t="shared" si="7"/>
        <v>834.46275412625744</v>
      </c>
      <c r="AO30" s="31">
        <f t="shared" si="7"/>
        <v>843.44962806536671</v>
      </c>
      <c r="AP30" s="31">
        <f t="shared" si="7"/>
        <v>822.21838194975442</v>
      </c>
      <c r="AQ30" s="31">
        <f t="shared" si="7"/>
        <v>830.65492585236473</v>
      </c>
      <c r="AR30" s="31">
        <f t="shared" si="7"/>
        <v>746.88530210286865</v>
      </c>
      <c r="AS30" s="31">
        <f t="shared" si="7"/>
        <v>755.34352500031162</v>
      </c>
      <c r="AT30" s="31">
        <f t="shared" si="7"/>
        <v>775.24828963315883</v>
      </c>
      <c r="AU30" s="31">
        <f t="shared" si="7"/>
        <v>763.2287662249804</v>
      </c>
      <c r="AV30" s="31">
        <f t="shared" si="7"/>
        <v>814.09928872822832</v>
      </c>
      <c r="AW30" s="31">
        <f t="shared" si="7"/>
        <v>801.89748996438163</v>
      </c>
      <c r="AX30" s="31">
        <f t="shared" si="7"/>
        <v>796.30151488133777</v>
      </c>
      <c r="AY30" s="31">
        <f t="shared" si="7"/>
        <v>811.07954506720023</v>
      </c>
      <c r="AZ30" s="31">
        <f t="shared" si="8"/>
        <v>828.32049055707455</v>
      </c>
      <c r="BA30" s="31">
        <f t="shared" si="8"/>
        <v>813.58356874597609</v>
      </c>
      <c r="BB30" s="31">
        <f t="shared" si="8"/>
        <v>791.72618699235443</v>
      </c>
      <c r="BC30" s="31">
        <f t="shared" si="8"/>
        <v>745.28208898874846</v>
      </c>
      <c r="BD30" s="31">
        <f t="shared" si="9"/>
        <v>750.85891358952256</v>
      </c>
      <c r="BE30" s="31">
        <f t="shared" si="9"/>
        <v>742.7193832992383</v>
      </c>
      <c r="BF30" s="31">
        <f t="shared" si="9"/>
        <v>760.30166773008193</v>
      </c>
      <c r="BG30" s="31">
        <f t="shared" si="9"/>
        <v>756.37857730114035</v>
      </c>
      <c r="BH30" s="31">
        <f t="shared" si="9"/>
        <v>741.91661469348401</v>
      </c>
      <c r="BI30" s="31">
        <f t="shared" si="9"/>
        <v>739.56112345992165</v>
      </c>
      <c r="BJ30" s="31">
        <f t="shared" si="9"/>
        <v>746.56412633742389</v>
      </c>
      <c r="BK30" s="31">
        <f t="shared" si="9"/>
        <v>746.23741726202809</v>
      </c>
    </row>
    <row r="31" spans="1:63">
      <c r="B31" s="37">
        <v>15206</v>
      </c>
      <c r="C31" s="34">
        <f>VLOOKUP($B31,Plagioclase!$AV$7:$BA$478,2,FALSE)</f>
        <v>0.55414220631802724</v>
      </c>
      <c r="D31" s="34">
        <f>VLOOKUP($B31,Plagioclase!$AV$7:$BA$478,3,FALSE)</f>
        <v>0.42863213702991532</v>
      </c>
      <c r="E31" s="34">
        <f>VLOOKUP($B31,Plagioclase!$AV$7:$BA$478,5,FALSE)</f>
        <v>1.2871712887179676</v>
      </c>
      <c r="F31" s="29" t="str">
        <f>VLOOKUP($B31,Plagioclase!$AV$7:$BA$478,6,FALSE)</f>
        <v>26eHP01.2</v>
      </c>
      <c r="G31" s="31">
        <f t="shared" si="10"/>
        <v>817.13458541872194</v>
      </c>
      <c r="H31" s="31">
        <f t="shared" si="10"/>
        <v>815.87098708838323</v>
      </c>
      <c r="I31" s="31">
        <f t="shared" si="10"/>
        <v>814.39597843157765</v>
      </c>
      <c r="J31" s="31">
        <f t="shared" si="10"/>
        <v>814.2328188947082</v>
      </c>
      <c r="K31" s="31">
        <f t="shared" si="10"/>
        <v>823.20477122352338</v>
      </c>
      <c r="L31" s="31">
        <f t="shared" si="10"/>
        <v>811.2020068358039</v>
      </c>
      <c r="M31" s="31">
        <f t="shared" si="10"/>
        <v>817.8105824189139</v>
      </c>
      <c r="N31" s="31">
        <f t="shared" si="10"/>
        <v>815.01413439585792</v>
      </c>
      <c r="O31" s="31">
        <f t="shared" si="10"/>
        <v>810.8768622841045</v>
      </c>
      <c r="P31" s="31">
        <f t="shared" si="10"/>
        <v>816.01908124229874</v>
      </c>
      <c r="Q31" s="31">
        <f t="shared" si="10"/>
        <v>813.7607360999117</v>
      </c>
      <c r="R31" s="31">
        <f t="shared" si="10"/>
        <v>843.54160517761113</v>
      </c>
      <c r="S31" s="31">
        <f t="shared" si="10"/>
        <v>818.35915334756953</v>
      </c>
      <c r="T31" s="31">
        <f t="shared" si="10"/>
        <v>813.10584412154674</v>
      </c>
      <c r="U31" s="31">
        <f t="shared" si="10"/>
        <v>840.12982862394745</v>
      </c>
      <c r="V31" s="31">
        <f t="shared" si="10"/>
        <v>789.18438520050051</v>
      </c>
      <c r="W31" s="31">
        <f t="shared" ref="W31:AL37" si="11">(78.44+$E31-33.6*W$7-(66.8-2.92*W$11)*W$5+78.5*W$4+9.4*W$6)/(0.0721-$C$6*LN((27*W$7*W$3*$C31)/(64*W$8*W$4*$D31)))-273.15</f>
        <v>798.88305843912406</v>
      </c>
      <c r="X31" s="31">
        <f t="shared" si="11"/>
        <v>815.34905195782801</v>
      </c>
      <c r="Y31" s="31">
        <f t="shared" si="11"/>
        <v>799.85930119597253</v>
      </c>
      <c r="Z31" s="31">
        <f t="shared" si="11"/>
        <v>823.57664236893436</v>
      </c>
      <c r="AA31" s="31">
        <f t="shared" si="11"/>
        <v>791.6695577085726</v>
      </c>
      <c r="AB31" s="31">
        <f t="shared" si="11"/>
        <v>815.19643241136521</v>
      </c>
      <c r="AC31" s="31">
        <f t="shared" si="11"/>
        <v>806.86730538429549</v>
      </c>
      <c r="AD31" s="31">
        <f t="shared" si="11"/>
        <v>809.10859870623619</v>
      </c>
      <c r="AE31" s="31">
        <f t="shared" si="11"/>
        <v>816.76976972423824</v>
      </c>
      <c r="AF31" s="31">
        <f t="shared" si="11"/>
        <v>804.98573150004961</v>
      </c>
      <c r="AG31" s="31">
        <f t="shared" si="11"/>
        <v>814.18834610728175</v>
      </c>
      <c r="AH31" s="31">
        <f t="shared" si="11"/>
        <v>899.90888189448185</v>
      </c>
      <c r="AI31" s="31">
        <f t="shared" si="11"/>
        <v>889.88849979162626</v>
      </c>
      <c r="AJ31" s="31">
        <f t="shared" si="11"/>
        <v>905.99301170519846</v>
      </c>
      <c r="AK31" s="31">
        <f t="shared" si="11"/>
        <v>809.45611814332949</v>
      </c>
      <c r="AL31" s="31">
        <f t="shared" si="11"/>
        <v>908.8106028222893</v>
      </c>
      <c r="AM31" s="31">
        <f t="shared" ref="AM31:AY37" si="12">(78.44+$E31-33.6*AM$7-(66.8-2.92*AM$11)*AM$5+78.5*AM$4+9.4*AM$6)/(0.0721-$C$6*LN((27*AM$7*AM$3*$C31)/(64*AM$8*AM$4*$D31)))-273.15</f>
        <v>898.20125588775738</v>
      </c>
      <c r="AN31" s="31">
        <f t="shared" si="12"/>
        <v>905.88019604355634</v>
      </c>
      <c r="AO31" s="31">
        <f t="shared" si="12"/>
        <v>916.35998345022438</v>
      </c>
      <c r="AP31" s="31">
        <f t="shared" si="12"/>
        <v>893.66563365745367</v>
      </c>
      <c r="AQ31" s="31">
        <f t="shared" si="12"/>
        <v>900.29351052329741</v>
      </c>
      <c r="AR31" s="31">
        <f t="shared" si="12"/>
        <v>815.47660464527837</v>
      </c>
      <c r="AS31" s="31">
        <f t="shared" si="12"/>
        <v>825.76743627950179</v>
      </c>
      <c r="AT31" s="31">
        <f t="shared" si="12"/>
        <v>845.56647342520489</v>
      </c>
      <c r="AU31" s="31">
        <f t="shared" si="12"/>
        <v>832.15744405840894</v>
      </c>
      <c r="AV31" s="31">
        <f t="shared" si="12"/>
        <v>881.52949284470662</v>
      </c>
      <c r="AW31" s="31">
        <f t="shared" si="12"/>
        <v>871.62295757698587</v>
      </c>
      <c r="AX31" s="31">
        <f t="shared" si="12"/>
        <v>866.10385141020413</v>
      </c>
      <c r="AY31" s="31">
        <f t="shared" si="12"/>
        <v>882.2937704257871</v>
      </c>
      <c r="AZ31" s="31">
        <f t="shared" ref="AZ31:BC37" si="13">(78.44+$E31-33.6*AZ$7-(66.8-2.92*AZ$11)*AZ$5+78.5*AZ$4+9.4*AZ$6)/(0.0721-$C$6*LN((27*AZ$7*AZ$3*$C31)/(64*AZ$8*AZ$4*$D31)))-273.15</f>
        <v>899.70957029987733</v>
      </c>
      <c r="BA31" s="31">
        <f t="shared" si="13"/>
        <v>883.97534834929331</v>
      </c>
      <c r="BB31" s="31">
        <f t="shared" si="13"/>
        <v>859.93116410365121</v>
      </c>
      <c r="BC31" s="31">
        <f t="shared" si="13"/>
        <v>813.16765722090747</v>
      </c>
      <c r="BD31" s="31">
        <f t="shared" ref="BD31:BK37" si="14">(78.44+$E31-33.6*BD$7-(66.8-2.92*BD$11)*BD$5+78.5*BD$4+9.4*BD$6)/(0.0721-$C$6*LN((27*BD$7*BD$3*$C31)/(64*BD$8*BD$4*$D31)))-273.15</f>
        <v>818.29186676890401</v>
      </c>
      <c r="BE31" s="31">
        <f t="shared" si="14"/>
        <v>811.05978630067091</v>
      </c>
      <c r="BF31" s="31">
        <f t="shared" si="14"/>
        <v>828.24015220516787</v>
      </c>
      <c r="BG31" s="31">
        <f t="shared" si="14"/>
        <v>823.45100785799525</v>
      </c>
      <c r="BH31" s="31">
        <f t="shared" si="14"/>
        <v>808.7933271408582</v>
      </c>
      <c r="BI31" s="31">
        <f t="shared" si="14"/>
        <v>807.75985547376774</v>
      </c>
      <c r="BJ31" s="31">
        <f t="shared" si="14"/>
        <v>814.40122947778048</v>
      </c>
      <c r="BK31" s="31">
        <f t="shared" si="14"/>
        <v>813.91370027214441</v>
      </c>
    </row>
    <row r="32" spans="1:63">
      <c r="B32" s="37">
        <v>15207</v>
      </c>
      <c r="C32" s="34">
        <f>VLOOKUP($B32,Plagioclase!$AV$7:$BA$478,2,FALSE)</f>
        <v>0.57140913836662277</v>
      </c>
      <c r="D32" s="34">
        <f>VLOOKUP($B32,Plagioclase!$AV$7:$BA$478,3,FALSE)</f>
        <v>0.41377383646475097</v>
      </c>
      <c r="E32" s="34">
        <f>VLOOKUP($B32,Plagioclase!$AV$7:$BA$478,5,FALSE)</f>
        <v>0.93057207515402318</v>
      </c>
      <c r="F32" s="29" t="str">
        <f>VLOOKUP($B32,Plagioclase!$AV$7:$BA$478,6,FALSE)</f>
        <v>26eHP01.3</v>
      </c>
      <c r="G32" s="31">
        <f t="shared" si="10"/>
        <v>819.87174298602406</v>
      </c>
      <c r="H32" s="31">
        <f t="shared" si="10"/>
        <v>818.60456633489196</v>
      </c>
      <c r="I32" s="31">
        <f t="shared" si="10"/>
        <v>817.11238312609782</v>
      </c>
      <c r="J32" s="31">
        <f t="shared" si="10"/>
        <v>816.93703321859277</v>
      </c>
      <c r="K32" s="31">
        <f t="shared" si="10"/>
        <v>826.00718440881576</v>
      </c>
      <c r="L32" s="31">
        <f t="shared" si="10"/>
        <v>813.86769692341261</v>
      </c>
      <c r="M32" s="31">
        <f t="shared" si="10"/>
        <v>820.56374706772237</v>
      </c>
      <c r="N32" s="31">
        <f t="shared" si="10"/>
        <v>817.69268527594761</v>
      </c>
      <c r="O32" s="31">
        <f t="shared" si="10"/>
        <v>813.55386887450356</v>
      </c>
      <c r="P32" s="31">
        <f t="shared" si="10"/>
        <v>818.76612320445236</v>
      </c>
      <c r="Q32" s="31">
        <f t="shared" si="10"/>
        <v>816.44176770088109</v>
      </c>
      <c r="R32" s="31">
        <f t="shared" si="10"/>
        <v>846.29937799314223</v>
      </c>
      <c r="S32" s="31">
        <f t="shared" si="10"/>
        <v>821.09378260564711</v>
      </c>
      <c r="T32" s="31">
        <f t="shared" si="10"/>
        <v>815.85134065291015</v>
      </c>
      <c r="U32" s="31">
        <f t="shared" si="10"/>
        <v>842.86140613802934</v>
      </c>
      <c r="V32" s="31">
        <f t="shared" ref="V32:AK38" si="15">(78.44+$E32-33.6*V$7-(66.8-2.92*V$11)*V$5+78.5*V$4+9.4*V$6)/(0.0721-$C$6*LN((27*V$7*V$3*$C32)/(64*V$8*V$4*$D32)))-273.15</f>
        <v>791.75169139870707</v>
      </c>
      <c r="W32" s="31">
        <f t="shared" si="11"/>
        <v>801.47403773074723</v>
      </c>
      <c r="X32" s="31">
        <f t="shared" si="11"/>
        <v>818.07712885237686</v>
      </c>
      <c r="Y32" s="31">
        <f t="shared" si="11"/>
        <v>802.42107772107022</v>
      </c>
      <c r="Z32" s="31">
        <f t="shared" si="11"/>
        <v>826.33639442723063</v>
      </c>
      <c r="AA32" s="31">
        <f t="shared" si="11"/>
        <v>794.2849357345134</v>
      </c>
      <c r="AB32" s="31">
        <f t="shared" si="11"/>
        <v>817.93723154750967</v>
      </c>
      <c r="AC32" s="31">
        <f t="shared" si="11"/>
        <v>809.52854548404673</v>
      </c>
      <c r="AD32" s="31">
        <f t="shared" si="11"/>
        <v>811.76924986148254</v>
      </c>
      <c r="AE32" s="31">
        <f t="shared" si="11"/>
        <v>819.42785178929319</v>
      </c>
      <c r="AF32" s="31">
        <f t="shared" si="11"/>
        <v>807.65392644958672</v>
      </c>
      <c r="AG32" s="31">
        <f t="shared" si="11"/>
        <v>816.91524639295142</v>
      </c>
      <c r="AH32" s="31">
        <f t="shared" si="11"/>
        <v>902.920057551789</v>
      </c>
      <c r="AI32" s="31">
        <f t="shared" si="11"/>
        <v>892.8220400891322</v>
      </c>
      <c r="AJ32" s="31">
        <f t="shared" si="11"/>
        <v>909.05758844643458</v>
      </c>
      <c r="AK32" s="31">
        <f t="shared" si="11"/>
        <v>812.1833871217915</v>
      </c>
      <c r="AL32" s="31">
        <f t="shared" si="11"/>
        <v>911.86784395485677</v>
      </c>
      <c r="AM32" s="31">
        <f t="shared" si="12"/>
        <v>901.16645796436876</v>
      </c>
      <c r="AN32" s="31">
        <f t="shared" si="12"/>
        <v>908.93593412486723</v>
      </c>
      <c r="AO32" s="31">
        <f t="shared" si="12"/>
        <v>919.50963955197096</v>
      </c>
      <c r="AP32" s="31">
        <f t="shared" si="12"/>
        <v>896.69417905189778</v>
      </c>
      <c r="AQ32" s="31">
        <f t="shared" si="12"/>
        <v>903.25404177414532</v>
      </c>
      <c r="AR32" s="31">
        <f t="shared" si="12"/>
        <v>818.17788935457304</v>
      </c>
      <c r="AS32" s="31">
        <f t="shared" si="12"/>
        <v>828.57648365737543</v>
      </c>
      <c r="AT32" s="31">
        <f t="shared" si="12"/>
        <v>848.42403263218455</v>
      </c>
      <c r="AU32" s="31">
        <f t="shared" si="12"/>
        <v>834.91845876589616</v>
      </c>
      <c r="AV32" s="31">
        <f t="shared" si="12"/>
        <v>884.34603692639405</v>
      </c>
      <c r="AW32" s="31">
        <f t="shared" si="12"/>
        <v>874.51983228463257</v>
      </c>
      <c r="AX32" s="31">
        <f t="shared" si="12"/>
        <v>868.99063272356386</v>
      </c>
      <c r="AY32" s="31">
        <f t="shared" si="12"/>
        <v>885.28431571690737</v>
      </c>
      <c r="AZ32" s="31">
        <f t="shared" si="13"/>
        <v>902.74966268029095</v>
      </c>
      <c r="BA32" s="31">
        <f t="shared" si="13"/>
        <v>886.93235000562947</v>
      </c>
      <c r="BB32" s="31">
        <f t="shared" si="13"/>
        <v>862.73111698616674</v>
      </c>
      <c r="BC32" s="31">
        <f t="shared" si="13"/>
        <v>815.83228862733461</v>
      </c>
      <c r="BD32" s="31">
        <f t="shared" si="14"/>
        <v>820.9509804632022</v>
      </c>
      <c r="BE32" s="31">
        <f t="shared" si="14"/>
        <v>813.73809038213983</v>
      </c>
      <c r="BF32" s="31">
        <f t="shared" si="14"/>
        <v>830.9476392759467</v>
      </c>
      <c r="BG32" s="31">
        <f t="shared" si="14"/>
        <v>826.10833628324042</v>
      </c>
      <c r="BH32" s="31">
        <f t="shared" si="14"/>
        <v>811.40289295742912</v>
      </c>
      <c r="BI32" s="31">
        <f t="shared" si="14"/>
        <v>810.42291672616705</v>
      </c>
      <c r="BJ32" s="31">
        <f t="shared" si="14"/>
        <v>817.06715870153209</v>
      </c>
      <c r="BK32" s="31">
        <f t="shared" si="14"/>
        <v>816.57140194873034</v>
      </c>
    </row>
    <row r="33" spans="2:63">
      <c r="B33" s="37">
        <v>15208</v>
      </c>
      <c r="C33" s="34">
        <f>VLOOKUP($B33,Plagioclase!$AV$7:$BA$478,2,FALSE)</f>
        <v>0.54682468134140139</v>
      </c>
      <c r="D33" s="34">
        <f>VLOOKUP($B33,Plagioclase!$AV$7:$BA$478,3,FALSE)</f>
        <v>0.43655017976961641</v>
      </c>
      <c r="E33" s="34">
        <f>VLOOKUP($B33,Plagioclase!$AV$7:$BA$478,5,FALSE)</f>
        <v>1.4772043144707938</v>
      </c>
      <c r="F33" s="29" t="str">
        <f>VLOOKUP($B33,Plagioclase!$AV$7:$BA$478,6,FALSE)</f>
        <v>26eHP01.4</v>
      </c>
      <c r="G33" s="31">
        <f t="shared" ref="G33:V39" si="16">(78.44+$E33-33.6*G$7-(66.8-2.92*G$11)*G$5+78.5*G$4+9.4*G$6)/(0.0721-$C$6*LN((27*G$7*G$3*$C33)/(64*G$8*G$4*$D33)))-273.15</f>
        <v>816.05135517189467</v>
      </c>
      <c r="H33" s="31">
        <f t="shared" si="16"/>
        <v>814.78980943403906</v>
      </c>
      <c r="I33" s="31">
        <f t="shared" si="16"/>
        <v>813.32228973714484</v>
      </c>
      <c r="J33" s="31">
        <f t="shared" si="16"/>
        <v>813.16398865374219</v>
      </c>
      <c r="K33" s="31">
        <f t="shared" si="16"/>
        <v>822.09280837750077</v>
      </c>
      <c r="L33" s="31">
        <f t="shared" si="16"/>
        <v>810.14981088867978</v>
      </c>
      <c r="M33" s="31">
        <f t="shared" si="16"/>
        <v>816.72072700148794</v>
      </c>
      <c r="N33" s="31">
        <f t="shared" si="16"/>
        <v>813.95495992373105</v>
      </c>
      <c r="O33" s="31">
        <f t="shared" si="16"/>
        <v>809.82040749967553</v>
      </c>
      <c r="P33" s="31">
        <f t="shared" si="16"/>
        <v>814.93255101373063</v>
      </c>
      <c r="Q33" s="31">
        <f t="shared" si="16"/>
        <v>812.70122687384116</v>
      </c>
      <c r="R33" s="31">
        <f t="shared" si="16"/>
        <v>842.43740183806597</v>
      </c>
      <c r="S33" s="31">
        <f t="shared" si="16"/>
        <v>817.27628852933196</v>
      </c>
      <c r="T33" s="31">
        <f t="shared" si="16"/>
        <v>812.02143667204598</v>
      </c>
      <c r="U33" s="31">
        <f t="shared" si="16"/>
        <v>839.03759152545001</v>
      </c>
      <c r="V33" s="31">
        <f t="shared" si="15"/>
        <v>788.18212423302214</v>
      </c>
      <c r="W33" s="31">
        <f t="shared" si="11"/>
        <v>797.86640734939886</v>
      </c>
      <c r="X33" s="31">
        <f t="shared" si="11"/>
        <v>814.27029949508676</v>
      </c>
      <c r="Y33" s="31">
        <f t="shared" si="11"/>
        <v>798.8534990816803</v>
      </c>
      <c r="Z33" s="31">
        <f t="shared" si="11"/>
        <v>822.48126633278491</v>
      </c>
      <c r="AA33" s="31">
        <f t="shared" si="11"/>
        <v>790.64732691450229</v>
      </c>
      <c r="AB33" s="31">
        <f t="shared" si="11"/>
        <v>814.11277442765493</v>
      </c>
      <c r="AC33" s="31">
        <f t="shared" si="11"/>
        <v>805.81909176433385</v>
      </c>
      <c r="AD33" s="31">
        <f t="shared" si="11"/>
        <v>808.05945061027285</v>
      </c>
      <c r="AE33" s="31">
        <f t="shared" si="11"/>
        <v>815.71773829398114</v>
      </c>
      <c r="AF33" s="31">
        <f t="shared" si="11"/>
        <v>803.93579310874441</v>
      </c>
      <c r="AG33" s="31">
        <f t="shared" si="11"/>
        <v>813.11065432376006</v>
      </c>
      <c r="AH33" s="31">
        <f t="shared" si="11"/>
        <v>898.67876930900582</v>
      </c>
      <c r="AI33" s="31">
        <f t="shared" si="11"/>
        <v>888.69384321327277</v>
      </c>
      <c r="AJ33" s="31">
        <f t="shared" si="11"/>
        <v>904.73880542281529</v>
      </c>
      <c r="AK33" s="31">
        <f t="shared" si="11"/>
        <v>808.38076016679008</v>
      </c>
      <c r="AL33" s="31">
        <f t="shared" si="11"/>
        <v>907.5582529973434</v>
      </c>
      <c r="AM33" s="31">
        <f t="shared" si="12"/>
        <v>896.99044672045522</v>
      </c>
      <c r="AN33" s="31">
        <f t="shared" si="12"/>
        <v>904.62962149713655</v>
      </c>
      <c r="AO33" s="31">
        <f t="shared" si="12"/>
        <v>915.06706887989947</v>
      </c>
      <c r="AP33" s="31">
        <f t="shared" si="12"/>
        <v>892.43104419080862</v>
      </c>
      <c r="AQ33" s="31">
        <f t="shared" si="12"/>
        <v>899.08376313737483</v>
      </c>
      <c r="AR33" s="31">
        <f t="shared" si="12"/>
        <v>814.40828574285808</v>
      </c>
      <c r="AS33" s="31">
        <f t="shared" si="12"/>
        <v>824.65155822984536</v>
      </c>
      <c r="AT33" s="31">
        <f t="shared" si="12"/>
        <v>844.42171091929333</v>
      </c>
      <c r="AU33" s="31">
        <f t="shared" si="12"/>
        <v>831.05733540880613</v>
      </c>
      <c r="AV33" s="31">
        <f t="shared" si="12"/>
        <v>880.38541369386724</v>
      </c>
      <c r="AW33" s="31">
        <f t="shared" si="12"/>
        <v>870.45071706887245</v>
      </c>
      <c r="AX33" s="31">
        <f t="shared" si="12"/>
        <v>864.93806127236337</v>
      </c>
      <c r="AY33" s="31">
        <f t="shared" si="12"/>
        <v>881.07929889715899</v>
      </c>
      <c r="AZ33" s="31">
        <f t="shared" si="13"/>
        <v>898.46782656458265</v>
      </c>
      <c r="BA33" s="31">
        <f t="shared" si="13"/>
        <v>882.77367346460994</v>
      </c>
      <c r="BB33" s="31">
        <f t="shared" si="13"/>
        <v>858.80280811326622</v>
      </c>
      <c r="BC33" s="31">
        <f t="shared" si="13"/>
        <v>812.11487212643726</v>
      </c>
      <c r="BD33" s="31">
        <f t="shared" si="14"/>
        <v>817.23867397671631</v>
      </c>
      <c r="BE33" s="31">
        <f t="shared" si="14"/>
        <v>810.0027297257119</v>
      </c>
      <c r="BF33" s="31">
        <f t="shared" si="14"/>
        <v>827.16306089885313</v>
      </c>
      <c r="BG33" s="31">
        <f t="shared" si="14"/>
        <v>822.39599096357222</v>
      </c>
      <c r="BH33" s="31">
        <f t="shared" si="14"/>
        <v>807.76430449331644</v>
      </c>
      <c r="BI33" s="31">
        <f t="shared" si="14"/>
        <v>806.71046549732148</v>
      </c>
      <c r="BJ33" s="31">
        <f t="shared" si="14"/>
        <v>813.34731084939165</v>
      </c>
      <c r="BK33" s="31">
        <f t="shared" si="14"/>
        <v>812.86325120804543</v>
      </c>
    </row>
    <row r="34" spans="2:63">
      <c r="B34" s="37">
        <v>15209</v>
      </c>
      <c r="C34" s="34">
        <f>VLOOKUP($B34,Plagioclase!$AV$7:$BA$478,2,FALSE)</f>
        <v>0.51297554980024096</v>
      </c>
      <c r="D34" s="34">
        <f>VLOOKUP($B34,Plagioclase!$AV$7:$BA$478,3,FALSE)</f>
        <v>0.4680237904836127</v>
      </c>
      <c r="E34" s="34">
        <f>VLOOKUP($B34,Plagioclase!$AV$7:$BA$478,5,FALSE)</f>
        <v>2.2325709716067048</v>
      </c>
      <c r="F34" s="29" t="str">
        <f>VLOOKUP($B34,Plagioclase!$AV$7:$BA$478,6,FALSE)</f>
        <v>26eHP01.5</v>
      </c>
      <c r="G34" s="31">
        <f t="shared" si="16"/>
        <v>811.01529958936283</v>
      </c>
      <c r="H34" s="31">
        <f t="shared" si="16"/>
        <v>809.76159053845242</v>
      </c>
      <c r="I34" s="31">
        <f t="shared" si="16"/>
        <v>808.32655297368785</v>
      </c>
      <c r="J34" s="31">
        <f t="shared" si="16"/>
        <v>808.19031889235987</v>
      </c>
      <c r="K34" s="31">
        <f t="shared" si="16"/>
        <v>816.93276046095605</v>
      </c>
      <c r="L34" s="31">
        <f t="shared" si="16"/>
        <v>805.24866923403067</v>
      </c>
      <c r="M34" s="31">
        <f t="shared" si="16"/>
        <v>811.65517171602608</v>
      </c>
      <c r="N34" s="31">
        <f t="shared" si="16"/>
        <v>809.02651927355589</v>
      </c>
      <c r="O34" s="31">
        <f t="shared" si="16"/>
        <v>804.89931588146749</v>
      </c>
      <c r="P34" s="31">
        <f t="shared" si="16"/>
        <v>809.87999854622797</v>
      </c>
      <c r="Q34" s="31">
        <f t="shared" si="16"/>
        <v>807.7697088533738</v>
      </c>
      <c r="R34" s="31">
        <f t="shared" si="16"/>
        <v>837.33626043550169</v>
      </c>
      <c r="S34" s="31">
        <f t="shared" si="16"/>
        <v>812.24341341322963</v>
      </c>
      <c r="T34" s="31">
        <f t="shared" si="16"/>
        <v>806.97495555836679</v>
      </c>
      <c r="U34" s="31">
        <f t="shared" si="16"/>
        <v>833.98722121321464</v>
      </c>
      <c r="V34" s="31">
        <f t="shared" si="15"/>
        <v>783.48228814172637</v>
      </c>
      <c r="W34" s="31">
        <f t="shared" si="11"/>
        <v>793.11304187393705</v>
      </c>
      <c r="X34" s="31">
        <f t="shared" si="11"/>
        <v>809.25254297392701</v>
      </c>
      <c r="Y34" s="31">
        <f t="shared" si="11"/>
        <v>794.15136714064499</v>
      </c>
      <c r="Z34" s="31">
        <f t="shared" si="11"/>
        <v>817.39749084290531</v>
      </c>
      <c r="AA34" s="31">
        <f t="shared" si="11"/>
        <v>785.85867347588521</v>
      </c>
      <c r="AB34" s="31">
        <f t="shared" si="11"/>
        <v>809.07235304550488</v>
      </c>
      <c r="AC34" s="31">
        <f t="shared" si="11"/>
        <v>800.93078163862072</v>
      </c>
      <c r="AD34" s="31">
        <f t="shared" si="11"/>
        <v>803.16968130729185</v>
      </c>
      <c r="AE34" s="31">
        <f t="shared" si="11"/>
        <v>810.82417953866695</v>
      </c>
      <c r="AF34" s="31">
        <f t="shared" si="11"/>
        <v>799.03715183308861</v>
      </c>
      <c r="AG34" s="31">
        <f t="shared" si="11"/>
        <v>808.09631184668012</v>
      </c>
      <c r="AH34" s="31">
        <f t="shared" si="11"/>
        <v>893.06413023795915</v>
      </c>
      <c r="AI34" s="31">
        <f t="shared" si="11"/>
        <v>883.22967850342013</v>
      </c>
      <c r="AJ34" s="31">
        <f t="shared" si="11"/>
        <v>899.02134243306011</v>
      </c>
      <c r="AK34" s="31">
        <f t="shared" si="11"/>
        <v>803.37113449766014</v>
      </c>
      <c r="AL34" s="31">
        <f t="shared" si="11"/>
        <v>901.85166881204748</v>
      </c>
      <c r="AM34" s="31">
        <f t="shared" si="12"/>
        <v>891.46115607494687</v>
      </c>
      <c r="AN34" s="31">
        <f t="shared" si="12"/>
        <v>898.92838088072529</v>
      </c>
      <c r="AO34" s="31">
        <f t="shared" si="12"/>
        <v>909.18510807990208</v>
      </c>
      <c r="AP34" s="31">
        <f t="shared" si="12"/>
        <v>886.79044076204616</v>
      </c>
      <c r="AQ34" s="31">
        <f t="shared" si="12"/>
        <v>893.56115131982835</v>
      </c>
      <c r="AR34" s="31">
        <f t="shared" si="12"/>
        <v>809.43849747907905</v>
      </c>
      <c r="AS34" s="31">
        <f t="shared" si="12"/>
        <v>819.47673596688003</v>
      </c>
      <c r="AT34" s="31">
        <f t="shared" si="12"/>
        <v>839.1382346405627</v>
      </c>
      <c r="AU34" s="31">
        <f t="shared" si="12"/>
        <v>825.96206365629666</v>
      </c>
      <c r="AV34" s="31">
        <f t="shared" si="12"/>
        <v>875.14182046538406</v>
      </c>
      <c r="AW34" s="31">
        <f t="shared" si="12"/>
        <v>865.07013760139864</v>
      </c>
      <c r="AX34" s="31">
        <f t="shared" si="12"/>
        <v>859.58109467605971</v>
      </c>
      <c r="AY34" s="31">
        <f t="shared" si="12"/>
        <v>875.51845254205671</v>
      </c>
      <c r="AZ34" s="31">
        <f t="shared" si="13"/>
        <v>892.80066145114608</v>
      </c>
      <c r="BA34" s="31">
        <f t="shared" si="13"/>
        <v>877.27222131612837</v>
      </c>
      <c r="BB34" s="31">
        <f t="shared" si="13"/>
        <v>853.60923683196381</v>
      </c>
      <c r="BC34" s="31">
        <f t="shared" si="13"/>
        <v>807.21346240182481</v>
      </c>
      <c r="BD34" s="31">
        <f t="shared" si="14"/>
        <v>812.34162457686568</v>
      </c>
      <c r="BE34" s="31">
        <f t="shared" si="14"/>
        <v>805.07910548318944</v>
      </c>
      <c r="BF34" s="31">
        <f t="shared" si="14"/>
        <v>822.16837626423137</v>
      </c>
      <c r="BG34" s="31">
        <f t="shared" si="14"/>
        <v>817.49669426510297</v>
      </c>
      <c r="BH34" s="31">
        <f t="shared" si="14"/>
        <v>802.96658013313197</v>
      </c>
      <c r="BI34" s="31">
        <f t="shared" si="14"/>
        <v>801.81788418581334</v>
      </c>
      <c r="BJ34" s="31">
        <f t="shared" si="14"/>
        <v>808.44221806799885</v>
      </c>
      <c r="BK34" s="31">
        <f t="shared" si="14"/>
        <v>807.97347354799751</v>
      </c>
    </row>
    <row r="35" spans="2:63">
      <c r="B35" s="37">
        <v>15210</v>
      </c>
      <c r="C35" s="34">
        <f>VLOOKUP($B35,Plagioclase!$AV$7:$BA$478,2,FALSE)</f>
        <v>0.27275981885831463</v>
      </c>
      <c r="D35" s="34">
        <f>VLOOKUP($B35,Plagioclase!$AV$7:$BA$478,3,FALSE)</f>
        <v>0.67759226435650954</v>
      </c>
      <c r="E35" s="34">
        <f>VLOOKUP($B35,Plagioclase!$AV$7:$BA$478,5,FALSE)</f>
        <v>3</v>
      </c>
      <c r="F35" s="29" t="str">
        <f>VLOOKUP($B35,Plagioclase!$AV$7:$BA$478,6,FALSE)</f>
        <v>26eHP01.6</v>
      </c>
      <c r="G35" s="31">
        <f t="shared" si="16"/>
        <v>727.08053444182087</v>
      </c>
      <c r="H35" s="31">
        <f t="shared" si="16"/>
        <v>725.81513251792126</v>
      </c>
      <c r="I35" s="31">
        <f t="shared" si="16"/>
        <v>724.721851883863</v>
      </c>
      <c r="J35" s="31">
        <f t="shared" si="16"/>
        <v>724.90556003434301</v>
      </c>
      <c r="K35" s="31">
        <f t="shared" si="16"/>
        <v>731.74840331568896</v>
      </c>
      <c r="L35" s="31">
        <f t="shared" si="16"/>
        <v>722.76016275912764</v>
      </c>
      <c r="M35" s="31">
        <f t="shared" si="16"/>
        <v>727.34245960582859</v>
      </c>
      <c r="N35" s="31">
        <f t="shared" si="16"/>
        <v>726.51345494507132</v>
      </c>
      <c r="O35" s="31">
        <f t="shared" si="16"/>
        <v>722.07051689290881</v>
      </c>
      <c r="P35" s="31">
        <f t="shared" si="16"/>
        <v>725.57880339134385</v>
      </c>
      <c r="Q35" s="31">
        <f t="shared" si="16"/>
        <v>725.08055421193217</v>
      </c>
      <c r="R35" s="31">
        <f t="shared" si="16"/>
        <v>755.0153241154743</v>
      </c>
      <c r="S35" s="31">
        <f t="shared" si="16"/>
        <v>728.48310569519799</v>
      </c>
      <c r="T35" s="31">
        <f t="shared" si="16"/>
        <v>722.46107144880648</v>
      </c>
      <c r="U35" s="31">
        <f t="shared" si="16"/>
        <v>752.09969054666328</v>
      </c>
      <c r="V35" s="31">
        <f t="shared" si="15"/>
        <v>701.76340720896155</v>
      </c>
      <c r="W35" s="31">
        <f t="shared" si="11"/>
        <v>711.61338712587258</v>
      </c>
      <c r="X35" s="31">
        <f t="shared" si="11"/>
        <v>725.41118316055235</v>
      </c>
      <c r="Y35" s="31">
        <f t="shared" si="11"/>
        <v>713.55817622304312</v>
      </c>
      <c r="Z35" s="31">
        <f t="shared" si="11"/>
        <v>733.39915477246996</v>
      </c>
      <c r="AA35" s="31">
        <f t="shared" si="11"/>
        <v>703.013736381949</v>
      </c>
      <c r="AB35" s="31">
        <f t="shared" si="11"/>
        <v>724.86998194718296</v>
      </c>
      <c r="AC35" s="31">
        <f t="shared" si="11"/>
        <v>718.18518662482177</v>
      </c>
      <c r="AD35" s="31">
        <f t="shared" si="11"/>
        <v>720.63760817529896</v>
      </c>
      <c r="AE35" s="31">
        <f t="shared" si="11"/>
        <v>729.02313601399408</v>
      </c>
      <c r="AF35" s="31">
        <f t="shared" si="11"/>
        <v>715.9317528216859</v>
      </c>
      <c r="AG35" s="31">
        <f t="shared" si="11"/>
        <v>724.18613757249329</v>
      </c>
      <c r="AH35" s="31">
        <f t="shared" si="11"/>
        <v>808.26258389890938</v>
      </c>
      <c r="AI35" s="31">
        <f t="shared" si="11"/>
        <v>799.71678393428272</v>
      </c>
      <c r="AJ35" s="31">
        <f t="shared" si="11"/>
        <v>813.28565414865386</v>
      </c>
      <c r="AK35" s="31">
        <f t="shared" si="11"/>
        <v>719.03405955453502</v>
      </c>
      <c r="AL35" s="31">
        <f t="shared" si="11"/>
        <v>816.48739290846595</v>
      </c>
      <c r="AM35" s="31">
        <f t="shared" si="12"/>
        <v>807.70775513657111</v>
      </c>
      <c r="AN35" s="31">
        <f t="shared" si="12"/>
        <v>813.40676864285467</v>
      </c>
      <c r="AO35" s="31">
        <f t="shared" si="12"/>
        <v>822.01790739527235</v>
      </c>
      <c r="AP35" s="31">
        <f t="shared" si="12"/>
        <v>801.12240309702077</v>
      </c>
      <c r="AQ35" s="31">
        <f t="shared" si="12"/>
        <v>810.06628601724617</v>
      </c>
      <c r="AR35" s="31">
        <f t="shared" si="12"/>
        <v>726.34157393667999</v>
      </c>
      <c r="AS35" s="31">
        <f t="shared" si="12"/>
        <v>734.33190814931629</v>
      </c>
      <c r="AT35" s="31">
        <f t="shared" si="12"/>
        <v>754.32451459648462</v>
      </c>
      <c r="AU35" s="31">
        <f t="shared" si="12"/>
        <v>742.64366851255659</v>
      </c>
      <c r="AV35" s="31">
        <f t="shared" si="12"/>
        <v>794.06277241268128</v>
      </c>
      <c r="AW35" s="31">
        <f t="shared" si="12"/>
        <v>781.20865380578391</v>
      </c>
      <c r="AX35" s="31">
        <f t="shared" si="12"/>
        <v>775.5764983149769</v>
      </c>
      <c r="AY35" s="31">
        <f t="shared" si="12"/>
        <v>790.01613268500557</v>
      </c>
      <c r="AZ35" s="31">
        <f t="shared" si="13"/>
        <v>807.25613860376382</v>
      </c>
      <c r="BA35" s="31">
        <f t="shared" si="13"/>
        <v>792.74747869338455</v>
      </c>
      <c r="BB35" s="31">
        <f t="shared" si="13"/>
        <v>771.41900675150976</v>
      </c>
      <c r="BC35" s="31">
        <f t="shared" si="13"/>
        <v>724.92430220081997</v>
      </c>
      <c r="BD35" s="31">
        <f t="shared" si="14"/>
        <v>730.6409523311346</v>
      </c>
      <c r="BE35" s="31">
        <f t="shared" si="14"/>
        <v>722.23052195044045</v>
      </c>
      <c r="BF35" s="31">
        <f t="shared" si="14"/>
        <v>739.97539758985533</v>
      </c>
      <c r="BG35" s="31">
        <f t="shared" si="14"/>
        <v>736.27517796000723</v>
      </c>
      <c r="BH35" s="31">
        <f t="shared" si="14"/>
        <v>721.8219600837964</v>
      </c>
      <c r="BI35" s="31">
        <f t="shared" si="14"/>
        <v>719.10068301357603</v>
      </c>
      <c r="BJ35" s="31">
        <f t="shared" si="14"/>
        <v>726.22343766176925</v>
      </c>
      <c r="BK35" s="31">
        <f t="shared" si="14"/>
        <v>725.93928142917559</v>
      </c>
    </row>
    <row r="36" spans="2:63">
      <c r="B36" s="37">
        <v>15217</v>
      </c>
      <c r="C36" s="34">
        <f>VLOOKUP($B36,Plagioclase!$AV$7:$BA$478,2,FALSE)</f>
        <v>0.30284364453815554</v>
      </c>
      <c r="D36" s="34">
        <f>VLOOKUP($B36,Plagioclase!$AV$7:$BA$478,3,FALSE)</f>
        <v>0.65239841730816983</v>
      </c>
      <c r="E36" s="34">
        <f>VLOOKUP($B36,Plagioclase!$AV$7:$BA$478,5,FALSE)</f>
        <v>3</v>
      </c>
      <c r="F36" s="29" t="str">
        <f>VLOOKUP($B36,Plagioclase!$AV$7:$BA$478,6,FALSE)</f>
        <v>26hHP01.1</v>
      </c>
      <c r="G36" s="31">
        <f t="shared" si="16"/>
        <v>739.26825203071257</v>
      </c>
      <c r="H36" s="31">
        <f t="shared" si="16"/>
        <v>738.00474060999488</v>
      </c>
      <c r="I36" s="31">
        <f t="shared" si="16"/>
        <v>736.86574911101548</v>
      </c>
      <c r="J36" s="31">
        <f t="shared" si="16"/>
        <v>737.00633462658834</v>
      </c>
      <c r="K36" s="31">
        <f t="shared" si="16"/>
        <v>744.10293921898494</v>
      </c>
      <c r="L36" s="31">
        <f t="shared" si="16"/>
        <v>734.75419367492964</v>
      </c>
      <c r="M36" s="31">
        <f t="shared" si="16"/>
        <v>739.58094397338039</v>
      </c>
      <c r="N36" s="31">
        <f t="shared" si="16"/>
        <v>738.50980941980561</v>
      </c>
      <c r="O36" s="31">
        <f t="shared" si="16"/>
        <v>734.11060173649037</v>
      </c>
      <c r="P36" s="31">
        <f t="shared" si="16"/>
        <v>737.81617649317684</v>
      </c>
      <c r="Q36" s="31">
        <f t="shared" si="16"/>
        <v>737.10102850139322</v>
      </c>
      <c r="R36" s="31">
        <f t="shared" si="16"/>
        <v>766.97845909201635</v>
      </c>
      <c r="S36" s="31">
        <f t="shared" si="16"/>
        <v>740.64699552974866</v>
      </c>
      <c r="T36" s="31">
        <f t="shared" si="16"/>
        <v>734.72780438672407</v>
      </c>
      <c r="U36" s="31">
        <f t="shared" si="16"/>
        <v>764.00497517522592</v>
      </c>
      <c r="V36" s="31">
        <f t="shared" si="15"/>
        <v>713.65938947995039</v>
      </c>
      <c r="W36" s="31">
        <f t="shared" si="11"/>
        <v>723.47702718343714</v>
      </c>
      <c r="X36" s="31">
        <f t="shared" si="11"/>
        <v>737.58675340406398</v>
      </c>
      <c r="Y36" s="31">
        <f t="shared" si="11"/>
        <v>725.29879551827594</v>
      </c>
      <c r="Z36" s="31">
        <f t="shared" si="11"/>
        <v>745.59385466321635</v>
      </c>
      <c r="AA36" s="31">
        <f t="shared" si="11"/>
        <v>715.06108785305605</v>
      </c>
      <c r="AB36" s="31">
        <f t="shared" si="11"/>
        <v>737.09424474666196</v>
      </c>
      <c r="AC36" s="31">
        <f t="shared" si="11"/>
        <v>730.21508309694661</v>
      </c>
      <c r="AD36" s="31">
        <f t="shared" si="11"/>
        <v>732.63807537968876</v>
      </c>
      <c r="AE36" s="31">
        <f t="shared" si="11"/>
        <v>740.92273053787642</v>
      </c>
      <c r="AF36" s="31">
        <f t="shared" si="11"/>
        <v>728.01070862824486</v>
      </c>
      <c r="AG36" s="31">
        <f t="shared" si="11"/>
        <v>736.37127468703807</v>
      </c>
      <c r="AH36" s="31">
        <f t="shared" si="11"/>
        <v>820.54857455160629</v>
      </c>
      <c r="AI36" s="31">
        <f t="shared" si="11"/>
        <v>811.83054743414925</v>
      </c>
      <c r="AJ36" s="31">
        <f t="shared" si="11"/>
        <v>825.69661356796666</v>
      </c>
      <c r="AK36" s="31">
        <f t="shared" si="11"/>
        <v>731.27789058756343</v>
      </c>
      <c r="AL36" s="31">
        <f t="shared" si="11"/>
        <v>828.84763093303002</v>
      </c>
      <c r="AM36" s="31">
        <f t="shared" si="12"/>
        <v>819.85229114737342</v>
      </c>
      <c r="AN36" s="31">
        <f t="shared" si="12"/>
        <v>825.78884362501287</v>
      </c>
      <c r="AO36" s="31">
        <f t="shared" si="12"/>
        <v>834.61996404764466</v>
      </c>
      <c r="AP36" s="31">
        <f t="shared" si="12"/>
        <v>813.52669895488236</v>
      </c>
      <c r="AQ36" s="31">
        <f t="shared" si="12"/>
        <v>822.17535491444039</v>
      </c>
      <c r="AR36" s="31">
        <f t="shared" si="12"/>
        <v>738.41667717748624</v>
      </c>
      <c r="AS36" s="31">
        <f t="shared" si="12"/>
        <v>746.68052162671518</v>
      </c>
      <c r="AT36" s="31">
        <f t="shared" si="12"/>
        <v>766.6239435700785</v>
      </c>
      <c r="AU36" s="31">
        <f t="shared" si="12"/>
        <v>754.74450102210915</v>
      </c>
      <c r="AV36" s="31">
        <f t="shared" si="12"/>
        <v>805.84822028181372</v>
      </c>
      <c r="AW36" s="31">
        <f t="shared" si="12"/>
        <v>793.37362745625444</v>
      </c>
      <c r="AX36" s="31">
        <f t="shared" si="12"/>
        <v>787.76205718670451</v>
      </c>
      <c r="AY36" s="31">
        <f t="shared" si="12"/>
        <v>802.40040640556924</v>
      </c>
      <c r="AZ36" s="31">
        <f t="shared" si="13"/>
        <v>819.6425425568699</v>
      </c>
      <c r="BA36" s="31">
        <f t="shared" si="13"/>
        <v>804.99940487516085</v>
      </c>
      <c r="BB36" s="31">
        <f t="shared" si="13"/>
        <v>783.36044351656699</v>
      </c>
      <c r="BC36" s="31">
        <f t="shared" si="13"/>
        <v>736.89087304235272</v>
      </c>
      <c r="BD36" s="31">
        <f t="shared" si="14"/>
        <v>742.52655841979083</v>
      </c>
      <c r="BE36" s="31">
        <f t="shared" si="14"/>
        <v>734.27323100113324</v>
      </c>
      <c r="BF36" s="31">
        <f t="shared" si="14"/>
        <v>751.92505539166075</v>
      </c>
      <c r="BG36" s="31">
        <f t="shared" si="14"/>
        <v>748.09451483797613</v>
      </c>
      <c r="BH36" s="31">
        <f t="shared" si="14"/>
        <v>733.63481689712364</v>
      </c>
      <c r="BI36" s="31">
        <f t="shared" si="14"/>
        <v>731.1265108998208</v>
      </c>
      <c r="BJ36" s="31">
        <f t="shared" si="14"/>
        <v>738.18016871065038</v>
      </c>
      <c r="BK36" s="31">
        <f t="shared" si="14"/>
        <v>737.87117631246872</v>
      </c>
    </row>
    <row r="37" spans="2:63">
      <c r="B37" s="37">
        <v>15219</v>
      </c>
      <c r="C37" s="34">
        <f>VLOOKUP($B37,Plagioclase!$AV$7:$BA$478,2,FALSE)</f>
        <v>0.27651934310710996</v>
      </c>
      <c r="D37" s="34">
        <f>VLOOKUP($B37,Plagioclase!$AV$7:$BA$478,3,FALSE)</f>
        <v>0.67295363827925314</v>
      </c>
      <c r="E37" s="34">
        <f>VLOOKUP($B37,Plagioclase!$AV$7:$BA$478,5,FALSE)</f>
        <v>3</v>
      </c>
      <c r="F37" s="29" t="str">
        <f>VLOOKUP($B37,Plagioclase!$AV$7:$BA$478,6,FALSE)</f>
        <v>26hHP02.1</v>
      </c>
      <c r="G37" s="31">
        <f t="shared" si="16"/>
        <v>728.82052144273462</v>
      </c>
      <c r="H37" s="31">
        <f t="shared" si="16"/>
        <v>727.5553638803168</v>
      </c>
      <c r="I37" s="31">
        <f t="shared" si="16"/>
        <v>726.45560503372326</v>
      </c>
      <c r="J37" s="31">
        <f t="shared" si="16"/>
        <v>726.63322317360462</v>
      </c>
      <c r="K37" s="31">
        <f t="shared" si="16"/>
        <v>733.51204282308743</v>
      </c>
      <c r="L37" s="31">
        <f t="shared" si="16"/>
        <v>724.4727033689295</v>
      </c>
      <c r="M37" s="31">
        <f t="shared" si="16"/>
        <v>729.08962399472625</v>
      </c>
      <c r="N37" s="31">
        <f t="shared" si="16"/>
        <v>728.22638955152001</v>
      </c>
      <c r="O37" s="31">
        <f t="shared" si="16"/>
        <v>723.78955367831691</v>
      </c>
      <c r="P37" s="31">
        <f t="shared" si="16"/>
        <v>727.32577882357646</v>
      </c>
      <c r="Q37" s="31">
        <f t="shared" si="16"/>
        <v>726.79687266616588</v>
      </c>
      <c r="R37" s="31">
        <f t="shared" si="16"/>
        <v>756.72404362888449</v>
      </c>
      <c r="S37" s="31">
        <f t="shared" si="16"/>
        <v>730.21975099572558</v>
      </c>
      <c r="T37" s="31">
        <f t="shared" si="16"/>
        <v>724.21213758510976</v>
      </c>
      <c r="U37" s="31">
        <f t="shared" si="16"/>
        <v>753.80018079841341</v>
      </c>
      <c r="V37" s="31">
        <f t="shared" si="15"/>
        <v>703.46171972350214</v>
      </c>
      <c r="W37" s="31">
        <f t="shared" si="11"/>
        <v>713.30730455788319</v>
      </c>
      <c r="X37" s="31">
        <f t="shared" si="11"/>
        <v>727.1494238587851</v>
      </c>
      <c r="Y37" s="31">
        <f t="shared" si="11"/>
        <v>715.23473924267853</v>
      </c>
      <c r="Z37" s="31">
        <f t="shared" si="11"/>
        <v>735.14024116696748</v>
      </c>
      <c r="AA37" s="31">
        <f t="shared" si="11"/>
        <v>704.73345581928572</v>
      </c>
      <c r="AB37" s="31">
        <f t="shared" si="11"/>
        <v>726.6150923396732</v>
      </c>
      <c r="AC37" s="31">
        <f t="shared" si="11"/>
        <v>719.90271472932659</v>
      </c>
      <c r="AD37" s="31">
        <f t="shared" si="11"/>
        <v>722.35102104619341</v>
      </c>
      <c r="AE37" s="31">
        <f t="shared" si="11"/>
        <v>730.72243669684735</v>
      </c>
      <c r="AF37" s="31">
        <f t="shared" si="11"/>
        <v>717.6561723871007</v>
      </c>
      <c r="AG37" s="31">
        <f t="shared" si="11"/>
        <v>725.92570788434841</v>
      </c>
      <c r="AH37" s="31">
        <f t="shared" si="11"/>
        <v>810.01782560179038</v>
      </c>
      <c r="AI37" s="31">
        <f t="shared" si="11"/>
        <v>801.44752308146997</v>
      </c>
      <c r="AJ37" s="31">
        <f t="shared" si="11"/>
        <v>815.05865563831242</v>
      </c>
      <c r="AK37" s="31">
        <f t="shared" si="11"/>
        <v>720.78182764047358</v>
      </c>
      <c r="AL37" s="31">
        <f t="shared" ref="AL37:AY51" si="17">(78.44+$E37-33.6*AL$7-(66.8-2.92*AL$11)*AL$5+78.5*AL$4+9.4*AL$6)/(0.0721-$C$6*LN((27*AL$7*AL$3*$C37)/(64*AL$8*AL$4*$D37)))-273.15</f>
        <v>818.25326834825398</v>
      </c>
      <c r="AM37" s="31">
        <f t="shared" si="12"/>
        <v>809.44297176571615</v>
      </c>
      <c r="AN37" s="31">
        <f t="shared" si="12"/>
        <v>815.17568552719911</v>
      </c>
      <c r="AO37" s="31">
        <f t="shared" si="12"/>
        <v>823.81808135914901</v>
      </c>
      <c r="AP37" s="31">
        <f t="shared" si="12"/>
        <v>802.89426774266155</v>
      </c>
      <c r="AQ37" s="31">
        <f t="shared" si="12"/>
        <v>811.7965189859882</v>
      </c>
      <c r="AR37" s="31">
        <f t="shared" si="12"/>
        <v>728.06563484246715</v>
      </c>
      <c r="AS37" s="31">
        <f t="shared" si="12"/>
        <v>736.09475805612908</v>
      </c>
      <c r="AT37" s="31">
        <f t="shared" si="12"/>
        <v>756.08076898721299</v>
      </c>
      <c r="AU37" s="31">
        <f t="shared" si="12"/>
        <v>744.37164969436401</v>
      </c>
      <c r="AV37" s="31">
        <f t="shared" si="12"/>
        <v>795.74695761345754</v>
      </c>
      <c r="AW37" s="31">
        <f t="shared" si="12"/>
        <v>782.94634609716525</v>
      </c>
      <c r="AX37" s="31">
        <f t="shared" si="12"/>
        <v>777.31701074148498</v>
      </c>
      <c r="AY37" s="31">
        <f t="shared" si="12"/>
        <v>791.78498474286459</v>
      </c>
      <c r="AZ37" s="31">
        <f t="shared" si="13"/>
        <v>809.02557063809775</v>
      </c>
      <c r="BA37" s="31">
        <f t="shared" si="13"/>
        <v>794.49765587734703</v>
      </c>
      <c r="BB37" s="31">
        <f t="shared" si="13"/>
        <v>773.12492119966862</v>
      </c>
      <c r="BC37" s="31">
        <f t="shared" si="13"/>
        <v>726.63299959957942</v>
      </c>
      <c r="BD37" s="31">
        <f t="shared" si="14"/>
        <v>732.33830297495183</v>
      </c>
      <c r="BE37" s="31">
        <f t="shared" si="14"/>
        <v>723.94993240270992</v>
      </c>
      <c r="BF37" s="31">
        <f t="shared" si="14"/>
        <v>741.68196160211664</v>
      </c>
      <c r="BG37" s="31">
        <f t="shared" si="14"/>
        <v>737.96325327946658</v>
      </c>
      <c r="BH37" s="31">
        <f t="shared" si="14"/>
        <v>723.50887611046858</v>
      </c>
      <c r="BI37" s="31">
        <f t="shared" si="14"/>
        <v>720.81765248368583</v>
      </c>
      <c r="BJ37" s="31">
        <f t="shared" si="14"/>
        <v>727.93076682382252</v>
      </c>
      <c r="BK37" s="31">
        <f t="shared" si="14"/>
        <v>727.643095144418</v>
      </c>
    </row>
    <row r="38" spans="2:63">
      <c r="B38" s="37">
        <v>15220</v>
      </c>
      <c r="C38" s="34">
        <f>VLOOKUP($B38,Plagioclase!$AV$7:$BA$478,2,FALSE)</f>
        <v>0.22721464434751609</v>
      </c>
      <c r="D38" s="34">
        <f>VLOOKUP($B38,Plagioclase!$AV$7:$BA$478,3,FALSE)</f>
        <v>0.7118194098774826</v>
      </c>
      <c r="E38" s="34">
        <f>VLOOKUP($B38,Plagioclase!$AV$7:$BA$478,5,FALSE)</f>
        <v>3</v>
      </c>
      <c r="F38" s="29" t="str">
        <f>VLOOKUP($B38,Plagioclase!$AV$7:$BA$478,6,FALSE)</f>
        <v>26hHP02.2</v>
      </c>
      <c r="G38" s="31">
        <f t="shared" si="16"/>
        <v>707.85782699735648</v>
      </c>
      <c r="H38" s="31">
        <f t="shared" si="16"/>
        <v>706.59029150637741</v>
      </c>
      <c r="I38" s="31">
        <f t="shared" si="16"/>
        <v>705.56752174279688</v>
      </c>
      <c r="J38" s="31">
        <f t="shared" si="16"/>
        <v>705.81703744199126</v>
      </c>
      <c r="K38" s="31">
        <f t="shared" si="16"/>
        <v>712.26801332566822</v>
      </c>
      <c r="L38" s="31">
        <f t="shared" si="16"/>
        <v>703.83611775440795</v>
      </c>
      <c r="M38" s="31">
        <f t="shared" si="16"/>
        <v>708.04201862548507</v>
      </c>
      <c r="N38" s="31">
        <f t="shared" si="16"/>
        <v>707.58367572178599</v>
      </c>
      <c r="O38" s="31">
        <f t="shared" si="16"/>
        <v>703.07645107266319</v>
      </c>
      <c r="P38" s="31">
        <f t="shared" si="16"/>
        <v>706.28112150942604</v>
      </c>
      <c r="Q38" s="31">
        <f t="shared" si="16"/>
        <v>706.11471447821441</v>
      </c>
      <c r="R38" s="31">
        <f t="shared" si="16"/>
        <v>736.12039677560222</v>
      </c>
      <c r="S38" s="31">
        <f t="shared" si="16"/>
        <v>709.29598410020981</v>
      </c>
      <c r="T38" s="31">
        <f t="shared" si="16"/>
        <v>703.12043182141258</v>
      </c>
      <c r="U38" s="31">
        <f t="shared" si="16"/>
        <v>733.2950148233399</v>
      </c>
      <c r="V38" s="31">
        <f t="shared" si="15"/>
        <v>683.00165126718377</v>
      </c>
      <c r="W38" s="31">
        <f t="shared" si="15"/>
        <v>692.89525786819149</v>
      </c>
      <c r="X38" s="31">
        <f t="shared" si="15"/>
        <v>706.20803594801203</v>
      </c>
      <c r="Y38" s="31">
        <f t="shared" si="15"/>
        <v>695.02714020169685</v>
      </c>
      <c r="Z38" s="31">
        <f t="shared" si="15"/>
        <v>714.16202784805807</v>
      </c>
      <c r="AA38" s="31">
        <f t="shared" si="15"/>
        <v>684.01999149731671</v>
      </c>
      <c r="AB38" s="31">
        <f t="shared" si="15"/>
        <v>705.59275671449518</v>
      </c>
      <c r="AC38" s="31">
        <f t="shared" si="15"/>
        <v>699.20898845181409</v>
      </c>
      <c r="AD38" s="31">
        <f t="shared" si="15"/>
        <v>701.70496081225724</v>
      </c>
      <c r="AE38" s="31">
        <f t="shared" si="15"/>
        <v>710.23998256015068</v>
      </c>
      <c r="AF38" s="31">
        <f t="shared" si="15"/>
        <v>696.88191484951869</v>
      </c>
      <c r="AG38" s="31">
        <f t="shared" si="15"/>
        <v>704.96910378352595</v>
      </c>
      <c r="AH38" s="31">
        <f t="shared" si="15"/>
        <v>788.84414448483437</v>
      </c>
      <c r="AI38" s="31">
        <f t="shared" si="15"/>
        <v>780.56713360163405</v>
      </c>
      <c r="AJ38" s="31">
        <f t="shared" si="15"/>
        <v>793.67282486457077</v>
      </c>
      <c r="AK38" s="31">
        <f t="shared" si="15"/>
        <v>699.73048558824689</v>
      </c>
      <c r="AL38" s="31">
        <f t="shared" si="17"/>
        <v>796.95072477747442</v>
      </c>
      <c r="AM38" s="31">
        <f t="shared" si="17"/>
        <v>788.50676372636565</v>
      </c>
      <c r="AN38" s="31">
        <f t="shared" si="17"/>
        <v>793.83819427430979</v>
      </c>
      <c r="AO38" s="31">
        <f t="shared" si="17"/>
        <v>802.10732697882361</v>
      </c>
      <c r="AP38" s="31">
        <f t="shared" si="17"/>
        <v>781.52626011607674</v>
      </c>
      <c r="AQ38" s="31">
        <f t="shared" si="17"/>
        <v>790.91857369955653</v>
      </c>
      <c r="AR38" s="31">
        <f t="shared" si="17"/>
        <v>707.29145585280128</v>
      </c>
      <c r="AS38" s="31">
        <f t="shared" si="17"/>
        <v>714.85900243422736</v>
      </c>
      <c r="AT38" s="31">
        <f t="shared" si="17"/>
        <v>734.91501979654345</v>
      </c>
      <c r="AU38" s="31">
        <f t="shared" si="17"/>
        <v>723.54475993641836</v>
      </c>
      <c r="AV38" s="31">
        <f t="shared" si="17"/>
        <v>775.42033905793585</v>
      </c>
      <c r="AW38" s="31">
        <f t="shared" si="17"/>
        <v>761.99015264978664</v>
      </c>
      <c r="AX38" s="31">
        <f t="shared" si="17"/>
        <v>756.32948131796422</v>
      </c>
      <c r="AY38" s="31">
        <f t="shared" si="17"/>
        <v>770.4566979703269</v>
      </c>
      <c r="AZ38" s="31">
        <f t="shared" ref="AZ38:BC51" si="18">(78.44+$E38-33.6*AZ$7-(66.8-2.92*AZ$11)*AZ$5+78.5*AZ$4+9.4*AZ$6)/(0.0721-$C$6*LN((27*AZ$7*AZ$3*$C38)/(64*AZ$8*AZ$4*$D38)))-273.15</f>
        <v>787.68416229243951</v>
      </c>
      <c r="BA38" s="31">
        <f t="shared" si="18"/>
        <v>773.38946897331846</v>
      </c>
      <c r="BB38" s="31">
        <f t="shared" si="18"/>
        <v>752.54855913426366</v>
      </c>
      <c r="BC38" s="31">
        <f t="shared" si="18"/>
        <v>706.04100405669317</v>
      </c>
      <c r="BD38" s="31">
        <f t="shared" ref="BD38:BK51" si="19">(78.44+$E38-33.6*BD$7-(66.8-2.92*BD$11)*BD$5+78.5*BD$4+9.4*BD$6)/(0.0721-$C$6*LN((27*BD$7*BD$3*$C38)/(64*BD$8*BD$4*$D38)))-273.15</f>
        <v>711.87829795773507</v>
      </c>
      <c r="BE38" s="31">
        <f t="shared" si="19"/>
        <v>703.23234972803016</v>
      </c>
      <c r="BF38" s="31">
        <f t="shared" si="19"/>
        <v>721.1094254897323</v>
      </c>
      <c r="BG38" s="31">
        <f t="shared" si="19"/>
        <v>717.610870162222</v>
      </c>
      <c r="BH38" s="31">
        <f t="shared" si="19"/>
        <v>703.17566065193046</v>
      </c>
      <c r="BI38" s="31">
        <f t="shared" si="19"/>
        <v>700.13016374355391</v>
      </c>
      <c r="BJ38" s="31">
        <f t="shared" si="19"/>
        <v>707.35444428895539</v>
      </c>
      <c r="BK38" s="31">
        <f t="shared" si="19"/>
        <v>707.1084528393651</v>
      </c>
    </row>
    <row r="39" spans="2:63">
      <c r="B39" s="37">
        <v>15221</v>
      </c>
      <c r="C39" s="34">
        <f>VLOOKUP($B39,Plagioclase!$AV$7:$BA$478,2,FALSE)</f>
        <v>0.23412215227294861</v>
      </c>
      <c r="D39" s="34">
        <f>VLOOKUP($B39,Plagioclase!$AV$7:$BA$478,3,FALSE)</f>
        <v>0.70782018533971969</v>
      </c>
      <c r="E39" s="34">
        <f>VLOOKUP($B39,Plagioclase!$AV$7:$BA$478,5,FALSE)</f>
        <v>3</v>
      </c>
      <c r="F39" s="29" t="str">
        <f>VLOOKUP($B39,Plagioclase!$AV$7:$BA$478,6,FALSE)</f>
        <v>26hHP02.3</v>
      </c>
      <c r="G39" s="31">
        <f t="shared" si="16"/>
        <v>710.75823015598155</v>
      </c>
      <c r="H39" s="31">
        <f t="shared" si="16"/>
        <v>709.49095008718427</v>
      </c>
      <c r="I39" s="31">
        <f t="shared" si="16"/>
        <v>708.457665635539</v>
      </c>
      <c r="J39" s="31">
        <f t="shared" si="16"/>
        <v>708.69742503397185</v>
      </c>
      <c r="K39" s="31">
        <f t="shared" si="16"/>
        <v>715.20687134277694</v>
      </c>
      <c r="L39" s="31">
        <f t="shared" si="16"/>
        <v>706.69199268380441</v>
      </c>
      <c r="M39" s="31">
        <f t="shared" si="16"/>
        <v>710.95396734598523</v>
      </c>
      <c r="N39" s="31">
        <f t="shared" si="16"/>
        <v>710.44057823512276</v>
      </c>
      <c r="O39" s="31">
        <f t="shared" si="16"/>
        <v>705.94268579109087</v>
      </c>
      <c r="P39" s="31">
        <f t="shared" si="16"/>
        <v>709.1925750393234</v>
      </c>
      <c r="Q39" s="31">
        <f t="shared" si="16"/>
        <v>708.97690245458421</v>
      </c>
      <c r="R39" s="31">
        <f t="shared" si="16"/>
        <v>738.97341847682662</v>
      </c>
      <c r="S39" s="31">
        <f t="shared" si="16"/>
        <v>712.19117441032893</v>
      </c>
      <c r="T39" s="31">
        <f t="shared" si="16"/>
        <v>706.03810452473783</v>
      </c>
      <c r="U39" s="31">
        <f t="shared" si="16"/>
        <v>736.1344969028022</v>
      </c>
      <c r="V39" s="31">
        <f t="shared" si="16"/>
        <v>685.83243976339031</v>
      </c>
      <c r="W39" s="31">
        <f t="shared" ref="W39:AK51" si="20">(78.44+$E39-33.6*W$7-(66.8-2.92*W$11)*W$5+78.5*W$4+9.4*W$6)/(0.0721-$C$6*LN((27*W$7*W$3*$C39)/(64*W$8*W$4*$D39)))-273.15</f>
        <v>695.72004290745031</v>
      </c>
      <c r="X39" s="31">
        <f t="shared" si="20"/>
        <v>709.10545632028879</v>
      </c>
      <c r="Y39" s="31">
        <f t="shared" si="20"/>
        <v>697.82424030745165</v>
      </c>
      <c r="Z39" s="31">
        <f t="shared" si="20"/>
        <v>717.0648738408853</v>
      </c>
      <c r="AA39" s="31">
        <f t="shared" si="20"/>
        <v>686.88525415579852</v>
      </c>
      <c r="AB39" s="31">
        <f t="shared" si="20"/>
        <v>708.50114099535176</v>
      </c>
      <c r="AC39" s="31">
        <f t="shared" si="20"/>
        <v>702.07238617774624</v>
      </c>
      <c r="AD39" s="31">
        <f t="shared" si="20"/>
        <v>704.56201217322996</v>
      </c>
      <c r="AE39" s="31">
        <f t="shared" si="20"/>
        <v>713.07523143580272</v>
      </c>
      <c r="AF39" s="31">
        <f t="shared" si="20"/>
        <v>699.75613059618115</v>
      </c>
      <c r="AG39" s="31">
        <f t="shared" si="20"/>
        <v>707.86852514779059</v>
      </c>
      <c r="AH39" s="31">
        <f t="shared" si="20"/>
        <v>791.77728038841735</v>
      </c>
      <c r="AI39" s="31">
        <f t="shared" si="20"/>
        <v>783.45993799078667</v>
      </c>
      <c r="AJ39" s="31">
        <f t="shared" si="20"/>
        <v>796.63507755166791</v>
      </c>
      <c r="AK39" s="31">
        <f t="shared" si="20"/>
        <v>702.6424916772188</v>
      </c>
      <c r="AL39" s="31">
        <f t="shared" si="17"/>
        <v>799.90178798336513</v>
      </c>
      <c r="AM39" s="31">
        <f t="shared" si="17"/>
        <v>791.40753560738051</v>
      </c>
      <c r="AN39" s="31">
        <f t="shared" si="17"/>
        <v>796.79387207199295</v>
      </c>
      <c r="AO39" s="31">
        <f t="shared" si="17"/>
        <v>805.11421831110113</v>
      </c>
      <c r="AP39" s="31">
        <f t="shared" si="17"/>
        <v>784.48550926746236</v>
      </c>
      <c r="AQ39" s="31">
        <f t="shared" si="17"/>
        <v>793.81151616292311</v>
      </c>
      <c r="AR39" s="31">
        <f t="shared" si="17"/>
        <v>710.16621233841022</v>
      </c>
      <c r="AS39" s="31">
        <f t="shared" si="17"/>
        <v>717.7968767078678</v>
      </c>
      <c r="AT39" s="31">
        <f t="shared" si="17"/>
        <v>737.84443726541815</v>
      </c>
      <c r="AU39" s="31">
        <f t="shared" si="17"/>
        <v>726.42752239575725</v>
      </c>
      <c r="AV39" s="31">
        <f t="shared" si="17"/>
        <v>778.23744838165123</v>
      </c>
      <c r="AW39" s="31">
        <f t="shared" si="17"/>
        <v>764.89240767334479</v>
      </c>
      <c r="AX39" s="31">
        <f t="shared" si="17"/>
        <v>759.23572822824201</v>
      </c>
      <c r="AY39" s="31">
        <f t="shared" si="17"/>
        <v>773.41000519248303</v>
      </c>
      <c r="AZ39" s="31">
        <f t="shared" si="18"/>
        <v>790.64008384493093</v>
      </c>
      <c r="BA39" s="31">
        <f t="shared" si="18"/>
        <v>776.31295963965238</v>
      </c>
      <c r="BB39" s="31">
        <f t="shared" si="18"/>
        <v>755.39865346422118</v>
      </c>
      <c r="BC39" s="31">
        <f t="shared" si="18"/>
        <v>708.89093209611224</v>
      </c>
      <c r="BD39" s="31">
        <f t="shared" si="19"/>
        <v>714.71057664092575</v>
      </c>
      <c r="BE39" s="31">
        <f t="shared" si="19"/>
        <v>706.09920148466108</v>
      </c>
      <c r="BF39" s="31">
        <f t="shared" si="19"/>
        <v>723.95747335909255</v>
      </c>
      <c r="BG39" s="31">
        <f t="shared" si="19"/>
        <v>720.42879494790827</v>
      </c>
      <c r="BH39" s="31">
        <f t="shared" si="19"/>
        <v>705.99025652706621</v>
      </c>
      <c r="BI39" s="31">
        <f t="shared" si="19"/>
        <v>702.99276250377363</v>
      </c>
      <c r="BJ39" s="31">
        <f t="shared" si="19"/>
        <v>710.20230929966363</v>
      </c>
      <c r="BK39" s="31">
        <f t="shared" si="19"/>
        <v>709.95063845131062</v>
      </c>
    </row>
    <row r="40" spans="2:63">
      <c r="B40" s="37">
        <v>15222</v>
      </c>
      <c r="C40" s="34">
        <f>VLOOKUP($B40,Plagioclase!$AV$7:$BA$478,2,FALSE)</f>
        <v>0.62160732671276719</v>
      </c>
      <c r="D40" s="34">
        <f>VLOOKUP($B40,Plagioclase!$AV$7:$BA$478,3,FALSE)</f>
        <v>0.36702449241594287</v>
      </c>
      <c r="E40" s="34">
        <f>VLOOKUP($B40,Plagioclase!$AV$7:$BA$478,5,FALSE)</f>
        <v>-0.19141218201737109</v>
      </c>
      <c r="F40" s="29" t="str">
        <f>VLOOKUP($B40,Plagioclase!$AV$7:$BA$478,6,FALSE)</f>
        <v>26hHP02.4</v>
      </c>
      <c r="G40" s="31">
        <f t="shared" ref="G40:V51" si="21">(78.44+$E40-33.6*G$7-(66.8-2.92*G$11)*G$5+78.5*G$4+9.4*G$6)/(0.0721-$C$6*LN((27*G$7*G$3*$C40)/(64*G$8*G$4*$D40)))-273.15</f>
        <v>828.34480671248014</v>
      </c>
      <c r="H40" s="31">
        <f t="shared" si="21"/>
        <v>827.06627740644342</v>
      </c>
      <c r="I40" s="31">
        <f t="shared" si="21"/>
        <v>825.51956608556986</v>
      </c>
      <c r="J40" s="31">
        <f t="shared" si="21"/>
        <v>825.30551433755488</v>
      </c>
      <c r="K40" s="31">
        <f t="shared" si="21"/>
        <v>834.68748882366833</v>
      </c>
      <c r="L40" s="31">
        <f t="shared" si="21"/>
        <v>822.11391678644566</v>
      </c>
      <c r="M40" s="31">
        <f t="shared" si="21"/>
        <v>829.08764721490718</v>
      </c>
      <c r="N40" s="31">
        <f t="shared" si="21"/>
        <v>825.97971855825597</v>
      </c>
      <c r="O40" s="31">
        <f t="shared" si="21"/>
        <v>821.8359964101893</v>
      </c>
      <c r="P40" s="31">
        <f t="shared" si="21"/>
        <v>827.27059498039637</v>
      </c>
      <c r="Q40" s="31">
        <f t="shared" si="21"/>
        <v>824.73667112352189</v>
      </c>
      <c r="R40" s="31">
        <f t="shared" si="21"/>
        <v>854.8375870380022</v>
      </c>
      <c r="S40" s="31">
        <f t="shared" si="21"/>
        <v>829.55880550612994</v>
      </c>
      <c r="T40" s="31">
        <f t="shared" si="21"/>
        <v>824.35093641391143</v>
      </c>
      <c r="U40" s="31">
        <f t="shared" si="21"/>
        <v>851.31655980164089</v>
      </c>
      <c r="V40" s="31">
        <f t="shared" si="21"/>
        <v>799.68556950097411</v>
      </c>
      <c r="W40" s="31">
        <f t="shared" si="20"/>
        <v>809.48317368620326</v>
      </c>
      <c r="X40" s="31">
        <f t="shared" si="20"/>
        <v>826.52136981238903</v>
      </c>
      <c r="Y40" s="31">
        <f t="shared" si="20"/>
        <v>810.33767805230661</v>
      </c>
      <c r="Z40" s="31">
        <f t="shared" si="20"/>
        <v>834.88114281781384</v>
      </c>
      <c r="AA40" s="31">
        <f t="shared" si="20"/>
        <v>802.37134558176342</v>
      </c>
      <c r="AB40" s="31">
        <f t="shared" si="20"/>
        <v>826.4218813107417</v>
      </c>
      <c r="AC40" s="31">
        <f t="shared" si="20"/>
        <v>817.76062803316552</v>
      </c>
      <c r="AD40" s="31">
        <f t="shared" si="20"/>
        <v>819.99947380419633</v>
      </c>
      <c r="AE40" s="31">
        <f t="shared" si="20"/>
        <v>827.64996254810842</v>
      </c>
      <c r="AF40" s="31">
        <f t="shared" si="20"/>
        <v>815.90807409602473</v>
      </c>
      <c r="AG40" s="31">
        <f t="shared" si="20"/>
        <v>825.35575993973396</v>
      </c>
      <c r="AH40" s="31">
        <f t="shared" si="20"/>
        <v>912.26097956037358</v>
      </c>
      <c r="AI40" s="31">
        <f t="shared" si="20"/>
        <v>901.91686228627634</v>
      </c>
      <c r="AJ40" s="31">
        <f t="shared" si="20"/>
        <v>918.56787478293097</v>
      </c>
      <c r="AK40" s="31">
        <f t="shared" si="20"/>
        <v>820.62510967605624</v>
      </c>
      <c r="AL40" s="31">
        <f t="shared" si="17"/>
        <v>921.35466792126965</v>
      </c>
      <c r="AM40" s="31">
        <f t="shared" si="17"/>
        <v>910.36146621597902</v>
      </c>
      <c r="AN40" s="31">
        <f t="shared" si="17"/>
        <v>918.4181374335559</v>
      </c>
      <c r="AO40" s="31">
        <f t="shared" si="17"/>
        <v>929.28980571813247</v>
      </c>
      <c r="AP40" s="31">
        <f t="shared" si="17"/>
        <v>906.09059966341772</v>
      </c>
      <c r="AQ40" s="31">
        <f t="shared" si="17"/>
        <v>912.43414107338015</v>
      </c>
      <c r="AR40" s="31">
        <f t="shared" si="17"/>
        <v>826.537066898224</v>
      </c>
      <c r="AS40" s="31">
        <f t="shared" si="17"/>
        <v>837.27781834408836</v>
      </c>
      <c r="AT40" s="31">
        <f t="shared" si="17"/>
        <v>857.2790216737352</v>
      </c>
      <c r="AU40" s="31">
        <f t="shared" si="17"/>
        <v>843.46710071128916</v>
      </c>
      <c r="AV40" s="31">
        <f t="shared" si="17"/>
        <v>893.07000156038123</v>
      </c>
      <c r="AW40" s="31">
        <f t="shared" si="17"/>
        <v>883.49888686758516</v>
      </c>
      <c r="AX40" s="31">
        <f t="shared" si="17"/>
        <v>877.93781585356726</v>
      </c>
      <c r="AY40" s="31">
        <f t="shared" si="17"/>
        <v>894.56051651643236</v>
      </c>
      <c r="AZ40" s="31">
        <f t="shared" si="18"/>
        <v>912.18247017283159</v>
      </c>
      <c r="BA40" s="31">
        <f t="shared" si="18"/>
        <v>896.10189687831974</v>
      </c>
      <c r="BB40" s="31">
        <f t="shared" si="18"/>
        <v>871.40287898222084</v>
      </c>
      <c r="BC40" s="31">
        <f t="shared" si="18"/>
        <v>824.07515699910493</v>
      </c>
      <c r="BD40" s="31">
        <f t="shared" si="19"/>
        <v>829.17636990777021</v>
      </c>
      <c r="BE40" s="31">
        <f t="shared" si="19"/>
        <v>822.02433576113378</v>
      </c>
      <c r="BF40" s="31">
        <f t="shared" si="19"/>
        <v>839.32645298433738</v>
      </c>
      <c r="BG40" s="31">
        <f t="shared" si="19"/>
        <v>834.32808989861053</v>
      </c>
      <c r="BH40" s="31">
        <f t="shared" si="19"/>
        <v>819.47110754674202</v>
      </c>
      <c r="BI40" s="31">
        <f t="shared" si="19"/>
        <v>818.6607820868868</v>
      </c>
      <c r="BJ40" s="31">
        <f t="shared" si="19"/>
        <v>825.31414851463353</v>
      </c>
      <c r="BK40" s="31">
        <f t="shared" si="19"/>
        <v>824.79229224426615</v>
      </c>
    </row>
    <row r="41" spans="2:63">
      <c r="B41" s="37">
        <v>15229</v>
      </c>
      <c r="C41" s="34">
        <f>VLOOKUP($B41,Plagioclase!$AV$7:$BA$478,2,FALSE)</f>
        <v>0.55923759558714825</v>
      </c>
      <c r="D41" s="34">
        <f>VLOOKUP($B41,Plagioclase!$AV$7:$BA$478,3,FALSE)</f>
        <v>0.42522188259061755</v>
      </c>
      <c r="E41" s="34">
        <f>VLOOKUP($B41,Plagioclase!$AV$7:$BA$478,5,FALSE)</f>
        <v>1.2053251821748212</v>
      </c>
      <c r="F41" s="29" t="str">
        <f>VLOOKUP($B41,Plagioclase!$AV$7:$BA$478,6,FALSE)</f>
        <v>26hHP04.3</v>
      </c>
      <c r="G41" s="31">
        <f t="shared" si="21"/>
        <v>817.9647114015537</v>
      </c>
      <c r="H41" s="31">
        <f t="shared" si="21"/>
        <v>816.70037306046618</v>
      </c>
      <c r="I41" s="31">
        <f t="shared" si="21"/>
        <v>815.22057453755031</v>
      </c>
      <c r="J41" s="31">
        <f t="shared" si="21"/>
        <v>815.05377524494918</v>
      </c>
      <c r="K41" s="31">
        <f t="shared" si="21"/>
        <v>824.05294832860966</v>
      </c>
      <c r="L41" s="31">
        <f t="shared" si="21"/>
        <v>812.01213081278286</v>
      </c>
      <c r="M41" s="31">
        <f t="shared" si="21"/>
        <v>818.64535817618628</v>
      </c>
      <c r="N41" s="31">
        <f t="shared" si="21"/>
        <v>815.82712683047373</v>
      </c>
      <c r="O41" s="31">
        <f t="shared" si="21"/>
        <v>811.69049778071269</v>
      </c>
      <c r="P41" s="31">
        <f t="shared" si="21"/>
        <v>816.85249288404418</v>
      </c>
      <c r="Q41" s="31">
        <f t="shared" si="21"/>
        <v>814.57481253839057</v>
      </c>
      <c r="R41" s="31">
        <f t="shared" si="21"/>
        <v>844.37120662216955</v>
      </c>
      <c r="S41" s="31">
        <f t="shared" si="21"/>
        <v>819.18818803659622</v>
      </c>
      <c r="T41" s="31">
        <f t="shared" si="21"/>
        <v>813.9395838005272</v>
      </c>
      <c r="U41" s="31">
        <f t="shared" si="21"/>
        <v>840.95240505695426</v>
      </c>
      <c r="V41" s="31">
        <f t="shared" si="21"/>
        <v>789.97076093290173</v>
      </c>
      <c r="W41" s="31">
        <f t="shared" si="20"/>
        <v>799.67389808755786</v>
      </c>
      <c r="X41" s="31">
        <f t="shared" si="20"/>
        <v>816.17691696752161</v>
      </c>
      <c r="Y41" s="31">
        <f t="shared" si="20"/>
        <v>800.64099995587355</v>
      </c>
      <c r="Z41" s="31">
        <f t="shared" si="20"/>
        <v>824.4118685421621</v>
      </c>
      <c r="AA41" s="31">
        <f t="shared" si="20"/>
        <v>792.4698648578227</v>
      </c>
      <c r="AB41" s="31">
        <f t="shared" si="20"/>
        <v>816.02818177128222</v>
      </c>
      <c r="AC41" s="31">
        <f t="shared" si="20"/>
        <v>807.67726003938981</v>
      </c>
      <c r="AD41" s="31">
        <f t="shared" si="20"/>
        <v>809.9177635725456</v>
      </c>
      <c r="AE41" s="31">
        <f t="shared" si="20"/>
        <v>817.5761158214965</v>
      </c>
      <c r="AF41" s="31">
        <f t="shared" si="20"/>
        <v>805.79831277605115</v>
      </c>
      <c r="AG41" s="31">
        <f t="shared" si="20"/>
        <v>815.01616997744156</v>
      </c>
      <c r="AH41" s="31">
        <f t="shared" si="20"/>
        <v>900.80114678750158</v>
      </c>
      <c r="AI41" s="31">
        <f t="shared" si="20"/>
        <v>890.75993806936538</v>
      </c>
      <c r="AJ41" s="31">
        <f t="shared" si="20"/>
        <v>906.89975292525639</v>
      </c>
      <c r="AK41" s="31">
        <f t="shared" si="20"/>
        <v>810.28535229843112</v>
      </c>
      <c r="AL41" s="31">
        <f t="shared" si="17"/>
        <v>909.71460173598314</v>
      </c>
      <c r="AM41" s="31">
        <f t="shared" si="17"/>
        <v>899.08030789391785</v>
      </c>
      <c r="AN41" s="31">
        <f t="shared" si="17"/>
        <v>906.78435661655828</v>
      </c>
      <c r="AO41" s="31">
        <f t="shared" si="17"/>
        <v>917.28961787414971</v>
      </c>
      <c r="AP41" s="31">
        <f t="shared" si="17"/>
        <v>894.56435200628459</v>
      </c>
      <c r="AQ41" s="31">
        <f t="shared" si="17"/>
        <v>901.17075214159161</v>
      </c>
      <c r="AR41" s="31">
        <f t="shared" si="17"/>
        <v>816.29634206574167</v>
      </c>
      <c r="AS41" s="31">
        <f t="shared" si="17"/>
        <v>826.61692850646102</v>
      </c>
      <c r="AT41" s="31">
        <f t="shared" si="17"/>
        <v>846.42545434036526</v>
      </c>
      <c r="AU41" s="31">
        <f t="shared" si="17"/>
        <v>832.99083310775961</v>
      </c>
      <c r="AV41" s="31">
        <f t="shared" si="17"/>
        <v>882.36804836429121</v>
      </c>
      <c r="AW41" s="31">
        <f t="shared" si="17"/>
        <v>872.48751419472171</v>
      </c>
      <c r="AX41" s="31">
        <f t="shared" si="17"/>
        <v>866.96666049166527</v>
      </c>
      <c r="AY41" s="31">
        <f t="shared" si="17"/>
        <v>883.18373392710566</v>
      </c>
      <c r="AZ41" s="31">
        <f t="shared" si="18"/>
        <v>900.6104090915909</v>
      </c>
      <c r="BA41" s="31">
        <f t="shared" si="18"/>
        <v>884.8550038665386</v>
      </c>
      <c r="BB41" s="31">
        <f t="shared" si="18"/>
        <v>860.76952344127915</v>
      </c>
      <c r="BC41" s="31">
        <f t="shared" si="18"/>
        <v>813.97693422796954</v>
      </c>
      <c r="BD41" s="31">
        <f t="shared" si="19"/>
        <v>819.09812717846364</v>
      </c>
      <c r="BE41" s="31">
        <f t="shared" si="19"/>
        <v>811.87376482538969</v>
      </c>
      <c r="BF41" s="31">
        <f t="shared" si="19"/>
        <v>829.05843841239232</v>
      </c>
      <c r="BG41" s="31">
        <f t="shared" si="19"/>
        <v>824.25540382874817</v>
      </c>
      <c r="BH41" s="31">
        <f t="shared" si="19"/>
        <v>809.58710895889942</v>
      </c>
      <c r="BI41" s="31">
        <f t="shared" si="19"/>
        <v>808.57011743685905</v>
      </c>
      <c r="BJ41" s="31">
        <f t="shared" si="19"/>
        <v>815.21057059557859</v>
      </c>
      <c r="BK41" s="31">
        <f t="shared" si="19"/>
        <v>814.72068393242523</v>
      </c>
    </row>
    <row r="42" spans="2:63">
      <c r="B42" s="37">
        <v>15230</v>
      </c>
      <c r="C42" s="34">
        <f>VLOOKUP($B42,Plagioclase!$AV$7:$BA$478,2,FALSE)</f>
        <v>0.5755205110201751</v>
      </c>
      <c r="D42" s="34">
        <f>VLOOKUP($B42,Plagioclase!$AV$7:$BA$478,3,FALSE)</f>
        <v>0.40978993153357862</v>
      </c>
      <c r="E42" s="34">
        <f>VLOOKUP($B42,Plagioclase!$AV$7:$BA$478,5,FALSE)</f>
        <v>0.83495835680588693</v>
      </c>
      <c r="F42" s="29" t="str">
        <f>VLOOKUP($B42,Plagioclase!$AV$7:$BA$478,6,FALSE)</f>
        <v>26hHP04.4</v>
      </c>
      <c r="G42" s="31">
        <f t="shared" si="21"/>
        <v>820.52443682829028</v>
      </c>
      <c r="H42" s="31">
        <f t="shared" si="21"/>
        <v>819.25626660554906</v>
      </c>
      <c r="I42" s="31">
        <f t="shared" si="21"/>
        <v>817.75979956047615</v>
      </c>
      <c r="J42" s="31">
        <f t="shared" si="21"/>
        <v>817.58150316491867</v>
      </c>
      <c r="K42" s="31">
        <f t="shared" si="21"/>
        <v>826.67621412167034</v>
      </c>
      <c r="L42" s="31">
        <f t="shared" si="21"/>
        <v>814.50259331697828</v>
      </c>
      <c r="M42" s="31">
        <f t="shared" si="21"/>
        <v>821.22036105174027</v>
      </c>
      <c r="N42" s="31">
        <f t="shared" si="21"/>
        <v>818.33107091904697</v>
      </c>
      <c r="O42" s="31">
        <f t="shared" si="21"/>
        <v>814.19144814120489</v>
      </c>
      <c r="P42" s="31">
        <f t="shared" si="21"/>
        <v>819.42107547984062</v>
      </c>
      <c r="Q42" s="31">
        <f t="shared" si="21"/>
        <v>817.08061820202772</v>
      </c>
      <c r="R42" s="31">
        <f t="shared" si="21"/>
        <v>846.95966849280637</v>
      </c>
      <c r="S42" s="31">
        <f t="shared" si="21"/>
        <v>821.74599703382557</v>
      </c>
      <c r="T42" s="31">
        <f t="shared" si="21"/>
        <v>816.50561024615024</v>
      </c>
      <c r="U42" s="31">
        <f t="shared" si="21"/>
        <v>843.51505472029328</v>
      </c>
      <c r="V42" s="31">
        <f t="shared" si="21"/>
        <v>792.36060080724121</v>
      </c>
      <c r="W42" s="31">
        <f t="shared" si="20"/>
        <v>802.08969248208962</v>
      </c>
      <c r="X42" s="31">
        <f t="shared" si="20"/>
        <v>818.72745132928401</v>
      </c>
      <c r="Y42" s="31">
        <f t="shared" si="20"/>
        <v>803.02984256647221</v>
      </c>
      <c r="Z42" s="31">
        <f t="shared" si="20"/>
        <v>826.99519423483332</v>
      </c>
      <c r="AA42" s="31">
        <f t="shared" si="20"/>
        <v>794.90562811373513</v>
      </c>
      <c r="AB42" s="31">
        <f t="shared" si="20"/>
        <v>818.59059574315359</v>
      </c>
      <c r="AC42" s="31">
        <f t="shared" si="20"/>
        <v>810.16191138490751</v>
      </c>
      <c r="AD42" s="31">
        <f t="shared" si="20"/>
        <v>812.4027144270791</v>
      </c>
      <c r="AE42" s="31">
        <f t="shared" si="20"/>
        <v>820.06150081252906</v>
      </c>
      <c r="AF42" s="31">
        <f t="shared" si="20"/>
        <v>808.28875732528957</v>
      </c>
      <c r="AG42" s="31">
        <f t="shared" si="20"/>
        <v>817.56516295781114</v>
      </c>
      <c r="AH42" s="31">
        <f t="shared" si="20"/>
        <v>903.64666063559696</v>
      </c>
      <c r="AI42" s="31">
        <f t="shared" si="20"/>
        <v>893.52896187121803</v>
      </c>
      <c r="AJ42" s="31">
        <f t="shared" si="20"/>
        <v>909.79767169092804</v>
      </c>
      <c r="AK42" s="31">
        <f t="shared" si="20"/>
        <v>812.83288344475943</v>
      </c>
      <c r="AL42" s="31">
        <f t="shared" si="17"/>
        <v>912.60636714529176</v>
      </c>
      <c r="AM42" s="31">
        <f t="shared" si="17"/>
        <v>901.88174774283505</v>
      </c>
      <c r="AN42" s="31">
        <f t="shared" si="17"/>
        <v>909.67385760399623</v>
      </c>
      <c r="AO42" s="31">
        <f t="shared" si="17"/>
        <v>920.27126731246869</v>
      </c>
      <c r="AP42" s="31">
        <f t="shared" si="17"/>
        <v>897.42449065905691</v>
      </c>
      <c r="AQ42" s="31">
        <f t="shared" si="17"/>
        <v>903.96836392574903</v>
      </c>
      <c r="AR42" s="31">
        <f t="shared" si="17"/>
        <v>818.8217861542247</v>
      </c>
      <c r="AS42" s="31">
        <f t="shared" si="17"/>
        <v>829.24737743704338</v>
      </c>
      <c r="AT42" s="31">
        <f t="shared" si="17"/>
        <v>849.10860481260772</v>
      </c>
      <c r="AU42" s="31">
        <f t="shared" si="17"/>
        <v>835.57842996505076</v>
      </c>
      <c r="AV42" s="31">
        <f t="shared" si="17"/>
        <v>885.02388584692051</v>
      </c>
      <c r="AW42" s="31">
        <f t="shared" si="17"/>
        <v>875.21630976644121</v>
      </c>
      <c r="AX42" s="31">
        <f t="shared" si="17"/>
        <v>869.6841773996299</v>
      </c>
      <c r="AY42" s="31">
        <f t="shared" si="17"/>
        <v>886.00443430300072</v>
      </c>
      <c r="AZ42" s="31">
        <f t="shared" si="18"/>
        <v>903.48328050618932</v>
      </c>
      <c r="BA42" s="31">
        <f t="shared" si="18"/>
        <v>887.64447226185473</v>
      </c>
      <c r="BB42" s="31">
        <f t="shared" si="18"/>
        <v>863.40310003456136</v>
      </c>
      <c r="BC42" s="31">
        <f t="shared" si="18"/>
        <v>816.46713751237814</v>
      </c>
      <c r="BD42" s="31">
        <f t="shared" si="19"/>
        <v>821.58503328959807</v>
      </c>
      <c r="BE42" s="31">
        <f t="shared" si="19"/>
        <v>814.37600063892535</v>
      </c>
      <c r="BF42" s="31">
        <f t="shared" si="19"/>
        <v>831.59432954639885</v>
      </c>
      <c r="BG42" s="31">
        <f t="shared" si="19"/>
        <v>826.74248021158826</v>
      </c>
      <c r="BH42" s="31">
        <f t="shared" si="19"/>
        <v>812.02406407399883</v>
      </c>
      <c r="BI42" s="31">
        <f t="shared" si="19"/>
        <v>811.05681557415289</v>
      </c>
      <c r="BJ42" s="31">
        <f t="shared" si="19"/>
        <v>817.70244812633757</v>
      </c>
      <c r="BK42" s="31">
        <f t="shared" si="19"/>
        <v>817.20466423345181</v>
      </c>
    </row>
    <row r="43" spans="2:63">
      <c r="B43" s="37">
        <v>15231</v>
      </c>
      <c r="C43" s="34">
        <f>VLOOKUP($B43,Plagioclase!$AV$7:$BA$478,2,FALSE)</f>
        <v>0.43702790797569008</v>
      </c>
      <c r="D43" s="34">
        <f>VLOOKUP($B43,Plagioclase!$AV$7:$BA$478,3,FALSE)</f>
        <v>0.52957336352122686</v>
      </c>
      <c r="E43" s="34">
        <f>VLOOKUP($B43,Plagioclase!$AV$7:$BA$478,5,FALSE)</f>
        <v>3</v>
      </c>
      <c r="F43" s="29" t="str">
        <f>VLOOKUP($B43,Plagioclase!$AV$7:$BA$478,6,FALSE)</f>
        <v>26hHP04.5</v>
      </c>
      <c r="G43" s="31">
        <f t="shared" si="21"/>
        <v>791.6489361304665</v>
      </c>
      <c r="H43" s="31">
        <f t="shared" si="21"/>
        <v>790.39830133884846</v>
      </c>
      <c r="I43" s="31">
        <f t="shared" si="21"/>
        <v>789.05397289700352</v>
      </c>
      <c r="J43" s="31">
        <f t="shared" si="21"/>
        <v>788.99687256125287</v>
      </c>
      <c r="K43" s="31">
        <f t="shared" si="21"/>
        <v>797.23099878525647</v>
      </c>
      <c r="L43" s="31">
        <f t="shared" si="21"/>
        <v>786.26425857869037</v>
      </c>
      <c r="M43" s="31">
        <f t="shared" si="21"/>
        <v>792.19290873487523</v>
      </c>
      <c r="N43" s="31">
        <f t="shared" si="21"/>
        <v>790.01829419566559</v>
      </c>
      <c r="O43" s="31">
        <f t="shared" si="21"/>
        <v>785.83323096030938</v>
      </c>
      <c r="P43" s="31">
        <f t="shared" si="21"/>
        <v>790.42900692159026</v>
      </c>
      <c r="Q43" s="31">
        <f t="shared" si="21"/>
        <v>788.72425191258515</v>
      </c>
      <c r="R43" s="31">
        <f t="shared" si="21"/>
        <v>818.2463969514987</v>
      </c>
      <c r="S43" s="31">
        <f t="shared" si="21"/>
        <v>792.91409603086561</v>
      </c>
      <c r="T43" s="31">
        <f t="shared" si="21"/>
        <v>787.48560451411743</v>
      </c>
      <c r="U43" s="31">
        <f t="shared" si="21"/>
        <v>815.01877567891654</v>
      </c>
      <c r="V43" s="31">
        <f t="shared" si="21"/>
        <v>764.79084448701008</v>
      </c>
      <c r="W43" s="31">
        <f t="shared" si="20"/>
        <v>774.42815299447091</v>
      </c>
      <c r="X43" s="31">
        <f t="shared" si="20"/>
        <v>789.91747777347302</v>
      </c>
      <c r="Y43" s="31">
        <f t="shared" si="20"/>
        <v>775.68245157093236</v>
      </c>
      <c r="Z43" s="31">
        <f t="shared" si="20"/>
        <v>797.98547305142313</v>
      </c>
      <c r="AA43" s="31">
        <f t="shared" si="20"/>
        <v>766.88097567793614</v>
      </c>
      <c r="AB43" s="31">
        <f t="shared" si="20"/>
        <v>789.64948936412941</v>
      </c>
      <c r="AC43" s="31">
        <f t="shared" si="20"/>
        <v>781.90398853469662</v>
      </c>
      <c r="AD43" s="31">
        <f t="shared" si="20"/>
        <v>784.18446468681839</v>
      </c>
      <c r="AE43" s="31">
        <f t="shared" si="20"/>
        <v>791.98194139423902</v>
      </c>
      <c r="AF43" s="31">
        <f t="shared" si="20"/>
        <v>779.93139513381914</v>
      </c>
      <c r="AG43" s="31">
        <f t="shared" si="20"/>
        <v>788.7498533444824</v>
      </c>
      <c r="AH43" s="31">
        <f t="shared" si="20"/>
        <v>873.12472209432747</v>
      </c>
      <c r="AI43" s="31">
        <f t="shared" si="20"/>
        <v>863.65072743778899</v>
      </c>
      <c r="AJ43" s="31">
        <f t="shared" si="20"/>
        <v>878.82487913424472</v>
      </c>
      <c r="AK43" s="31">
        <f t="shared" si="20"/>
        <v>783.94256250355068</v>
      </c>
      <c r="AL43" s="31">
        <f t="shared" si="17"/>
        <v>881.73664593441151</v>
      </c>
      <c r="AM43" s="31">
        <f t="shared" si="17"/>
        <v>871.78919929677193</v>
      </c>
      <c r="AN43" s="31">
        <f t="shared" si="17"/>
        <v>878.78575375326966</v>
      </c>
      <c r="AO43" s="31">
        <f t="shared" si="17"/>
        <v>888.58977034718475</v>
      </c>
      <c r="AP43" s="31">
        <f t="shared" si="17"/>
        <v>866.6605960560729</v>
      </c>
      <c r="AQ43" s="31">
        <f t="shared" si="17"/>
        <v>873.94513132019517</v>
      </c>
      <c r="AR43" s="31">
        <f t="shared" si="17"/>
        <v>790.2852189124493</v>
      </c>
      <c r="AS43" s="31">
        <f t="shared" si="17"/>
        <v>799.77271460206737</v>
      </c>
      <c r="AT43" s="31">
        <f t="shared" si="17"/>
        <v>819.42548814119971</v>
      </c>
      <c r="AU43" s="31">
        <f t="shared" si="17"/>
        <v>806.67775284438278</v>
      </c>
      <c r="AV43" s="31">
        <f t="shared" si="17"/>
        <v>856.19879757001956</v>
      </c>
      <c r="AW43" s="31">
        <f t="shared" si="17"/>
        <v>845.47996366415998</v>
      </c>
      <c r="AX43" s="31">
        <f t="shared" si="17"/>
        <v>839.97881713325353</v>
      </c>
      <c r="AY43" s="31">
        <f t="shared" si="17"/>
        <v>855.47675446188862</v>
      </c>
      <c r="AZ43" s="31">
        <f t="shared" si="18"/>
        <v>872.677051374597</v>
      </c>
      <c r="BA43" s="31">
        <f t="shared" si="18"/>
        <v>857.46631242928663</v>
      </c>
      <c r="BB43" s="31">
        <f t="shared" si="18"/>
        <v>834.48103212065496</v>
      </c>
      <c r="BC43" s="31">
        <f t="shared" si="18"/>
        <v>788.26859171105832</v>
      </c>
      <c r="BD43" s="31">
        <f t="shared" si="19"/>
        <v>793.51692920186622</v>
      </c>
      <c r="BE43" s="31">
        <f t="shared" si="19"/>
        <v>786.00732071335608</v>
      </c>
      <c r="BF43" s="31">
        <f t="shared" si="19"/>
        <v>803.17792146465547</v>
      </c>
      <c r="BG43" s="31">
        <f t="shared" si="19"/>
        <v>798.76567934694083</v>
      </c>
      <c r="BH43" s="31">
        <f t="shared" si="19"/>
        <v>784.32152216042311</v>
      </c>
      <c r="BI43" s="31">
        <f t="shared" si="19"/>
        <v>782.79379876032101</v>
      </c>
      <c r="BJ43" s="31">
        <f t="shared" si="19"/>
        <v>789.50881256597143</v>
      </c>
      <c r="BK43" s="31">
        <f t="shared" si="19"/>
        <v>789.08745417010994</v>
      </c>
    </row>
    <row r="44" spans="2:63">
      <c r="B44" s="37">
        <v>15232</v>
      </c>
      <c r="C44" s="34">
        <f>VLOOKUP($B44,Plagioclase!$AV$7:$BA$478,2,FALSE)</f>
        <v>0.37312412298512654</v>
      </c>
      <c r="D44" s="34">
        <f>VLOOKUP($B44,Plagioclase!$AV$7:$BA$478,3,FALSE)</f>
        <v>0.59785307584769232</v>
      </c>
      <c r="E44" s="34">
        <f>VLOOKUP($B44,Plagioclase!$AV$7:$BA$478,5,FALSE)</f>
        <v>3</v>
      </c>
      <c r="F44" s="29" t="str">
        <f>VLOOKUP($B44,Plagioclase!$AV$7:$BA$478,6,FALSE)</f>
        <v>26hHP04.6</v>
      </c>
      <c r="G44" s="31">
        <f t="shared" si="21"/>
        <v>765.55593298043175</v>
      </c>
      <c r="H44" s="31">
        <f t="shared" si="21"/>
        <v>764.29792009299683</v>
      </c>
      <c r="I44" s="31">
        <f t="shared" si="21"/>
        <v>763.05767941616739</v>
      </c>
      <c r="J44" s="31">
        <f t="shared" si="21"/>
        <v>763.1015591985539</v>
      </c>
      <c r="K44" s="31">
        <f t="shared" si="21"/>
        <v>770.75952533337374</v>
      </c>
      <c r="L44" s="31">
        <f t="shared" si="21"/>
        <v>760.6126885017685</v>
      </c>
      <c r="M44" s="31">
        <f t="shared" si="21"/>
        <v>765.9820390997337</v>
      </c>
      <c r="N44" s="31">
        <f t="shared" si="21"/>
        <v>764.3698546160432</v>
      </c>
      <c r="O44" s="31">
        <f t="shared" si="21"/>
        <v>760.07280825182818</v>
      </c>
      <c r="P44" s="31">
        <f t="shared" si="21"/>
        <v>764.21656146842645</v>
      </c>
      <c r="Q44" s="31">
        <f t="shared" si="21"/>
        <v>763.01641226068011</v>
      </c>
      <c r="R44" s="31">
        <f t="shared" si="21"/>
        <v>792.73756802715332</v>
      </c>
      <c r="S44" s="31">
        <f t="shared" si="21"/>
        <v>766.87993991537894</v>
      </c>
      <c r="T44" s="31">
        <f t="shared" si="21"/>
        <v>761.19713118708353</v>
      </c>
      <c r="U44" s="31">
        <f t="shared" si="21"/>
        <v>789.63765579751805</v>
      </c>
      <c r="V44" s="31">
        <f t="shared" si="21"/>
        <v>739.31920179912265</v>
      </c>
      <c r="W44" s="31">
        <f t="shared" si="20"/>
        <v>749.05471830189288</v>
      </c>
      <c r="X44" s="31">
        <f t="shared" si="20"/>
        <v>763.8489058378151</v>
      </c>
      <c r="Y44" s="31">
        <f t="shared" si="20"/>
        <v>750.59954517781091</v>
      </c>
      <c r="Z44" s="31">
        <f t="shared" si="20"/>
        <v>771.89089068413853</v>
      </c>
      <c r="AA44" s="31">
        <f t="shared" si="20"/>
        <v>741.05871050248311</v>
      </c>
      <c r="AB44" s="31">
        <f t="shared" si="20"/>
        <v>763.4659813930208</v>
      </c>
      <c r="AC44" s="31">
        <f t="shared" si="20"/>
        <v>756.15832484941836</v>
      </c>
      <c r="AD44" s="31">
        <f t="shared" si="20"/>
        <v>758.51304449084284</v>
      </c>
      <c r="AE44" s="31">
        <f t="shared" si="20"/>
        <v>766.5640704783367</v>
      </c>
      <c r="AF44" s="31">
        <f t="shared" si="20"/>
        <v>754.06602662875468</v>
      </c>
      <c r="AG44" s="31">
        <f t="shared" si="20"/>
        <v>762.65607658944248</v>
      </c>
      <c r="AH44" s="31">
        <f t="shared" si="20"/>
        <v>846.9802489608827</v>
      </c>
      <c r="AI44" s="31">
        <f t="shared" si="20"/>
        <v>837.88601167492754</v>
      </c>
      <c r="AJ44" s="31">
        <f t="shared" si="20"/>
        <v>852.40234215099201</v>
      </c>
      <c r="AK44" s="31">
        <f t="shared" si="20"/>
        <v>757.69940431955558</v>
      </c>
      <c r="AL44" s="31">
        <f t="shared" si="17"/>
        <v>855.43757910673423</v>
      </c>
      <c r="AM44" s="31">
        <f t="shared" si="17"/>
        <v>845.96946761331299</v>
      </c>
      <c r="AN44" s="31">
        <f t="shared" si="17"/>
        <v>852.43010636830684</v>
      </c>
      <c r="AO44" s="31">
        <f t="shared" si="17"/>
        <v>861.74394217860879</v>
      </c>
      <c r="AP44" s="31">
        <f t="shared" si="17"/>
        <v>840.22833373594051</v>
      </c>
      <c r="AQ44" s="31">
        <f t="shared" si="17"/>
        <v>848.21161762301256</v>
      </c>
      <c r="AR44" s="31">
        <f t="shared" si="17"/>
        <v>764.45304152856841</v>
      </c>
      <c r="AS44" s="31">
        <f t="shared" si="17"/>
        <v>773.32122083675733</v>
      </c>
      <c r="AT44" s="31">
        <f t="shared" si="17"/>
        <v>793.13484631422045</v>
      </c>
      <c r="AU44" s="31">
        <f t="shared" si="17"/>
        <v>780.82263254321504</v>
      </c>
      <c r="AV44" s="31">
        <f t="shared" si="17"/>
        <v>831.1779484622997</v>
      </c>
      <c r="AW44" s="31">
        <f t="shared" si="17"/>
        <v>819.55936802916438</v>
      </c>
      <c r="AX44" s="31">
        <f t="shared" si="17"/>
        <v>813.99877971127091</v>
      </c>
      <c r="AY44" s="31">
        <f t="shared" si="17"/>
        <v>829.06740022972178</v>
      </c>
      <c r="AZ44" s="31">
        <f t="shared" si="18"/>
        <v>846.29884063047132</v>
      </c>
      <c r="BA44" s="31">
        <f t="shared" si="18"/>
        <v>831.36875459368832</v>
      </c>
      <c r="BB44" s="31">
        <f t="shared" si="18"/>
        <v>809.05653006849468</v>
      </c>
      <c r="BC44" s="31">
        <f t="shared" si="18"/>
        <v>762.68585150736942</v>
      </c>
      <c r="BD44" s="31">
        <f t="shared" si="19"/>
        <v>768.13511529376626</v>
      </c>
      <c r="BE44" s="31">
        <f t="shared" si="19"/>
        <v>760.24115214575556</v>
      </c>
      <c r="BF44" s="31">
        <f t="shared" si="19"/>
        <v>777.66793535901718</v>
      </c>
      <c r="BG44" s="31">
        <f t="shared" si="19"/>
        <v>773.54983253691864</v>
      </c>
      <c r="BH44" s="31">
        <f t="shared" si="19"/>
        <v>759.08915543292289</v>
      </c>
      <c r="BI44" s="31">
        <f t="shared" si="19"/>
        <v>757.05974129336221</v>
      </c>
      <c r="BJ44" s="31">
        <f t="shared" si="19"/>
        <v>763.95189285560184</v>
      </c>
      <c r="BK44" s="31">
        <f t="shared" si="19"/>
        <v>763.5876476759239</v>
      </c>
    </row>
    <row r="45" spans="2:63">
      <c r="B45" s="37">
        <v>15239</v>
      </c>
      <c r="C45" s="34">
        <f>VLOOKUP($B45,Plagioclase!$AV$7:$BA$478,2,FALSE)</f>
        <v>0.26229643583577283</v>
      </c>
      <c r="D45" s="34">
        <f>VLOOKUP($B45,Plagioclase!$AV$7:$BA$478,3,FALSE)</f>
        <v>0.68774648404864991</v>
      </c>
      <c r="E45" s="34">
        <f>VLOOKUP($B45,Plagioclase!$AV$7:$BA$478,5,FALSE)</f>
        <v>3</v>
      </c>
      <c r="F45" s="29" t="str">
        <f>VLOOKUP($B45,Plagioclase!$AV$7:$BA$478,6,FALSE)</f>
        <v>26hHP06.1</v>
      </c>
      <c r="G45" s="31">
        <f t="shared" si="21"/>
        <v>722.53959902339443</v>
      </c>
      <c r="H45" s="31">
        <f t="shared" si="21"/>
        <v>721.27359944165312</v>
      </c>
      <c r="I45" s="31">
        <f t="shared" si="21"/>
        <v>720.19715045896555</v>
      </c>
      <c r="J45" s="31">
        <f t="shared" si="21"/>
        <v>720.39664781315139</v>
      </c>
      <c r="K45" s="31">
        <f t="shared" si="21"/>
        <v>727.14599705302976</v>
      </c>
      <c r="L45" s="31">
        <f t="shared" si="21"/>
        <v>718.29053330101215</v>
      </c>
      <c r="M45" s="31">
        <f t="shared" si="21"/>
        <v>722.78290336706789</v>
      </c>
      <c r="N45" s="31">
        <f t="shared" si="21"/>
        <v>722.04269950972378</v>
      </c>
      <c r="O45" s="31">
        <f t="shared" si="21"/>
        <v>717.58405760221774</v>
      </c>
      <c r="P45" s="31">
        <f t="shared" si="21"/>
        <v>721.01978782315132</v>
      </c>
      <c r="Q45" s="31">
        <f t="shared" si="21"/>
        <v>720.60106137159664</v>
      </c>
      <c r="R45" s="31">
        <f t="shared" si="21"/>
        <v>750.55474058500215</v>
      </c>
      <c r="S45" s="31">
        <f t="shared" si="21"/>
        <v>723.95079701607608</v>
      </c>
      <c r="T45" s="31">
        <f t="shared" si="21"/>
        <v>717.89153837028005</v>
      </c>
      <c r="U45" s="31">
        <f t="shared" si="21"/>
        <v>747.66053655583005</v>
      </c>
      <c r="V45" s="31">
        <f t="shared" si="21"/>
        <v>697.33127065906467</v>
      </c>
      <c r="W45" s="31">
        <f t="shared" si="20"/>
        <v>707.19237186730618</v>
      </c>
      <c r="X45" s="31">
        <f t="shared" si="20"/>
        <v>720.87482411137557</v>
      </c>
      <c r="Y45" s="31">
        <f t="shared" si="20"/>
        <v>709.18212402713004</v>
      </c>
      <c r="Z45" s="31">
        <f t="shared" si="20"/>
        <v>728.85518928377508</v>
      </c>
      <c r="AA45" s="31">
        <f t="shared" si="20"/>
        <v>698.52605209598255</v>
      </c>
      <c r="AB45" s="31">
        <f t="shared" si="20"/>
        <v>720.31582322295196</v>
      </c>
      <c r="AC45" s="31">
        <f t="shared" si="20"/>
        <v>713.70274956207095</v>
      </c>
      <c r="AD45" s="31">
        <f t="shared" si="20"/>
        <v>716.16577549898375</v>
      </c>
      <c r="AE45" s="31">
        <f t="shared" si="20"/>
        <v>724.58767903745979</v>
      </c>
      <c r="AF45" s="31">
        <f t="shared" si="20"/>
        <v>711.43150729995557</v>
      </c>
      <c r="AG45" s="31">
        <f t="shared" si="20"/>
        <v>719.64636536295984</v>
      </c>
      <c r="AH45" s="31">
        <f t="shared" si="20"/>
        <v>803.67991389821771</v>
      </c>
      <c r="AI45" s="31">
        <f t="shared" si="20"/>
        <v>795.1979249572413</v>
      </c>
      <c r="AJ45" s="31">
        <f t="shared" si="20"/>
        <v>808.65676359344627</v>
      </c>
      <c r="AK45" s="31">
        <f t="shared" si="20"/>
        <v>714.47317818264844</v>
      </c>
      <c r="AL45" s="31">
        <f t="shared" si="17"/>
        <v>811.87691840495847</v>
      </c>
      <c r="AM45" s="31">
        <f t="shared" si="17"/>
        <v>803.17707857277458</v>
      </c>
      <c r="AN45" s="31">
        <f t="shared" si="17"/>
        <v>808.7884764195361</v>
      </c>
      <c r="AO45" s="31">
        <f t="shared" si="17"/>
        <v>817.31827578534455</v>
      </c>
      <c r="AP45" s="31">
        <f t="shared" si="17"/>
        <v>796.49677103616284</v>
      </c>
      <c r="AQ45" s="31">
        <f t="shared" si="17"/>
        <v>805.54848999505214</v>
      </c>
      <c r="AR45" s="31">
        <f t="shared" si="17"/>
        <v>721.84196417718363</v>
      </c>
      <c r="AS45" s="31">
        <f t="shared" si="17"/>
        <v>729.73147483915659</v>
      </c>
      <c r="AT45" s="31">
        <f t="shared" si="17"/>
        <v>749.74062492877215</v>
      </c>
      <c r="AU45" s="31">
        <f t="shared" si="17"/>
        <v>738.13344004911676</v>
      </c>
      <c r="AV45" s="31">
        <f t="shared" si="17"/>
        <v>789.66490695873892</v>
      </c>
      <c r="AW45" s="31">
        <f t="shared" si="17"/>
        <v>776.67221154931519</v>
      </c>
      <c r="AX45" s="31">
        <f t="shared" si="17"/>
        <v>771.03288278498519</v>
      </c>
      <c r="AY45" s="31">
        <f t="shared" si="17"/>
        <v>785.39860491052571</v>
      </c>
      <c r="AZ45" s="31">
        <f t="shared" si="18"/>
        <v>802.6366637055952</v>
      </c>
      <c r="BA45" s="31">
        <f t="shared" si="18"/>
        <v>788.17834227597984</v>
      </c>
      <c r="BB45" s="31">
        <f t="shared" si="18"/>
        <v>766.96528372052683</v>
      </c>
      <c r="BC45" s="31">
        <f t="shared" si="18"/>
        <v>720.46458148506179</v>
      </c>
      <c r="BD45" s="31">
        <f t="shared" si="19"/>
        <v>726.21051062386164</v>
      </c>
      <c r="BE45" s="31">
        <f t="shared" si="19"/>
        <v>717.74308901913389</v>
      </c>
      <c r="BF45" s="31">
        <f t="shared" si="19"/>
        <v>735.52080293184054</v>
      </c>
      <c r="BG45" s="31">
        <f t="shared" si="19"/>
        <v>731.86865097195698</v>
      </c>
      <c r="BH45" s="31">
        <f t="shared" si="19"/>
        <v>717.41882633773412</v>
      </c>
      <c r="BI45" s="31">
        <f t="shared" si="19"/>
        <v>714.61966898184744</v>
      </c>
      <c r="BJ45" s="31">
        <f t="shared" si="19"/>
        <v>721.76723033284873</v>
      </c>
      <c r="BK45" s="31">
        <f t="shared" si="19"/>
        <v>721.49220097214868</v>
      </c>
    </row>
    <row r="46" spans="2:63">
      <c r="B46" s="37">
        <v>15242</v>
      </c>
      <c r="C46" s="34">
        <f>VLOOKUP($B46,Plagioclase!$AV$7:$BA$478,2,FALSE)</f>
        <v>0.24574499274499345</v>
      </c>
      <c r="D46" s="34">
        <f>VLOOKUP($B46,Plagioclase!$AV$7:$BA$478,3,FALSE)</f>
        <v>0.70017043333162998</v>
      </c>
      <c r="E46" s="34">
        <f>VLOOKUP($B46,Plagioclase!$AV$7:$BA$478,5,FALSE)</f>
        <v>3</v>
      </c>
      <c r="F46" s="29" t="str">
        <f>VLOOKUP($B46,Plagioclase!$AV$7:$BA$478,6,FALSE)</f>
        <v>26hHP06.4</v>
      </c>
      <c r="G46" s="31">
        <f t="shared" si="21"/>
        <v>715.63171984643679</v>
      </c>
      <c r="H46" s="31">
        <f t="shared" si="21"/>
        <v>714.36492217535158</v>
      </c>
      <c r="I46" s="31">
        <f t="shared" si="21"/>
        <v>713.3138706372755</v>
      </c>
      <c r="J46" s="31">
        <f t="shared" si="21"/>
        <v>713.53709824484258</v>
      </c>
      <c r="K46" s="31">
        <f t="shared" si="21"/>
        <v>720.14531634495768</v>
      </c>
      <c r="L46" s="31">
        <f t="shared" si="21"/>
        <v>711.49023409879578</v>
      </c>
      <c r="M46" s="31">
        <f t="shared" si="21"/>
        <v>715.84700341942096</v>
      </c>
      <c r="N46" s="31">
        <f t="shared" si="21"/>
        <v>715.24041629043268</v>
      </c>
      <c r="O46" s="31">
        <f t="shared" si="21"/>
        <v>710.75849884211516</v>
      </c>
      <c r="P46" s="31">
        <f t="shared" si="21"/>
        <v>714.08484217765465</v>
      </c>
      <c r="Q46" s="31">
        <f t="shared" si="21"/>
        <v>713.78574604790174</v>
      </c>
      <c r="R46" s="31">
        <f t="shared" si="21"/>
        <v>743.76563232128285</v>
      </c>
      <c r="S46" s="31">
        <f t="shared" si="21"/>
        <v>717.05577981194654</v>
      </c>
      <c r="T46" s="31">
        <f t="shared" si="21"/>
        <v>710.94103162651754</v>
      </c>
      <c r="U46" s="31">
        <f t="shared" si="21"/>
        <v>740.90389796156649</v>
      </c>
      <c r="V46" s="31">
        <f t="shared" si="21"/>
        <v>690.58900882393061</v>
      </c>
      <c r="W46" s="31">
        <f t="shared" si="20"/>
        <v>700.46606097131621</v>
      </c>
      <c r="X46" s="31">
        <f t="shared" si="20"/>
        <v>713.97395926750858</v>
      </c>
      <c r="Y46" s="31">
        <f t="shared" si="20"/>
        <v>702.52330402050268</v>
      </c>
      <c r="Z46" s="31">
        <f t="shared" si="20"/>
        <v>721.94225436017894</v>
      </c>
      <c r="AA46" s="31">
        <f t="shared" si="20"/>
        <v>691.70017298796813</v>
      </c>
      <c r="AB46" s="31">
        <f t="shared" si="20"/>
        <v>713.38823706338144</v>
      </c>
      <c r="AC46" s="31">
        <f t="shared" si="20"/>
        <v>706.88354517697201</v>
      </c>
      <c r="AD46" s="31">
        <f t="shared" si="20"/>
        <v>709.36232760159351</v>
      </c>
      <c r="AE46" s="31">
        <f t="shared" si="20"/>
        <v>717.83830911030407</v>
      </c>
      <c r="AF46" s="31">
        <f t="shared" si="20"/>
        <v>704.58570143565555</v>
      </c>
      <c r="AG46" s="31">
        <f t="shared" si="20"/>
        <v>712.74046576356341</v>
      </c>
      <c r="AH46" s="31">
        <f t="shared" si="20"/>
        <v>796.70320751649353</v>
      </c>
      <c r="AI46" s="31">
        <f t="shared" si="20"/>
        <v>788.3179168876876</v>
      </c>
      <c r="AJ46" s="31">
        <f t="shared" si="20"/>
        <v>801.61010022377388</v>
      </c>
      <c r="AK46" s="31">
        <f t="shared" si="20"/>
        <v>707.53595647675002</v>
      </c>
      <c r="AL46" s="31">
        <f t="shared" si="17"/>
        <v>804.85776711506571</v>
      </c>
      <c r="AM46" s="31">
        <f t="shared" si="17"/>
        <v>796.27872501844934</v>
      </c>
      <c r="AN46" s="31">
        <f t="shared" si="17"/>
        <v>801.75776495499542</v>
      </c>
      <c r="AO46" s="31">
        <f t="shared" si="17"/>
        <v>810.1644766601986</v>
      </c>
      <c r="AP46" s="31">
        <f t="shared" si="17"/>
        <v>789.45587446463321</v>
      </c>
      <c r="AQ46" s="31">
        <f t="shared" si="17"/>
        <v>798.66938194437864</v>
      </c>
      <c r="AR46" s="31">
        <f t="shared" si="17"/>
        <v>714.9962928262828</v>
      </c>
      <c r="AS46" s="31">
        <f t="shared" si="17"/>
        <v>722.73355231279413</v>
      </c>
      <c r="AT46" s="31">
        <f t="shared" si="17"/>
        <v>742.7660139265347</v>
      </c>
      <c r="AU46" s="31">
        <f t="shared" si="17"/>
        <v>731.27053939878544</v>
      </c>
      <c r="AV46" s="31">
        <f t="shared" si="17"/>
        <v>782.96756801777713</v>
      </c>
      <c r="AW46" s="31">
        <f t="shared" si="17"/>
        <v>769.76701791549442</v>
      </c>
      <c r="AX46" s="31">
        <f t="shared" si="17"/>
        <v>764.11729488791605</v>
      </c>
      <c r="AY46" s="31">
        <f t="shared" si="17"/>
        <v>778.37070933003167</v>
      </c>
      <c r="AZ46" s="31">
        <f t="shared" si="18"/>
        <v>795.60460231677791</v>
      </c>
      <c r="BA46" s="31">
        <f t="shared" si="18"/>
        <v>781.22310268104968</v>
      </c>
      <c r="BB46" s="31">
        <f t="shared" si="18"/>
        <v>760.1853345653991</v>
      </c>
      <c r="BC46" s="31">
        <f t="shared" si="18"/>
        <v>713.67902003006429</v>
      </c>
      <c r="BD46" s="31">
        <f t="shared" si="19"/>
        <v>719.46856523018766</v>
      </c>
      <c r="BE46" s="31">
        <f t="shared" si="19"/>
        <v>710.91605337618569</v>
      </c>
      <c r="BF46" s="31">
        <f t="shared" si="19"/>
        <v>728.74181431481475</v>
      </c>
      <c r="BG46" s="31">
        <f t="shared" si="19"/>
        <v>725.16227649909229</v>
      </c>
      <c r="BH46" s="31">
        <f t="shared" si="19"/>
        <v>710.71863448769216</v>
      </c>
      <c r="BI46" s="31">
        <f t="shared" si="19"/>
        <v>707.80253268310685</v>
      </c>
      <c r="BJ46" s="31">
        <f t="shared" si="19"/>
        <v>714.98685444345142</v>
      </c>
      <c r="BK46" s="31">
        <f t="shared" si="19"/>
        <v>714.72557731354607</v>
      </c>
    </row>
    <row r="47" spans="2:63">
      <c r="B47" s="37">
        <v>15243</v>
      </c>
      <c r="C47" s="34">
        <f>VLOOKUP($B47,Plagioclase!$AV$7:$BA$478,2,FALSE)</f>
        <v>0.23427307941848391</v>
      </c>
      <c r="D47" s="34">
        <f>VLOOKUP($B47,Plagioclase!$AV$7:$BA$478,3,FALSE)</f>
        <v>0.7121005004570401</v>
      </c>
      <c r="E47" s="34">
        <f>VLOOKUP($B47,Plagioclase!$AV$7:$BA$478,5,FALSE)</f>
        <v>3</v>
      </c>
      <c r="F47" s="29" t="str">
        <f>VLOOKUP($B47,Plagioclase!$AV$7:$BA$478,6,FALSE)</f>
        <v>26hHP06.5</v>
      </c>
      <c r="G47" s="31">
        <f t="shared" si="21"/>
        <v>710.31821963646428</v>
      </c>
      <c r="H47" s="31">
        <f t="shared" si="21"/>
        <v>709.05089929774613</v>
      </c>
      <c r="I47" s="31">
        <f t="shared" si="21"/>
        <v>708.01921283670424</v>
      </c>
      <c r="J47" s="31">
        <f t="shared" si="21"/>
        <v>708.26045628810311</v>
      </c>
      <c r="K47" s="31">
        <f t="shared" si="21"/>
        <v>714.76101723862234</v>
      </c>
      <c r="L47" s="31">
        <f t="shared" si="21"/>
        <v>706.25874963562057</v>
      </c>
      <c r="M47" s="31">
        <f t="shared" si="21"/>
        <v>710.51220109848111</v>
      </c>
      <c r="N47" s="31">
        <f t="shared" si="21"/>
        <v>710.00718301056224</v>
      </c>
      <c r="O47" s="31">
        <f t="shared" si="21"/>
        <v>705.50786639871512</v>
      </c>
      <c r="P47" s="31">
        <f t="shared" si="21"/>
        <v>708.75088211185528</v>
      </c>
      <c r="Q47" s="31">
        <f t="shared" si="21"/>
        <v>708.54270183246808</v>
      </c>
      <c r="R47" s="31">
        <f t="shared" si="21"/>
        <v>738.54064353604224</v>
      </c>
      <c r="S47" s="31">
        <f t="shared" si="21"/>
        <v>711.75195829363702</v>
      </c>
      <c r="T47" s="31">
        <f t="shared" si="21"/>
        <v>705.59546210659732</v>
      </c>
      <c r="U47" s="31">
        <f t="shared" si="21"/>
        <v>735.70377779784906</v>
      </c>
      <c r="V47" s="31">
        <f t="shared" si="21"/>
        <v>685.40298878118858</v>
      </c>
      <c r="W47" s="31">
        <f t="shared" si="20"/>
        <v>695.291515935235</v>
      </c>
      <c r="X47" s="31">
        <f t="shared" si="20"/>
        <v>708.66589759004228</v>
      </c>
      <c r="Y47" s="31">
        <f t="shared" si="20"/>
        <v>697.39992578288832</v>
      </c>
      <c r="Z47" s="31">
        <f t="shared" si="20"/>
        <v>716.62449883714987</v>
      </c>
      <c r="AA47" s="31">
        <f t="shared" si="20"/>
        <v>686.45056111172323</v>
      </c>
      <c r="AB47" s="31">
        <f t="shared" si="20"/>
        <v>708.05991408982982</v>
      </c>
      <c r="AC47" s="31">
        <f t="shared" si="20"/>
        <v>701.6379939500215</v>
      </c>
      <c r="AD47" s="31">
        <f t="shared" si="20"/>
        <v>704.12858787246341</v>
      </c>
      <c r="AE47" s="31">
        <f t="shared" si="20"/>
        <v>712.64513196503856</v>
      </c>
      <c r="AF47" s="31">
        <f t="shared" si="20"/>
        <v>699.32009050054728</v>
      </c>
      <c r="AG47" s="31">
        <f t="shared" si="20"/>
        <v>707.42866069798538</v>
      </c>
      <c r="AH47" s="31">
        <f t="shared" si="20"/>
        <v>791.3323773498347</v>
      </c>
      <c r="AI47" s="31">
        <f t="shared" si="20"/>
        <v>783.02115865961571</v>
      </c>
      <c r="AJ47" s="31">
        <f t="shared" si="20"/>
        <v>796.18575240723442</v>
      </c>
      <c r="AK47" s="31">
        <f t="shared" si="20"/>
        <v>702.20070723094852</v>
      </c>
      <c r="AL47" s="31">
        <f t="shared" si="17"/>
        <v>799.45416728021758</v>
      </c>
      <c r="AM47" s="31">
        <f t="shared" si="17"/>
        <v>790.96755261922056</v>
      </c>
      <c r="AN47" s="31">
        <f t="shared" si="17"/>
        <v>796.34554673076707</v>
      </c>
      <c r="AO47" s="31">
        <f t="shared" si="17"/>
        <v>804.658114602404</v>
      </c>
      <c r="AP47" s="31">
        <f t="shared" si="17"/>
        <v>784.0366286482498</v>
      </c>
      <c r="AQ47" s="31">
        <f t="shared" si="17"/>
        <v>793.37272575489067</v>
      </c>
      <c r="AR47" s="31">
        <f t="shared" si="17"/>
        <v>709.73010160935155</v>
      </c>
      <c r="AS47" s="31">
        <f t="shared" si="17"/>
        <v>717.35117517098831</v>
      </c>
      <c r="AT47" s="31">
        <f t="shared" si="17"/>
        <v>737.4000440912472</v>
      </c>
      <c r="AU47" s="31">
        <f t="shared" si="17"/>
        <v>725.99021184744879</v>
      </c>
      <c r="AV47" s="31">
        <f t="shared" si="17"/>
        <v>777.8101716703701</v>
      </c>
      <c r="AW47" s="31">
        <f t="shared" si="17"/>
        <v>764.4521731254689</v>
      </c>
      <c r="AX47" s="31">
        <f t="shared" si="17"/>
        <v>758.79488096755415</v>
      </c>
      <c r="AY47" s="31">
        <f t="shared" si="17"/>
        <v>772.96201676785734</v>
      </c>
      <c r="AZ47" s="31">
        <f t="shared" si="18"/>
        <v>790.19171534785607</v>
      </c>
      <c r="BA47" s="31">
        <f t="shared" si="18"/>
        <v>775.86950776386959</v>
      </c>
      <c r="BB47" s="31">
        <f t="shared" si="18"/>
        <v>754.96634017850363</v>
      </c>
      <c r="BC47" s="31">
        <f t="shared" si="18"/>
        <v>708.45859583325546</v>
      </c>
      <c r="BD47" s="31">
        <f t="shared" si="19"/>
        <v>714.280930578778</v>
      </c>
      <c r="BE47" s="31">
        <f t="shared" si="19"/>
        <v>705.66428842507366</v>
      </c>
      <c r="BF47" s="31">
        <f t="shared" si="19"/>
        <v>723.52543913033628</v>
      </c>
      <c r="BG47" s="31">
        <f t="shared" si="19"/>
        <v>720.00133757237427</v>
      </c>
      <c r="BH47" s="31">
        <f t="shared" si="19"/>
        <v>705.56329016542338</v>
      </c>
      <c r="BI47" s="31">
        <f t="shared" si="19"/>
        <v>702.55849280854011</v>
      </c>
      <c r="BJ47" s="31">
        <f t="shared" si="19"/>
        <v>709.77028819339921</v>
      </c>
      <c r="BK47" s="31">
        <f t="shared" si="19"/>
        <v>709.51948075694679</v>
      </c>
    </row>
    <row r="48" spans="2:63">
      <c r="B48" s="37">
        <v>15249</v>
      </c>
      <c r="C48" s="34">
        <f>VLOOKUP($B48,Plagioclase!$AV$7:$BA$478,2,FALSE)</f>
        <v>0.21133893673266174</v>
      </c>
      <c r="D48" s="34">
        <f>VLOOKUP($B48,Plagioclase!$AV$7:$BA$478,3,FALSE)</f>
        <v>0.72497148823796098</v>
      </c>
      <c r="E48" s="34">
        <f>VLOOKUP($B48,Plagioclase!$AV$7:$BA$478,5,FALSE)</f>
        <v>3</v>
      </c>
      <c r="F48" s="29" t="str">
        <f>VLOOKUP($B48,Plagioclase!$AV$7:$BA$478,6,FALSE)</f>
        <v>26hHP08.1</v>
      </c>
      <c r="G48" s="31">
        <f t="shared" si="21"/>
        <v>700.53814606037645</v>
      </c>
      <c r="H48" s="31">
        <f t="shared" si="21"/>
        <v>699.27007104347808</v>
      </c>
      <c r="I48" s="31">
        <f t="shared" si="21"/>
        <v>698.27364055824819</v>
      </c>
      <c r="J48" s="31">
        <f t="shared" si="21"/>
        <v>698.54750456298143</v>
      </c>
      <c r="K48" s="31">
        <f t="shared" si="21"/>
        <v>704.85195674849911</v>
      </c>
      <c r="L48" s="31">
        <f t="shared" si="21"/>
        <v>696.62796568760996</v>
      </c>
      <c r="M48" s="31">
        <f t="shared" si="21"/>
        <v>700.69348988114143</v>
      </c>
      <c r="N48" s="31">
        <f t="shared" si="21"/>
        <v>700.37267359378438</v>
      </c>
      <c r="O48" s="31">
        <f t="shared" si="21"/>
        <v>695.84247873124275</v>
      </c>
      <c r="P48" s="31">
        <f t="shared" si="21"/>
        <v>698.93396708970363</v>
      </c>
      <c r="Q48" s="31">
        <f t="shared" si="21"/>
        <v>698.89061943862021</v>
      </c>
      <c r="R48" s="31">
        <f t="shared" si="21"/>
        <v>728.9170079654707</v>
      </c>
      <c r="S48" s="31">
        <f t="shared" si="21"/>
        <v>701.98921139807942</v>
      </c>
      <c r="T48" s="31">
        <f t="shared" si="21"/>
        <v>695.75799678846147</v>
      </c>
      <c r="U48" s="31">
        <f t="shared" si="21"/>
        <v>726.12567219688333</v>
      </c>
      <c r="V48" s="31">
        <f t="shared" si="21"/>
        <v>675.85775694752886</v>
      </c>
      <c r="W48" s="31">
        <f t="shared" si="20"/>
        <v>685.76559898173355</v>
      </c>
      <c r="X48" s="31">
        <f t="shared" si="20"/>
        <v>698.89593230594107</v>
      </c>
      <c r="Y48" s="31">
        <f t="shared" si="20"/>
        <v>687.96648797527382</v>
      </c>
      <c r="Z48" s="31">
        <f t="shared" si="20"/>
        <v>706.83575975855399</v>
      </c>
      <c r="AA48" s="31">
        <f t="shared" si="20"/>
        <v>676.78993161456003</v>
      </c>
      <c r="AB48" s="31">
        <f t="shared" si="20"/>
        <v>698.25332070115019</v>
      </c>
      <c r="AC48" s="31">
        <f t="shared" si="20"/>
        <v>691.98239870791826</v>
      </c>
      <c r="AD48" s="31">
        <f t="shared" si="20"/>
        <v>694.49403195297259</v>
      </c>
      <c r="AE48" s="31">
        <f t="shared" si="20"/>
        <v>703.08288393259966</v>
      </c>
      <c r="AF48" s="31">
        <f t="shared" si="20"/>
        <v>689.6284870291779</v>
      </c>
      <c r="AG48" s="31">
        <f t="shared" si="20"/>
        <v>697.65209923946634</v>
      </c>
      <c r="AH48" s="31">
        <f t="shared" si="20"/>
        <v>781.43679129499435</v>
      </c>
      <c r="AI48" s="31">
        <f t="shared" si="20"/>
        <v>773.26120790427842</v>
      </c>
      <c r="AJ48" s="31">
        <f t="shared" si="20"/>
        <v>786.19232904810349</v>
      </c>
      <c r="AK48" s="31">
        <f t="shared" si="20"/>
        <v>692.38246810554551</v>
      </c>
      <c r="AL48" s="31">
        <f t="shared" si="17"/>
        <v>789.49798864473166</v>
      </c>
      <c r="AM48" s="31">
        <f t="shared" si="17"/>
        <v>781.18038017848642</v>
      </c>
      <c r="AN48" s="31">
        <f t="shared" si="17"/>
        <v>786.37412886047935</v>
      </c>
      <c r="AO48" s="31">
        <f t="shared" si="17"/>
        <v>794.51463313941065</v>
      </c>
      <c r="AP48" s="31">
        <f t="shared" si="17"/>
        <v>774.05411427446904</v>
      </c>
      <c r="AQ48" s="31">
        <f t="shared" si="17"/>
        <v>783.61161650382121</v>
      </c>
      <c r="AR48" s="31">
        <f t="shared" si="17"/>
        <v>700.03587557279855</v>
      </c>
      <c r="AS48" s="31">
        <f t="shared" si="17"/>
        <v>707.44519865677808</v>
      </c>
      <c r="AT48" s="31">
        <f t="shared" si="17"/>
        <v>727.52080230051513</v>
      </c>
      <c r="AU48" s="31">
        <f t="shared" si="17"/>
        <v>716.2679562961381</v>
      </c>
      <c r="AV48" s="31">
        <f t="shared" si="17"/>
        <v>768.30411611550164</v>
      </c>
      <c r="AW48" s="31">
        <f t="shared" si="17"/>
        <v>754.66186355898583</v>
      </c>
      <c r="AX48" s="31">
        <f t="shared" si="17"/>
        <v>748.99161025295246</v>
      </c>
      <c r="AY48" s="31">
        <f t="shared" si="17"/>
        <v>763.00018642266957</v>
      </c>
      <c r="AZ48" s="31">
        <f t="shared" si="18"/>
        <v>780.21990903790936</v>
      </c>
      <c r="BA48" s="31">
        <f t="shared" si="18"/>
        <v>766.00729325512668</v>
      </c>
      <c r="BB48" s="31">
        <f t="shared" si="18"/>
        <v>745.35134386997072</v>
      </c>
      <c r="BC48" s="31">
        <f t="shared" si="18"/>
        <v>698.84754190635874</v>
      </c>
      <c r="BD48" s="31">
        <f t="shared" si="19"/>
        <v>704.72850082270963</v>
      </c>
      <c r="BE48" s="31">
        <f t="shared" si="19"/>
        <v>695.99682421728608</v>
      </c>
      <c r="BF48" s="31">
        <f t="shared" si="19"/>
        <v>713.91954687611951</v>
      </c>
      <c r="BG48" s="31">
        <f t="shared" si="19"/>
        <v>710.49652979932046</v>
      </c>
      <c r="BH48" s="31">
        <f t="shared" si="19"/>
        <v>696.07068967202724</v>
      </c>
      <c r="BI48" s="31">
        <f t="shared" si="19"/>
        <v>692.90549883001484</v>
      </c>
      <c r="BJ48" s="31">
        <f t="shared" si="19"/>
        <v>700.16603777419698</v>
      </c>
      <c r="BK48" s="31">
        <f t="shared" si="19"/>
        <v>699.93425423070607</v>
      </c>
    </row>
    <row r="49" spans="2:63">
      <c r="B49" s="37">
        <v>15251</v>
      </c>
      <c r="C49" s="34">
        <f>VLOOKUP($B49,Plagioclase!$AV$7:$BA$478,2,FALSE)</f>
        <v>0.27123337928800362</v>
      </c>
      <c r="D49" s="34">
        <f>VLOOKUP($B49,Plagioclase!$AV$7:$BA$478,3,FALSE)</f>
        <v>0.68038752606387454</v>
      </c>
      <c r="E49" s="34">
        <f>VLOOKUP($B49,Plagioclase!$AV$7:$BA$478,5,FALSE)</f>
        <v>3</v>
      </c>
      <c r="F49" s="29" t="str">
        <f>VLOOKUP($B49,Plagioclase!$AV$7:$BA$478,6,FALSE)</f>
        <v>26hHP08.3</v>
      </c>
      <c r="G49" s="31">
        <f t="shared" si="21"/>
        <v>726.25923160737307</v>
      </c>
      <c r="H49" s="31">
        <f t="shared" si="21"/>
        <v>724.9937172958181</v>
      </c>
      <c r="I49" s="31">
        <f t="shared" si="21"/>
        <v>723.90348896313753</v>
      </c>
      <c r="J49" s="31">
        <f t="shared" si="21"/>
        <v>724.09006401366003</v>
      </c>
      <c r="K49" s="31">
        <f t="shared" si="21"/>
        <v>730.91595501170195</v>
      </c>
      <c r="L49" s="31">
        <f t="shared" si="21"/>
        <v>721.95179130591339</v>
      </c>
      <c r="M49" s="31">
        <f t="shared" si="21"/>
        <v>726.51777706641292</v>
      </c>
      <c r="N49" s="31">
        <f t="shared" si="21"/>
        <v>725.70489031048646</v>
      </c>
      <c r="O49" s="31">
        <f t="shared" si="21"/>
        <v>721.25908825054728</v>
      </c>
      <c r="P49" s="31">
        <f t="shared" si="21"/>
        <v>724.75421354910225</v>
      </c>
      <c r="Q49" s="31">
        <f t="shared" si="21"/>
        <v>724.27039924768133</v>
      </c>
      <c r="R49" s="31">
        <f t="shared" si="21"/>
        <v>754.20868798632875</v>
      </c>
      <c r="S49" s="31">
        <f t="shared" si="21"/>
        <v>727.6633732460233</v>
      </c>
      <c r="T49" s="31">
        <f t="shared" si="21"/>
        <v>721.63456239603499</v>
      </c>
      <c r="U49" s="31">
        <f t="shared" si="21"/>
        <v>751.29693531578835</v>
      </c>
      <c r="V49" s="31">
        <f t="shared" si="21"/>
        <v>700.96177828572502</v>
      </c>
      <c r="W49" s="31">
        <f t="shared" si="20"/>
        <v>710.81380703086143</v>
      </c>
      <c r="X49" s="31">
        <f t="shared" si="20"/>
        <v>724.59070600782024</v>
      </c>
      <c r="Y49" s="31">
        <f t="shared" si="20"/>
        <v>712.76676353618211</v>
      </c>
      <c r="Z49" s="31">
        <f t="shared" si="20"/>
        <v>732.57732113711313</v>
      </c>
      <c r="AA49" s="31">
        <f t="shared" si="20"/>
        <v>702.20202656642903</v>
      </c>
      <c r="AB49" s="31">
        <f t="shared" si="20"/>
        <v>724.04627166411399</v>
      </c>
      <c r="AC49" s="31">
        <f t="shared" si="20"/>
        <v>717.37447636979198</v>
      </c>
      <c r="AD49" s="31">
        <f t="shared" si="20"/>
        <v>719.82883039639864</v>
      </c>
      <c r="AE49" s="31">
        <f t="shared" si="20"/>
        <v>728.22098597031891</v>
      </c>
      <c r="AF49" s="31">
        <f t="shared" si="20"/>
        <v>715.11780270365568</v>
      </c>
      <c r="AG49" s="31">
        <f t="shared" si="20"/>
        <v>723.36503700950311</v>
      </c>
      <c r="AH49" s="31">
        <f t="shared" si="20"/>
        <v>807.43393875176037</v>
      </c>
      <c r="AI49" s="31">
        <f t="shared" si="20"/>
        <v>798.89969448090335</v>
      </c>
      <c r="AJ49" s="31">
        <f t="shared" si="20"/>
        <v>812.44863552916979</v>
      </c>
      <c r="AK49" s="31">
        <f t="shared" si="20"/>
        <v>718.20911052707049</v>
      </c>
      <c r="AL49" s="31">
        <f t="shared" si="17"/>
        <v>815.6537245471651</v>
      </c>
      <c r="AM49" s="31">
        <f t="shared" si="17"/>
        <v>806.88854247233269</v>
      </c>
      <c r="AN49" s="31">
        <f t="shared" si="17"/>
        <v>812.57167349302279</v>
      </c>
      <c r="AO49" s="31">
        <f t="shared" si="17"/>
        <v>821.16807562338124</v>
      </c>
      <c r="AP49" s="31">
        <f t="shared" si="17"/>
        <v>800.28594258577016</v>
      </c>
      <c r="AQ49" s="31">
        <f t="shared" si="17"/>
        <v>809.24941646721265</v>
      </c>
      <c r="AR49" s="31">
        <f t="shared" si="17"/>
        <v>725.52777096739703</v>
      </c>
      <c r="AS49" s="31">
        <f t="shared" si="17"/>
        <v>733.49982608054984</v>
      </c>
      <c r="AT49" s="31">
        <f t="shared" si="17"/>
        <v>753.49549637930465</v>
      </c>
      <c r="AU49" s="31">
        <f t="shared" si="17"/>
        <v>741.82798651205712</v>
      </c>
      <c r="AV49" s="31">
        <f t="shared" si="17"/>
        <v>793.26762028788642</v>
      </c>
      <c r="AW49" s="31">
        <f t="shared" si="17"/>
        <v>780.38832383571582</v>
      </c>
      <c r="AX49" s="31">
        <f t="shared" si="17"/>
        <v>774.75485095046145</v>
      </c>
      <c r="AY49" s="31">
        <f t="shared" si="17"/>
        <v>789.18111202095281</v>
      </c>
      <c r="AZ49" s="31">
        <f t="shared" si="18"/>
        <v>806.42081221823662</v>
      </c>
      <c r="BA49" s="31">
        <f t="shared" si="18"/>
        <v>791.92124741221562</v>
      </c>
      <c r="BB49" s="31">
        <f t="shared" si="18"/>
        <v>770.61366074383238</v>
      </c>
      <c r="BC49" s="31">
        <f t="shared" si="18"/>
        <v>724.11773587728783</v>
      </c>
      <c r="BD49" s="31">
        <f t="shared" si="19"/>
        <v>729.83971729260645</v>
      </c>
      <c r="BE49" s="31">
        <f t="shared" si="19"/>
        <v>721.41891704448506</v>
      </c>
      <c r="BF49" s="31">
        <f t="shared" si="19"/>
        <v>739.16980569914642</v>
      </c>
      <c r="BG49" s="31">
        <f t="shared" si="19"/>
        <v>735.4782995286746</v>
      </c>
      <c r="BH49" s="31">
        <f t="shared" si="19"/>
        <v>721.02565597685668</v>
      </c>
      <c r="BI49" s="31">
        <f t="shared" si="19"/>
        <v>718.29023387178268</v>
      </c>
      <c r="BJ49" s="31">
        <f t="shared" si="19"/>
        <v>725.41751293776235</v>
      </c>
      <c r="BK49" s="31">
        <f t="shared" si="19"/>
        <v>725.13501254623986</v>
      </c>
    </row>
    <row r="50" spans="2:63">
      <c r="B50" s="37">
        <v>15252</v>
      </c>
      <c r="C50" s="34">
        <f>VLOOKUP($B50,Plagioclase!$AV$7:$BA$478,2,FALSE)</f>
        <v>0.20912773170550106</v>
      </c>
      <c r="D50" s="34">
        <f>VLOOKUP($B50,Plagioclase!$AV$7:$BA$478,3,FALSE)</f>
        <v>0.72734905199712141</v>
      </c>
      <c r="E50" s="34">
        <f>VLOOKUP($B50,Plagioclase!$AV$7:$BA$478,5,FALSE)</f>
        <v>3</v>
      </c>
      <c r="F50" s="29" t="str">
        <f>VLOOKUP($B50,Plagioclase!$AV$7:$BA$478,6,FALSE)</f>
        <v>26hHP08.4</v>
      </c>
      <c r="G50" s="31">
        <f t="shared" si="21"/>
        <v>699.43513639193225</v>
      </c>
      <c r="H50" s="31">
        <f t="shared" si="21"/>
        <v>698.1669931225963</v>
      </c>
      <c r="I50" s="31">
        <f t="shared" si="21"/>
        <v>697.17450733768089</v>
      </c>
      <c r="J50" s="31">
        <f t="shared" si="21"/>
        <v>697.45200645019042</v>
      </c>
      <c r="K50" s="31">
        <f t="shared" si="21"/>
        <v>703.73450759059529</v>
      </c>
      <c r="L50" s="31">
        <f t="shared" si="21"/>
        <v>695.54165733272646</v>
      </c>
      <c r="M50" s="31">
        <f t="shared" si="21"/>
        <v>699.58616905573024</v>
      </c>
      <c r="N50" s="31">
        <f t="shared" si="21"/>
        <v>699.28590386274163</v>
      </c>
      <c r="O50" s="31">
        <f t="shared" si="21"/>
        <v>694.7523198009585</v>
      </c>
      <c r="P50" s="31">
        <f t="shared" si="21"/>
        <v>697.82686883780889</v>
      </c>
      <c r="Q50" s="31">
        <f t="shared" si="21"/>
        <v>697.80190727041702</v>
      </c>
      <c r="R50" s="31">
        <f t="shared" si="21"/>
        <v>727.83111450308252</v>
      </c>
      <c r="S50" s="31">
        <f t="shared" si="21"/>
        <v>700.88811616926341</v>
      </c>
      <c r="T50" s="31">
        <f t="shared" si="21"/>
        <v>694.64864736218158</v>
      </c>
      <c r="U50" s="31">
        <f t="shared" si="21"/>
        <v>725.04489383833368</v>
      </c>
      <c r="V50" s="31">
        <f t="shared" si="21"/>
        <v>674.78124935993333</v>
      </c>
      <c r="W50" s="31">
        <f t="shared" si="20"/>
        <v>684.69112285556423</v>
      </c>
      <c r="X50" s="31">
        <f t="shared" si="20"/>
        <v>697.79407064008331</v>
      </c>
      <c r="Y50" s="31">
        <f t="shared" si="20"/>
        <v>686.90230353814741</v>
      </c>
      <c r="Z50" s="31">
        <f t="shared" si="20"/>
        <v>705.73170502638766</v>
      </c>
      <c r="AA50" s="31">
        <f t="shared" si="20"/>
        <v>675.70054347317148</v>
      </c>
      <c r="AB50" s="31">
        <f t="shared" si="20"/>
        <v>697.14738214247438</v>
      </c>
      <c r="AC50" s="31">
        <f t="shared" si="20"/>
        <v>690.89337995903554</v>
      </c>
      <c r="AD50" s="31">
        <f t="shared" si="20"/>
        <v>693.40732902790819</v>
      </c>
      <c r="AE50" s="31">
        <f t="shared" si="20"/>
        <v>702.00414462054857</v>
      </c>
      <c r="AF50" s="31">
        <f t="shared" si="20"/>
        <v>688.53548154003147</v>
      </c>
      <c r="AG50" s="31">
        <f t="shared" si="20"/>
        <v>696.54951755000525</v>
      </c>
      <c r="AH50" s="31">
        <f t="shared" si="20"/>
        <v>780.31994067011613</v>
      </c>
      <c r="AI50" s="31">
        <f t="shared" si="20"/>
        <v>772.15959716811551</v>
      </c>
      <c r="AJ50" s="31">
        <f t="shared" si="20"/>
        <v>785.06449862398529</v>
      </c>
      <c r="AK50" s="31">
        <f t="shared" si="20"/>
        <v>691.27530578063909</v>
      </c>
      <c r="AL50" s="31">
        <f t="shared" si="17"/>
        <v>788.37428178344942</v>
      </c>
      <c r="AM50" s="31">
        <f t="shared" si="17"/>
        <v>780.07564303212564</v>
      </c>
      <c r="AN50" s="31">
        <f t="shared" si="17"/>
        <v>785.24875413948018</v>
      </c>
      <c r="AO50" s="31">
        <f t="shared" si="17"/>
        <v>793.36995213755711</v>
      </c>
      <c r="AP50" s="31">
        <f t="shared" si="17"/>
        <v>772.92763786695753</v>
      </c>
      <c r="AQ50" s="31">
        <f t="shared" si="17"/>
        <v>782.50976535523262</v>
      </c>
      <c r="AR50" s="31">
        <f t="shared" si="17"/>
        <v>698.94244788328035</v>
      </c>
      <c r="AS50" s="31">
        <f t="shared" si="17"/>
        <v>706.32806043514495</v>
      </c>
      <c r="AT50" s="31">
        <f t="shared" si="17"/>
        <v>726.40639745424653</v>
      </c>
      <c r="AU50" s="31">
        <f t="shared" si="17"/>
        <v>715.17120386236377</v>
      </c>
      <c r="AV50" s="31">
        <f t="shared" si="17"/>
        <v>767.23092672295468</v>
      </c>
      <c r="AW50" s="31">
        <f t="shared" si="17"/>
        <v>753.55706778875958</v>
      </c>
      <c r="AX50" s="31">
        <f t="shared" si="17"/>
        <v>747.8854317676479</v>
      </c>
      <c r="AY50" s="31">
        <f t="shared" si="17"/>
        <v>761.87614537691491</v>
      </c>
      <c r="AZ50" s="31">
        <f t="shared" si="18"/>
        <v>779.09455915297315</v>
      </c>
      <c r="BA50" s="31">
        <f t="shared" si="18"/>
        <v>764.89434061375107</v>
      </c>
      <c r="BB50" s="31">
        <f t="shared" si="18"/>
        <v>744.26622973444091</v>
      </c>
      <c r="BC50" s="31">
        <f t="shared" si="18"/>
        <v>697.76340767044735</v>
      </c>
      <c r="BD50" s="31">
        <f t="shared" si="19"/>
        <v>703.65083763319785</v>
      </c>
      <c r="BE50" s="31">
        <f t="shared" si="19"/>
        <v>694.90643173973069</v>
      </c>
      <c r="BF50" s="31">
        <f t="shared" si="19"/>
        <v>712.83580833524707</v>
      </c>
      <c r="BG50" s="31">
        <f t="shared" si="19"/>
        <v>709.42411419590428</v>
      </c>
      <c r="BH50" s="31">
        <f t="shared" si="19"/>
        <v>694.99980628764183</v>
      </c>
      <c r="BI50" s="31">
        <f t="shared" si="19"/>
        <v>691.81675877100542</v>
      </c>
      <c r="BJ50" s="31">
        <f t="shared" si="19"/>
        <v>699.08264664406749</v>
      </c>
      <c r="BK50" s="31">
        <f t="shared" si="19"/>
        <v>698.85298856537952</v>
      </c>
    </row>
    <row r="51" spans="2:63">
      <c r="B51" s="37">
        <v>15253</v>
      </c>
      <c r="C51" s="34">
        <f>VLOOKUP($B51,Plagioclase!$AV$7:$BA$478,2,FALSE)</f>
        <v>0.25121427856293504</v>
      </c>
      <c r="D51" s="34">
        <f>VLOOKUP($B51,Plagioclase!$AV$7:$BA$478,3,FALSE)</f>
        <v>0.7006808710680511</v>
      </c>
      <c r="E51" s="34">
        <f>VLOOKUP($B51,Plagioclase!$AV$7:$BA$478,5,FALSE)</f>
        <v>3</v>
      </c>
      <c r="F51" s="29" t="str">
        <f>VLOOKUP($B51,Plagioclase!$AV$7:$BA$478,6,FALSE)</f>
        <v>26hHP08.5</v>
      </c>
      <c r="G51" s="31">
        <f t="shared" si="21"/>
        <v>717.39211359407909</v>
      </c>
      <c r="H51" s="31">
        <f t="shared" si="21"/>
        <v>716.12550657806219</v>
      </c>
      <c r="I51" s="31">
        <f t="shared" si="21"/>
        <v>715.06800658294014</v>
      </c>
      <c r="J51" s="31">
        <f t="shared" si="21"/>
        <v>715.28521992344156</v>
      </c>
      <c r="K51" s="31">
        <f t="shared" si="21"/>
        <v>721.92927807060528</v>
      </c>
      <c r="L51" s="31">
        <f t="shared" si="21"/>
        <v>713.22331475903434</v>
      </c>
      <c r="M51" s="31">
        <f t="shared" si="21"/>
        <v>717.61450287093396</v>
      </c>
      <c r="N51" s="31">
        <f t="shared" si="21"/>
        <v>716.9740336279076</v>
      </c>
      <c r="O51" s="31">
        <f t="shared" si="21"/>
        <v>712.49797733171692</v>
      </c>
      <c r="P51" s="31">
        <f t="shared" si="21"/>
        <v>715.85208333519427</v>
      </c>
      <c r="Q51" s="31">
        <f t="shared" si="21"/>
        <v>715.52265471141959</v>
      </c>
      <c r="R51" s="31">
        <f t="shared" si="21"/>
        <v>745.49615573991844</v>
      </c>
      <c r="S51" s="31">
        <f t="shared" si="21"/>
        <v>718.81292578706211</v>
      </c>
      <c r="T51" s="31">
        <f t="shared" si="21"/>
        <v>712.71218810333301</v>
      </c>
      <c r="U51" s="31">
        <f t="shared" si="21"/>
        <v>742.62616175842595</v>
      </c>
      <c r="V51" s="31">
        <f t="shared" si="21"/>
        <v>692.30718457374201</v>
      </c>
      <c r="W51" s="31">
        <f t="shared" si="20"/>
        <v>702.18028264631596</v>
      </c>
      <c r="X51" s="31">
        <f t="shared" si="20"/>
        <v>715.73255947179155</v>
      </c>
      <c r="Y51" s="31">
        <f t="shared" si="20"/>
        <v>704.22043060075566</v>
      </c>
      <c r="Z51" s="31">
        <f t="shared" si="20"/>
        <v>723.70398764158267</v>
      </c>
      <c r="AA51" s="31">
        <f t="shared" si="20"/>
        <v>693.43955631139647</v>
      </c>
      <c r="AB51" s="31">
        <f t="shared" si="20"/>
        <v>715.15360605909689</v>
      </c>
      <c r="AC51" s="31">
        <f t="shared" si="20"/>
        <v>708.62137733222028</v>
      </c>
      <c r="AD51" s="31">
        <f t="shared" si="20"/>
        <v>711.09618741354518</v>
      </c>
      <c r="AE51" s="31">
        <f t="shared" si="20"/>
        <v>719.55853200567117</v>
      </c>
      <c r="AF51" s="31">
        <f t="shared" si="20"/>
        <v>706.33025657846758</v>
      </c>
      <c r="AG51" s="31">
        <f t="shared" si="20"/>
        <v>714.50033097207609</v>
      </c>
      <c r="AH51" s="31">
        <f t="shared" si="20"/>
        <v>798.48175317293942</v>
      </c>
      <c r="AI51" s="31">
        <f t="shared" si="20"/>
        <v>790.07186299814646</v>
      </c>
      <c r="AJ51" s="31">
        <f t="shared" si="20"/>
        <v>803.40643279022413</v>
      </c>
      <c r="AK51" s="31">
        <f t="shared" si="20"/>
        <v>709.30371324812211</v>
      </c>
      <c r="AL51" s="31">
        <f t="shared" si="17"/>
        <v>806.6471462804501</v>
      </c>
      <c r="AM51" s="31">
        <f t="shared" si="17"/>
        <v>798.03738849303465</v>
      </c>
      <c r="AN51" s="31">
        <f t="shared" si="17"/>
        <v>803.55005195177148</v>
      </c>
      <c r="AO51" s="31">
        <f t="shared" si="17"/>
        <v>811.98805662038569</v>
      </c>
      <c r="AP51" s="31">
        <f t="shared" si="17"/>
        <v>791.25064453879247</v>
      </c>
      <c r="AQ51" s="31">
        <f t="shared" si="17"/>
        <v>800.42318097002214</v>
      </c>
      <c r="AR51" s="31">
        <f t="shared" si="17"/>
        <v>716.740909097187</v>
      </c>
      <c r="AS51" s="31">
        <f t="shared" si="17"/>
        <v>724.51683900467037</v>
      </c>
      <c r="AT51" s="31">
        <f t="shared" si="17"/>
        <v>744.54357255765365</v>
      </c>
      <c r="AU51" s="31">
        <f t="shared" si="17"/>
        <v>733.01966963957022</v>
      </c>
      <c r="AV51" s="31">
        <f t="shared" si="17"/>
        <v>784.67512273315754</v>
      </c>
      <c r="AW51" s="31">
        <f t="shared" si="17"/>
        <v>771.52720298334305</v>
      </c>
      <c r="AX51" s="31">
        <f t="shared" si="17"/>
        <v>765.88006940072103</v>
      </c>
      <c r="AY51" s="31">
        <f t="shared" si="17"/>
        <v>780.16208914044444</v>
      </c>
      <c r="AZ51" s="31">
        <f t="shared" si="18"/>
        <v>797.39718179511794</v>
      </c>
      <c r="BA51" s="31">
        <f t="shared" si="18"/>
        <v>782.99607695437828</v>
      </c>
      <c r="BB51" s="31">
        <f t="shared" si="18"/>
        <v>761.91367040171224</v>
      </c>
      <c r="BC51" s="31">
        <f t="shared" si="18"/>
        <v>715.40838343975349</v>
      </c>
      <c r="BD51" s="31">
        <f t="shared" si="19"/>
        <v>721.18691956025305</v>
      </c>
      <c r="BE51" s="31">
        <f t="shared" si="19"/>
        <v>712.65590774381985</v>
      </c>
      <c r="BF51" s="31">
        <f t="shared" si="19"/>
        <v>730.46964315221373</v>
      </c>
      <c r="BG51" s="31">
        <f t="shared" si="19"/>
        <v>726.87165876992253</v>
      </c>
      <c r="BH51" s="31">
        <f t="shared" si="19"/>
        <v>712.42632417002255</v>
      </c>
      <c r="BI51" s="31">
        <f t="shared" si="19"/>
        <v>709.53984889020671</v>
      </c>
      <c r="BJ51" s="31">
        <f t="shared" si="19"/>
        <v>716.71491461334347</v>
      </c>
      <c r="BK51" s="31">
        <f t="shared" si="19"/>
        <v>716.45014801332309</v>
      </c>
    </row>
  </sheetData>
  <mergeCells count="1">
    <mergeCell ref="A13:A17"/>
  </mergeCells>
  <conditionalFormatting sqref="H13:P14">
    <cfRule type="colorScale" priority="4">
      <colorScale>
        <cfvo type="num" val="600"/>
        <cfvo type="num" val="1200"/>
        <color rgb="FF0000FF"/>
        <color rgb="FFFF0000"/>
      </colorScale>
    </cfRule>
  </conditionalFormatting>
  <conditionalFormatting sqref="G14:P14">
    <cfRule type="colorScale" priority="3">
      <colorScale>
        <cfvo type="num" val="600"/>
        <cfvo type="num" val="1200"/>
        <color rgb="FF0000FF"/>
        <color rgb="FFFF0000"/>
      </colorScale>
    </cfRule>
  </conditionalFormatting>
  <conditionalFormatting sqref="G9:BK10 G13:BK51">
    <cfRule type="colorScale" priority="2">
      <colorScale>
        <cfvo type="num" val="600"/>
        <cfvo type="num" val="900"/>
        <cfvo type="num" val="1200"/>
        <color rgb="FF0000FF"/>
        <color rgb="FFFF0000"/>
        <color rgb="FFFFFF00"/>
      </colorScale>
    </cfRule>
  </conditionalFormatting>
  <conditionalFormatting sqref="H13:P14 G14">
    <cfRule type="colorScale" priority="11">
      <colorScale>
        <cfvo type="min"/>
        <cfvo type="max"/>
        <color rgb="FF0000FF"/>
        <color rgb="FFFF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H47" sqref="H47"/>
    </sheetView>
  </sheetViews>
  <sheetFormatPr baseColWidth="10" defaultRowHeight="15" x14ac:dyDescent="0"/>
  <cols>
    <col min="1" max="1" width="3.5" customWidth="1"/>
    <col min="2" max="2" width="7.5" bestFit="1" customWidth="1"/>
    <col min="3" max="3" width="8" bestFit="1" customWidth="1"/>
    <col min="4" max="4" width="6.5" customWidth="1"/>
    <col min="5" max="5" width="12.1640625" bestFit="1" customWidth="1"/>
    <col min="6" max="6" width="9.5" customWidth="1"/>
    <col min="7" max="7" width="10.5" bestFit="1" customWidth="1"/>
    <col min="8" max="16" width="9.6640625" bestFit="1" customWidth="1"/>
    <col min="17" max="17" width="10.5" bestFit="1" customWidth="1"/>
    <col min="18" max="28" width="9.6640625" bestFit="1" customWidth="1"/>
    <col min="29" max="31" width="10.5" bestFit="1" customWidth="1"/>
    <col min="32" max="39" width="9.6640625" bestFit="1" customWidth="1"/>
    <col min="40" max="42" width="10.5" bestFit="1" customWidth="1"/>
    <col min="43" max="46" width="9.6640625" bestFit="1" customWidth="1"/>
    <col min="47" max="47" width="10.5" bestFit="1" customWidth="1"/>
    <col min="48" max="62" width="9.6640625" bestFit="1" customWidth="1"/>
  </cols>
  <sheetData>
    <row r="1" spans="1:35">
      <c r="A1" s="7" t="s">
        <v>75</v>
      </c>
      <c r="D1" s="1"/>
      <c r="E1" s="1"/>
      <c r="F1" s="51" t="s">
        <v>71</v>
      </c>
      <c r="G1" s="45"/>
      <c r="H1" s="45"/>
      <c r="I1" s="45"/>
      <c r="J1" s="28"/>
      <c r="K1" s="28"/>
      <c r="L1" s="1"/>
      <c r="M1" s="45"/>
      <c r="N1" s="45"/>
      <c r="O1" s="28"/>
    </row>
    <row r="2" spans="1:35">
      <c r="A2" s="7" t="s">
        <v>76</v>
      </c>
      <c r="B2" s="1"/>
      <c r="C2" s="1"/>
      <c r="D2" s="1"/>
      <c r="E2" s="6" t="s">
        <v>6</v>
      </c>
      <c r="F2" s="35">
        <v>16161.999999999998</v>
      </c>
      <c r="G2" s="35">
        <v>16163</v>
      </c>
      <c r="H2" s="35">
        <v>16166</v>
      </c>
      <c r="I2" s="35">
        <v>16168</v>
      </c>
      <c r="J2" s="35">
        <v>15211</v>
      </c>
      <c r="K2" s="35">
        <v>15212</v>
      </c>
      <c r="L2" s="35">
        <v>15213</v>
      </c>
      <c r="M2" s="35">
        <v>15214</v>
      </c>
      <c r="N2" s="35">
        <v>15215</v>
      </c>
      <c r="O2" s="35">
        <v>15216</v>
      </c>
      <c r="P2" s="35">
        <v>15218</v>
      </c>
      <c r="Q2" s="35">
        <v>15223</v>
      </c>
      <c r="R2" s="35">
        <v>15224</v>
      </c>
      <c r="S2" s="35">
        <v>15225</v>
      </c>
      <c r="T2" s="35">
        <v>15226</v>
      </c>
      <c r="U2" s="35">
        <v>15236</v>
      </c>
      <c r="V2" s="35">
        <v>15237</v>
      </c>
      <c r="W2" s="35">
        <v>15238</v>
      </c>
      <c r="X2" s="35">
        <v>15233</v>
      </c>
      <c r="Y2" s="35">
        <v>15234</v>
      </c>
      <c r="Z2" s="35">
        <v>15235</v>
      </c>
      <c r="AA2" s="35">
        <v>15248</v>
      </c>
      <c r="AB2" s="35">
        <v>15244</v>
      </c>
      <c r="AC2" s="35">
        <v>15245</v>
      </c>
      <c r="AD2" s="35">
        <v>15246</v>
      </c>
      <c r="AE2" s="35">
        <v>15247</v>
      </c>
      <c r="AF2" s="35">
        <v>15254</v>
      </c>
      <c r="AG2" s="35">
        <v>15255</v>
      </c>
      <c r="AH2" s="35">
        <v>15256</v>
      </c>
      <c r="AI2" s="35">
        <v>15257</v>
      </c>
    </row>
    <row r="3" spans="1:35">
      <c r="A3" s="1" t="s">
        <v>79</v>
      </c>
      <c r="B3" s="1"/>
      <c r="C3" s="1"/>
      <c r="D3" s="1"/>
      <c r="E3" s="6" t="s">
        <v>50</v>
      </c>
      <c r="F3" s="34">
        <f>VLOOKUP(F$2,Amphibole!$CN$7:$CW$480,2,FALSE)</f>
        <v>0.53088433477169228</v>
      </c>
      <c r="G3" s="34">
        <f>VLOOKUP(G$2,Amphibole!$CN$7:$CW$480,2,FALSE)</f>
        <v>0.5328877988340468</v>
      </c>
      <c r="H3" s="34">
        <f>VLOOKUP(H$2,Amphibole!$CN$7:$CW$480,2,FALSE)</f>
        <v>0.52948191407797029</v>
      </c>
      <c r="I3" s="34">
        <f>VLOOKUP(I$2,Amphibole!$CN$7:$CW$480,2,FALSE)</f>
        <v>0.75624406550546275</v>
      </c>
      <c r="J3" s="34">
        <f>VLOOKUP(J$2,Amphibole!$CN$7:$CW$480,2,FALSE)</f>
        <v>0.54101568572944747</v>
      </c>
      <c r="K3" s="34">
        <f>VLOOKUP(K$2,Amphibole!$CN$7:$CW$480,2,FALSE)</f>
        <v>0.5645020331924111</v>
      </c>
      <c r="L3" s="34">
        <f>VLOOKUP(L$2,Amphibole!$CN$7:$CW$480,2,FALSE)</f>
        <v>0.53175277726103842</v>
      </c>
      <c r="M3" s="34">
        <f>VLOOKUP(M$2,Amphibole!$CN$7:$CW$480,2,FALSE)</f>
        <v>0.52952574862098745</v>
      </c>
      <c r="N3" s="34">
        <f>VLOOKUP(N$2,Amphibole!$CN$7:$CW$480,2,FALSE)</f>
        <v>0.5297165789503151</v>
      </c>
      <c r="O3" s="34">
        <f>VLOOKUP(O$2,Amphibole!$CN$7:$CW$480,2,FALSE)</f>
        <v>0.53943350058762207</v>
      </c>
      <c r="P3" s="34">
        <f>VLOOKUP(P$2,Amphibole!$CN$7:$CW$480,2,FALSE)</f>
        <v>0.72090393836890287</v>
      </c>
      <c r="Q3" s="34">
        <f>VLOOKUP(Q$2,Amphibole!$CN$7:$CW$480,2,FALSE)</f>
        <v>0.73240128016780592</v>
      </c>
      <c r="R3" s="34">
        <f>VLOOKUP(R$2,Amphibole!$CN$7:$CW$480,2,FALSE)</f>
        <v>0.67334146639332348</v>
      </c>
      <c r="S3" s="34">
        <f>VLOOKUP(S$2,Amphibole!$CN$7:$CW$480,2,FALSE)</f>
        <v>0.68539378680955876</v>
      </c>
      <c r="T3" s="34">
        <f>VLOOKUP(T$2,Amphibole!$CN$7:$CW$480,2,FALSE)</f>
        <v>0.52707117678244564</v>
      </c>
      <c r="U3" s="34">
        <f>VLOOKUP(U$2,Amphibole!$CN$7:$CW$480,2,FALSE)</f>
        <v>0.58886154300165239</v>
      </c>
      <c r="V3" s="34">
        <f>VLOOKUP(V$2,Amphibole!$CN$7:$CW$480,2,FALSE)</f>
        <v>0.59945609918981146</v>
      </c>
      <c r="W3" s="34">
        <f>VLOOKUP(W$2,Amphibole!$CN$7:$CW$480,2,FALSE)</f>
        <v>0.58246564222343111</v>
      </c>
      <c r="X3" s="34">
        <f>VLOOKUP(X$2,Amphibole!$CN$7:$CW$480,2,FALSE)</f>
        <v>0.56066294343631995</v>
      </c>
      <c r="Y3" s="34">
        <f>VLOOKUP(Y$2,Amphibole!$CN$7:$CW$480,2,FALSE)</f>
        <v>0.57314498818490667</v>
      </c>
      <c r="Z3" s="34">
        <f>VLOOKUP(Z$2,Amphibole!$CN$7:$CW$480,2,FALSE)</f>
        <v>0.58901469934670625</v>
      </c>
      <c r="AA3" s="34">
        <f>VLOOKUP(AA$2,Amphibole!$CN$7:$CW$480,2,FALSE)</f>
        <v>0.72147608568763233</v>
      </c>
      <c r="AB3" s="34">
        <f>VLOOKUP(AB$2,Amphibole!$CN$7:$CW$480,2,FALSE)</f>
        <v>0.69896480667610428</v>
      </c>
      <c r="AC3" s="34">
        <f>VLOOKUP(AC$2,Amphibole!$CN$7:$CW$480,2,FALSE)</f>
        <v>0.7230833036454043</v>
      </c>
      <c r="AD3" s="34">
        <f>VLOOKUP(AD$2,Amphibole!$CN$7:$CW$480,2,FALSE)</f>
        <v>0.69402397310111885</v>
      </c>
      <c r="AE3" s="34">
        <f>VLOOKUP(AE$2,Amphibole!$CN$7:$CW$480,2,FALSE)</f>
        <v>0.68165846714736356</v>
      </c>
      <c r="AF3" s="34">
        <f>VLOOKUP(AF$2,Amphibole!$CN$7:$CW$480,2,FALSE)</f>
        <v>0.72707434798386927</v>
      </c>
      <c r="AG3" s="34">
        <f>VLOOKUP(AG$2,Amphibole!$CN$7:$CW$480,2,FALSE)</f>
        <v>0.75027429792540312</v>
      </c>
      <c r="AH3" s="34">
        <f>VLOOKUP(AH$2,Amphibole!$CN$7:$CW$480,2,FALSE)</f>
        <v>0.72563418199155794</v>
      </c>
      <c r="AI3" s="34">
        <f>VLOOKUP(AI$2,Amphibole!$CN$7:$CW$480,2,FALSE)</f>
        <v>0.70326786400470853</v>
      </c>
    </row>
    <row r="4" spans="1:35">
      <c r="A4" s="1"/>
      <c r="B4" s="1"/>
      <c r="C4" s="1"/>
      <c r="D4" s="1"/>
      <c r="E4" s="6" t="s">
        <v>51</v>
      </c>
      <c r="F4" s="5">
        <f>VLOOKUP(F$2,Amphibole!$CN$7:$CW$480,3,FALSE)</f>
        <v>0.46911566522830772</v>
      </c>
      <c r="G4" s="5">
        <f>VLOOKUP(G$2,Amphibole!$CN$7:$CW$480,3,FALSE)</f>
        <v>0.4671122011659532</v>
      </c>
      <c r="H4" s="5">
        <f>VLOOKUP(H$2,Amphibole!$CN$7:$CW$480,3,FALSE)</f>
        <v>0.47051808592202971</v>
      </c>
      <c r="I4" s="5">
        <f>VLOOKUP(I$2,Amphibole!$CN$7:$CW$480,3,FALSE)</f>
        <v>0.24375593449453725</v>
      </c>
      <c r="J4" s="5">
        <f>VLOOKUP(J$2,Amphibole!$CN$7:$CW$480,3,FALSE)</f>
        <v>0.45898431427055253</v>
      </c>
      <c r="K4" s="5">
        <f>VLOOKUP(K$2,Amphibole!$CN$7:$CW$480,3,FALSE)</f>
        <v>0.4354979668075889</v>
      </c>
      <c r="L4" s="5">
        <f>VLOOKUP(L$2,Amphibole!$CN$7:$CW$480,3,FALSE)</f>
        <v>0.46824722273896158</v>
      </c>
      <c r="M4" s="5">
        <f>VLOOKUP(M$2,Amphibole!$CN$7:$CW$480,3,FALSE)</f>
        <v>0.47047425137901255</v>
      </c>
      <c r="N4" s="5">
        <f>VLOOKUP(N$2,Amphibole!$CN$7:$CW$480,3,FALSE)</f>
        <v>0.4702834210496849</v>
      </c>
      <c r="O4" s="5">
        <f>VLOOKUP(O$2,Amphibole!$CN$7:$CW$480,3,FALSE)</f>
        <v>0.46056649941237793</v>
      </c>
      <c r="P4" s="5">
        <f>VLOOKUP(P$2,Amphibole!$CN$7:$CW$480,3,FALSE)</f>
        <v>0.27909606163109713</v>
      </c>
      <c r="Q4" s="5">
        <f>VLOOKUP(Q$2,Amphibole!$CN$7:$CW$480,3,FALSE)</f>
        <v>0.26759871983219408</v>
      </c>
      <c r="R4" s="5">
        <f>VLOOKUP(R$2,Amphibole!$CN$7:$CW$480,3,FALSE)</f>
        <v>0.32665853360667652</v>
      </c>
      <c r="S4" s="5">
        <f>VLOOKUP(S$2,Amphibole!$CN$7:$CW$480,3,FALSE)</f>
        <v>0.31460621319044124</v>
      </c>
      <c r="T4" s="5">
        <f>VLOOKUP(T$2,Amphibole!$CN$7:$CW$480,3,FALSE)</f>
        <v>0.47292882321755436</v>
      </c>
      <c r="U4" s="5">
        <f>VLOOKUP(U$2,Amphibole!$CN$7:$CW$480,3,FALSE)</f>
        <v>0.41113845699834761</v>
      </c>
      <c r="V4" s="5">
        <f>VLOOKUP(V$2,Amphibole!$CN$7:$CW$480,3,FALSE)</f>
        <v>0.40054390081018854</v>
      </c>
      <c r="W4" s="5">
        <f>VLOOKUP(W$2,Amphibole!$CN$7:$CW$480,3,FALSE)</f>
        <v>0.41753435777656889</v>
      </c>
      <c r="X4" s="5">
        <f>VLOOKUP(X$2,Amphibole!$CN$7:$CW$480,3,FALSE)</f>
        <v>0.43933705656368005</v>
      </c>
      <c r="Y4" s="5">
        <f>VLOOKUP(Y$2,Amphibole!$CN$7:$CW$480,3,FALSE)</f>
        <v>0.42685501181509333</v>
      </c>
      <c r="Z4" s="5">
        <f>VLOOKUP(Z$2,Amphibole!$CN$7:$CW$480,3,FALSE)</f>
        <v>0.41098530065329375</v>
      </c>
      <c r="AA4" s="5">
        <f>VLOOKUP(AA$2,Amphibole!$CN$7:$CW$480,3,FALSE)</f>
        <v>0.27852391431236767</v>
      </c>
      <c r="AB4" s="5">
        <f>VLOOKUP(AB$2,Amphibole!$CN$7:$CW$480,3,FALSE)</f>
        <v>0.30103519332389572</v>
      </c>
      <c r="AC4" s="5">
        <f>VLOOKUP(AC$2,Amphibole!$CN$7:$CW$480,3,FALSE)</f>
        <v>0.2769166963545957</v>
      </c>
      <c r="AD4" s="5">
        <f>VLOOKUP(AD$2,Amphibole!$CN$7:$CW$480,3,FALSE)</f>
        <v>0.30597602689888115</v>
      </c>
      <c r="AE4" s="5">
        <f>VLOOKUP(AE$2,Amphibole!$CN$7:$CW$480,3,FALSE)</f>
        <v>0.31834153285263644</v>
      </c>
      <c r="AF4" s="5">
        <f>VLOOKUP(AF$2,Amphibole!$CN$7:$CW$480,3,FALSE)</f>
        <v>0.27292565201613073</v>
      </c>
      <c r="AG4" s="5">
        <f>VLOOKUP(AG$2,Amphibole!$CN$7:$CW$480,3,FALSE)</f>
        <v>0.24972570207459688</v>
      </c>
      <c r="AH4" s="5">
        <f>VLOOKUP(AH$2,Amphibole!$CN$7:$CW$480,3,FALSE)</f>
        <v>0.27436581800844206</v>
      </c>
      <c r="AI4" s="5">
        <f>VLOOKUP(AI$2,Amphibole!$CN$7:$CW$480,3,FALSE)</f>
        <v>0.29673213599529147</v>
      </c>
    </row>
    <row r="5" spans="1:35">
      <c r="A5" s="1"/>
      <c r="C5" s="53"/>
      <c r="D5" s="1"/>
      <c r="E5" s="6" t="s">
        <v>52</v>
      </c>
      <c r="F5" s="5">
        <f>VLOOKUP(F$2,Amphibole!$CN$7:$CW$480,4,FALSE)</f>
        <v>0.10928975272513419</v>
      </c>
      <c r="G5" s="5">
        <f>VLOOKUP(G$2,Amphibole!$CN$7:$CW$480,4,FALSE)</f>
        <v>0.11489120611358317</v>
      </c>
      <c r="H5" s="5">
        <f>VLOOKUP(H$2,Amphibole!$CN$7:$CW$480,4,FALSE)</f>
        <v>0.11539317293363371</v>
      </c>
      <c r="I5" s="5">
        <f>VLOOKUP(I$2,Amphibole!$CN$7:$CW$480,4,FALSE)</f>
        <v>5.0213897283802211E-2</v>
      </c>
      <c r="J5" s="5">
        <f>VLOOKUP(J$2,Amphibole!$CN$7:$CW$480,4,FALSE)</f>
        <v>8.2405430574953087E-2</v>
      </c>
      <c r="K5" s="5">
        <f>VLOOKUP(K$2,Amphibole!$CN$7:$CW$480,4,FALSE)</f>
        <v>9.7827950936573593E-2</v>
      </c>
      <c r="L5" s="5">
        <f>VLOOKUP(L$2,Amphibole!$CN$7:$CW$480,4,FALSE)</f>
        <v>8.1912906423553977E-2</v>
      </c>
      <c r="M5" s="5">
        <f>VLOOKUP(M$2,Amphibole!$CN$7:$CW$480,4,FALSE)</f>
        <v>9.311224852315636E-2</v>
      </c>
      <c r="N5" s="5">
        <f>VLOOKUP(N$2,Amphibole!$CN$7:$CW$480,4,FALSE)</f>
        <v>9.9322278935271235E-2</v>
      </c>
      <c r="O5" s="5">
        <f>VLOOKUP(O$2,Amphibole!$CN$7:$CW$480,4,FALSE)</f>
        <v>8.7359399880490685E-2</v>
      </c>
      <c r="P5" s="5">
        <f>VLOOKUP(P$2,Amphibole!$CN$7:$CW$480,4,FALSE)</f>
        <v>6.5207519387949553E-2</v>
      </c>
      <c r="Q5" s="5">
        <f>VLOOKUP(Q$2,Amphibole!$CN$7:$CW$480,4,FALSE)</f>
        <v>4.7061039422109374E-2</v>
      </c>
      <c r="R5" s="5">
        <f>VLOOKUP(R$2,Amphibole!$CN$7:$CW$480,4,FALSE)</f>
        <v>6.6490311541097746E-2</v>
      </c>
      <c r="S5" s="5">
        <f>VLOOKUP(S$2,Amphibole!$CN$7:$CW$480,4,FALSE)</f>
        <v>6.7663192631363778E-2</v>
      </c>
      <c r="T5" s="5">
        <f>VLOOKUP(T$2,Amphibole!$CN$7:$CW$480,4,FALSE)</f>
        <v>0.10473785620197695</v>
      </c>
      <c r="U5" s="5">
        <f>VLOOKUP(U$2,Amphibole!$CN$7:$CW$480,4,FALSE)</f>
        <v>9.4731224787660828E-2</v>
      </c>
      <c r="V5" s="5">
        <f>VLOOKUP(V$2,Amphibole!$CN$7:$CW$480,4,FALSE)</f>
        <v>0.10253641428341975</v>
      </c>
      <c r="W5" s="5">
        <f>VLOOKUP(W$2,Amphibole!$CN$7:$CW$480,4,FALSE)</f>
        <v>0.10308075325482857</v>
      </c>
      <c r="X5" s="5">
        <f>VLOOKUP(X$2,Amphibole!$CN$7:$CW$480,4,FALSE)</f>
        <v>8.3208737494435248E-2</v>
      </c>
      <c r="Y5" s="5">
        <f>VLOOKUP(Y$2,Amphibole!$CN$7:$CW$480,4,FALSE)</f>
        <v>9.6935981424376649E-2</v>
      </c>
      <c r="Z5" s="5">
        <f>VLOOKUP(Z$2,Amphibole!$CN$7:$CW$480,4,FALSE)</f>
        <v>0.10220658304365848</v>
      </c>
      <c r="AA5" s="5">
        <f>VLOOKUP(AA$2,Amphibole!$CN$7:$CW$480,4,FALSE)</f>
        <v>5.8080310894357723E-2</v>
      </c>
      <c r="AB5" s="5">
        <f>VLOOKUP(AB$2,Amphibole!$CN$7:$CW$480,4,FALSE)</f>
        <v>6.3064288240526345E-2</v>
      </c>
      <c r="AC5" s="5">
        <f>VLOOKUP(AC$2,Amphibole!$CN$7:$CW$480,4,FALSE)</f>
        <v>6.6151582660858743E-2</v>
      </c>
      <c r="AD5" s="5">
        <f>VLOOKUP(AD$2,Amphibole!$CN$7:$CW$480,4,FALSE)</f>
        <v>5.0806469423743117E-2</v>
      </c>
      <c r="AE5" s="5">
        <f>VLOOKUP(AE$2,Amphibole!$CN$7:$CW$480,4,FALSE)</f>
        <v>6.1540110138455617E-2</v>
      </c>
      <c r="AF5" s="5">
        <f>VLOOKUP(AF$2,Amphibole!$CN$7:$CW$480,4,FALSE)</f>
        <v>4.2512644699331581E-2</v>
      </c>
      <c r="AG5" s="5">
        <f>VLOOKUP(AG$2,Amphibole!$CN$7:$CW$480,4,FALSE)</f>
        <v>4.1048795785896708E-2</v>
      </c>
      <c r="AH5" s="5">
        <f>VLOOKUP(AH$2,Amphibole!$CN$7:$CW$480,4,FALSE)</f>
        <v>5.0890219013007609E-2</v>
      </c>
      <c r="AI5" s="5">
        <f>VLOOKUP(AI$2,Amphibole!$CN$7:$CW$480,4,FALSE)</f>
        <v>7.39361265901195E-2</v>
      </c>
    </row>
    <row r="6" spans="1:35">
      <c r="A6" s="1" t="s">
        <v>78</v>
      </c>
      <c r="C6" s="52">
        <v>8.3143999999999996E-3</v>
      </c>
      <c r="D6" s="1"/>
      <c r="E6" s="6" t="s">
        <v>53</v>
      </c>
      <c r="F6" s="5">
        <f>VLOOKUP(F$2,Amphibole!$CN$7:$CW$480,5,FALSE)</f>
        <v>0.15128932365751013</v>
      </c>
      <c r="G6" s="5">
        <f>VLOOKUP(G$2,Amphibole!$CN$7:$CW$480,5,FALSE)</f>
        <v>0.16058371961168924</v>
      </c>
      <c r="H6" s="5">
        <f>VLOOKUP(H$2,Amphibole!$CN$7:$CW$480,5,FALSE)</f>
        <v>0.16583365814425799</v>
      </c>
      <c r="I6" s="5">
        <f>VLOOKUP(I$2,Amphibole!$CN$7:$CW$480,5,FALSE)</f>
        <v>0.1224820895519545</v>
      </c>
      <c r="J6" s="5">
        <f>VLOOKUP(J$2,Amphibole!$CN$7:$CW$480,5,FALSE)</f>
        <v>0.16296776975124522</v>
      </c>
      <c r="K6" s="5">
        <f>VLOOKUP(K$2,Amphibole!$CN$7:$CW$480,5,FALSE)</f>
        <v>0.15149425374815659</v>
      </c>
      <c r="L6" s="5">
        <f>VLOOKUP(L$2,Amphibole!$CN$7:$CW$480,5,FALSE)</f>
        <v>0.16316845457825355</v>
      </c>
      <c r="M6" s="5">
        <f>VLOOKUP(M$2,Amphibole!$CN$7:$CW$480,5,FALSE)</f>
        <v>0.16136819135817729</v>
      </c>
      <c r="N6" s="5">
        <f>VLOOKUP(N$2,Amphibole!$CN$7:$CW$480,5,FALSE)</f>
        <v>0.16311080773778677</v>
      </c>
      <c r="O6" s="5">
        <f>VLOOKUP(O$2,Amphibole!$CN$7:$CW$480,5,FALSE)</f>
        <v>0.16896777723877515</v>
      </c>
      <c r="P6" s="5">
        <f>VLOOKUP(P$2,Amphibole!$CN$7:$CW$480,5,FALSE)</f>
        <v>0.14793065964081081</v>
      </c>
      <c r="Q6" s="5">
        <f>VLOOKUP(Q$2,Amphibole!$CN$7:$CW$480,5,FALSE)</f>
        <v>0.13055616779605902</v>
      </c>
      <c r="R6" s="5">
        <f>VLOOKUP(R$2,Amphibole!$CN$7:$CW$480,5,FALSE)</f>
        <v>0.15497185570185604</v>
      </c>
      <c r="S6" s="5">
        <f>VLOOKUP(S$2,Amphibole!$CN$7:$CW$480,5,FALSE)</f>
        <v>0.13656843082738399</v>
      </c>
      <c r="T6" s="5">
        <f>VLOOKUP(T$2,Amphibole!$CN$7:$CW$480,5,FALSE)</f>
        <v>0.17254588614690314</v>
      </c>
      <c r="U6" s="5">
        <f>VLOOKUP(U$2,Amphibole!$CN$7:$CW$480,5,FALSE)</f>
        <v>0.16155614083800643</v>
      </c>
      <c r="V6" s="5">
        <f>VLOOKUP(V$2,Amphibole!$CN$7:$CW$480,5,FALSE)</f>
        <v>0.16743111039977207</v>
      </c>
      <c r="W6" s="5">
        <f>VLOOKUP(W$2,Amphibole!$CN$7:$CW$480,5,FALSE)</f>
        <v>0.15560200474804253</v>
      </c>
      <c r="X6" s="5">
        <f>VLOOKUP(X$2,Amphibole!$CN$7:$CW$480,5,FALSE)</f>
        <v>0.16548263825146001</v>
      </c>
      <c r="Y6" s="5">
        <f>VLOOKUP(Y$2,Amphibole!$CN$7:$CW$480,5,FALSE)</f>
        <v>0.1659743680176366</v>
      </c>
      <c r="Z6" s="5">
        <f>VLOOKUP(Z$2,Amphibole!$CN$7:$CW$480,5,FALSE)</f>
        <v>0.16564517438657864</v>
      </c>
      <c r="AA6" s="5">
        <f>VLOOKUP(AA$2,Amphibole!$CN$7:$CW$480,5,FALSE)</f>
        <v>0.1568146441837055</v>
      </c>
      <c r="AB6" s="5">
        <f>VLOOKUP(AB$2,Amphibole!$CN$7:$CW$480,5,FALSE)</f>
        <v>0.17204007666475774</v>
      </c>
      <c r="AC6" s="5">
        <f>VLOOKUP(AC$2,Amphibole!$CN$7:$CW$480,5,FALSE)</f>
        <v>0.15460525720813847</v>
      </c>
      <c r="AD6" s="5">
        <f>VLOOKUP(AD$2,Amphibole!$CN$7:$CW$480,5,FALSE)</f>
        <v>0.16818814112762406</v>
      </c>
      <c r="AE6" s="5">
        <f>VLOOKUP(AE$2,Amphibole!$CN$7:$CW$480,5,FALSE)</f>
        <v>0.18886976663678823</v>
      </c>
      <c r="AF6" s="5">
        <f>VLOOKUP(AF$2,Amphibole!$CN$7:$CW$480,5,FALSE)</f>
        <v>0.14771571825160432</v>
      </c>
      <c r="AG6" s="5">
        <f>VLOOKUP(AG$2,Amphibole!$CN$7:$CW$480,5,FALSE)</f>
        <v>0.13291309608765128</v>
      </c>
      <c r="AH6" s="5">
        <f>VLOOKUP(AH$2,Amphibole!$CN$7:$CW$480,5,FALSE)</f>
        <v>0.14387812867612806</v>
      </c>
      <c r="AI6" s="5">
        <f>VLOOKUP(AI$2,Amphibole!$CN$7:$CW$480,5,FALSE)</f>
        <v>0.16416905022824535</v>
      </c>
    </row>
    <row r="7" spans="1:35">
      <c r="D7" s="1"/>
      <c r="E7" s="6" t="s">
        <v>54</v>
      </c>
      <c r="F7" s="5">
        <f>VLOOKUP(F$2,Amphibole!$CN$7:$CW$480,6,FALSE)</f>
        <v>0.35944927194970466</v>
      </c>
      <c r="G7" s="5">
        <f>VLOOKUP(G$2,Amphibole!$CN$7:$CW$480,6,FALSE)</f>
        <v>0.34628481668232125</v>
      </c>
      <c r="H7" s="5">
        <f>VLOOKUP(H$2,Amphibole!$CN$7:$CW$480,6,FALSE)</f>
        <v>0.32545658788740628</v>
      </c>
      <c r="I7" s="5">
        <f>VLOOKUP(I$2,Amphibole!$CN$7:$CW$480,6,FALSE)</f>
        <v>0.67704525230284873</v>
      </c>
      <c r="J7" s="5">
        <f>VLOOKUP(J$2,Amphibole!$CN$7:$CW$480,6,FALSE)</f>
        <v>0.38351228280433852</v>
      </c>
      <c r="K7" s="5">
        <f>VLOOKUP(K$2,Amphibole!$CN$7:$CW$480,6,FALSE)</f>
        <v>0.37744800942041123</v>
      </c>
      <c r="L7" s="5">
        <f>VLOOKUP(L$2,Amphibole!$CN$7:$CW$480,6,FALSE)</f>
        <v>0.31897156213238498</v>
      </c>
      <c r="M7" s="5">
        <f>VLOOKUP(M$2,Amphibole!$CN$7:$CW$480,6,FALSE)</f>
        <v>0.34808857347676825</v>
      </c>
      <c r="N7" s="5">
        <f>VLOOKUP(N$2,Amphibole!$CN$7:$CW$480,6,FALSE)</f>
        <v>0.32358882719767257</v>
      </c>
      <c r="O7" s="5">
        <f>VLOOKUP(O$2,Amphibole!$CN$7:$CW$480,6,FALSE)</f>
        <v>0.36722687577372842</v>
      </c>
      <c r="P7" s="5">
        <f>VLOOKUP(P$2,Amphibole!$CN$7:$CW$480,6,FALSE)</f>
        <v>0.56982542974192829</v>
      </c>
      <c r="Q7" s="5">
        <f>VLOOKUP(Q$2,Amphibole!$CN$7:$CW$480,6,FALSE)</f>
        <v>0.64948254148378548</v>
      </c>
      <c r="R7" s="5">
        <f>VLOOKUP(R$2,Amphibole!$CN$7:$CW$480,6,FALSE)</f>
        <v>0.53528615026428117</v>
      </c>
      <c r="S7" s="5">
        <f>VLOOKUP(S$2,Amphibole!$CN$7:$CW$480,6,FALSE)</f>
        <v>0.54235089992265972</v>
      </c>
      <c r="T7" s="5">
        <f>VLOOKUP(T$2,Amphibole!$CN$7:$CW$480,6,FALSE)</f>
        <v>0.27356084192294861</v>
      </c>
      <c r="U7" s="5">
        <f>VLOOKUP(U$2,Amphibole!$CN$7:$CW$480,6,FALSE)</f>
        <v>0.41533970100033979</v>
      </c>
      <c r="V7" s="5">
        <f>VLOOKUP(V$2,Amphibole!$CN$7:$CW$480,6,FALSE)</f>
        <v>0.3911134527067589</v>
      </c>
      <c r="W7" s="5">
        <f>VLOOKUP(W$2,Amphibole!$CN$7:$CW$480,6,FALSE)</f>
        <v>0.39795104210098797</v>
      </c>
      <c r="X7" s="5">
        <f>VLOOKUP(X$2,Amphibole!$CN$7:$CW$480,6,FALSE)</f>
        <v>0.3603228006206366</v>
      </c>
      <c r="Y7" s="5">
        <f>VLOOKUP(Y$2,Amphibole!$CN$7:$CW$480,6,FALSE)</f>
        <v>0.3582024204372431</v>
      </c>
      <c r="Z7" s="5">
        <f>VLOOKUP(Z$2,Amphibole!$CN$7:$CW$480,6,FALSE)</f>
        <v>0.38726426567300432</v>
      </c>
      <c r="AA7" s="5">
        <f>VLOOKUP(AA$2,Amphibole!$CN$7:$CW$480,6,FALSE)</f>
        <v>0.56260658422799237</v>
      </c>
      <c r="AB7" s="5">
        <f>VLOOKUP(AB$2,Amphibole!$CN$7:$CW$480,6,FALSE)</f>
        <v>0.51919866573279105</v>
      </c>
      <c r="AC7" s="5">
        <f>VLOOKUP(AC$2,Amphibole!$CN$7:$CW$480,6,FALSE)</f>
        <v>0.59577137476718911</v>
      </c>
      <c r="AD7" s="5">
        <f>VLOOKUP(AD$2,Amphibole!$CN$7:$CW$480,6,FALSE)</f>
        <v>0.51148312988864908</v>
      </c>
      <c r="AE7" s="5">
        <f>VLOOKUP(AE$2,Amphibole!$CN$7:$CW$480,6,FALSE)</f>
        <v>0.49128202156493717</v>
      </c>
      <c r="AF7" s="5">
        <f>VLOOKUP(AF$2,Amphibole!$CN$7:$CW$480,6,FALSE)</f>
        <v>0.58969509314556379</v>
      </c>
      <c r="AG7" s="5">
        <f>VLOOKUP(AG$2,Amphibole!$CN$7:$CW$480,6,FALSE)</f>
        <v>0.63705430737095625</v>
      </c>
      <c r="AH7" s="5">
        <f>VLOOKUP(AH$2,Amphibole!$CN$7:$CW$480,6,FALSE)</f>
        <v>0.56245243916732135</v>
      </c>
      <c r="AI7" s="5">
        <f>VLOOKUP(AI$2,Amphibole!$CN$7:$CW$480,6,FALSE)</f>
        <v>0.54012674825636031</v>
      </c>
    </row>
    <row r="8" spans="1:35">
      <c r="A8" s="1"/>
      <c r="B8" s="1"/>
      <c r="C8" s="1"/>
      <c r="D8" s="1"/>
      <c r="E8" s="6" t="s">
        <v>55</v>
      </c>
      <c r="F8" s="5">
        <f>VLOOKUP(F$2,Amphibole!$CN$7:$CW$480,7,FALSE)</f>
        <v>0.48926140439278498</v>
      </c>
      <c r="G8" s="5">
        <f>VLOOKUP(G$2,Amphibole!$CN$7:$CW$480,7,FALSE)</f>
        <v>0.49313146370598959</v>
      </c>
      <c r="H8" s="5">
        <f>VLOOKUP(H$2,Amphibole!$CN$7:$CW$480,7,FALSE)</f>
        <v>0.50870975396833584</v>
      </c>
      <c r="I8" s="5">
        <f>VLOOKUP(I$2,Amphibole!$CN$7:$CW$480,7,FALSE)</f>
        <v>0.20047265814519655</v>
      </c>
      <c r="J8" s="5">
        <f>VLOOKUP(J$2,Amphibole!$CN$7:$CW$480,7,FALSE)</f>
        <v>0.45351994744441626</v>
      </c>
      <c r="K8" s="5">
        <f>VLOOKUP(K$2,Amphibole!$CN$7:$CW$480,7,FALSE)</f>
        <v>0.47105773683143237</v>
      </c>
      <c r="L8" s="5">
        <f>VLOOKUP(L$2,Amphibole!$CN$7:$CW$480,7,FALSE)</f>
        <v>0.51785998328936156</v>
      </c>
      <c r="M8" s="5">
        <f>VLOOKUP(M$2,Amphibole!$CN$7:$CW$480,7,FALSE)</f>
        <v>0.49054323516505427</v>
      </c>
      <c r="N8" s="5">
        <f>VLOOKUP(N$2,Amphibole!$CN$7:$CW$480,7,FALSE)</f>
        <v>0.51330036506454046</v>
      </c>
      <c r="O8" s="5">
        <f>VLOOKUP(O$2,Amphibole!$CN$7:$CW$480,7,FALSE)</f>
        <v>0.46380534698749631</v>
      </c>
      <c r="P8" s="5">
        <f>VLOOKUP(P$2,Amphibole!$CN$7:$CW$480,7,FALSE)</f>
        <v>0.28224391061726095</v>
      </c>
      <c r="Q8" s="5">
        <f>VLOOKUP(Q$2,Amphibole!$CN$7:$CW$480,7,FALSE)</f>
        <v>0.21996129072015558</v>
      </c>
      <c r="R8" s="5">
        <f>VLOOKUP(R$2,Amphibole!$CN$7:$CW$480,7,FALSE)</f>
        <v>0.3097419940338626</v>
      </c>
      <c r="S8" s="5">
        <f>VLOOKUP(S$2,Amphibole!$CN$7:$CW$480,7,FALSE)</f>
        <v>0.32108066924995615</v>
      </c>
      <c r="T8" s="5">
        <f>VLOOKUP(T$2,Amphibole!$CN$7:$CW$480,7,FALSE)</f>
        <v>0.55389327193014815</v>
      </c>
      <c r="U8" s="5">
        <f>VLOOKUP(U$2,Amphibole!$CN$7:$CW$480,7,FALSE)</f>
        <v>0.42310415816165392</v>
      </c>
      <c r="V8" s="5">
        <f>VLOOKUP(V$2,Amphibole!$CN$7:$CW$480,7,FALSE)</f>
        <v>0.44145543689346889</v>
      </c>
      <c r="W8" s="5">
        <f>VLOOKUP(W$2,Amphibole!$CN$7:$CW$480,7,FALSE)</f>
        <v>0.44644695315096961</v>
      </c>
      <c r="X8" s="5">
        <f>VLOOKUP(X$2,Amphibole!$CN$7:$CW$480,7,FALSE)</f>
        <v>0.47419456112790348</v>
      </c>
      <c r="Y8" s="5">
        <f>VLOOKUP(Y$2,Amphibole!$CN$7:$CW$480,7,FALSE)</f>
        <v>0.47582321154512019</v>
      </c>
      <c r="Z8" s="5">
        <f>VLOOKUP(Z$2,Amphibole!$CN$7:$CW$480,7,FALSE)</f>
        <v>0.44709055994041691</v>
      </c>
      <c r="AA8" s="5">
        <f>VLOOKUP(AA$2,Amphibole!$CN$7:$CW$480,7,FALSE)</f>
        <v>0.28057877158830191</v>
      </c>
      <c r="AB8" s="5">
        <f>VLOOKUP(AB$2,Amphibole!$CN$7:$CW$480,7,FALSE)</f>
        <v>0.30876125760245099</v>
      </c>
      <c r="AC8" s="5">
        <f>VLOOKUP(AC$2,Amphibole!$CN$7:$CW$480,7,FALSE)</f>
        <v>0.24962336802467266</v>
      </c>
      <c r="AD8" s="5">
        <f>VLOOKUP(AD$2,Amphibole!$CN$7:$CW$480,7,FALSE)</f>
        <v>0.32032872898372666</v>
      </c>
      <c r="AE8" s="5">
        <f>VLOOKUP(AE$2,Amphibole!$CN$7:$CW$480,7,FALSE)</f>
        <v>0.31984821179827438</v>
      </c>
      <c r="AF8" s="5">
        <f>VLOOKUP(AF$2,Amphibole!$CN$7:$CW$480,7,FALSE)</f>
        <v>0.26258918860283176</v>
      </c>
      <c r="AG8" s="5">
        <f>VLOOKUP(AG$2,Amphibole!$CN$7:$CW$480,7,FALSE)</f>
        <v>0.2300325965413923</v>
      </c>
      <c r="AH8" s="5">
        <f>VLOOKUP(AH$2,Amphibole!$CN$7:$CW$480,7,FALSE)</f>
        <v>0.2936694321565505</v>
      </c>
      <c r="AI8" s="5">
        <f>VLOOKUP(AI$2,Amphibole!$CN$7:$CW$480,7,FALSE)</f>
        <v>0.29570420151539434</v>
      </c>
    </row>
    <row r="9" spans="1:35">
      <c r="A9" s="7" t="s">
        <v>140</v>
      </c>
      <c r="B9" s="1"/>
      <c r="C9" s="1"/>
      <c r="D9" s="1"/>
      <c r="E9" s="6" t="s">
        <v>116</v>
      </c>
      <c r="F9" s="31">
        <f>VLOOKUP(F$2,Amphibole!$GU$7:$GY$480,3,FALSE)</f>
        <v>972.19168740115538</v>
      </c>
      <c r="G9" s="31">
        <f>VLOOKUP(G$2,Amphibole!$GU$7:$GY$480,3,FALSE)</f>
        <v>968.40370545293649</v>
      </c>
      <c r="H9" s="31">
        <f>VLOOKUP(H$2,Amphibole!$GU$7:$GY$480,3,FALSE)</f>
        <v>971.30445187536839</v>
      </c>
      <c r="I9" s="31">
        <f>VLOOKUP(I$2,Amphibole!$GU$7:$GY$480,3,FALSE)</f>
        <v>784.63313381025</v>
      </c>
      <c r="J9" s="31">
        <f>VLOOKUP(J$2,Amphibole!$GU$7:$GY$480,3,FALSE)</f>
        <v>959.94659771937108</v>
      </c>
      <c r="K9" s="31">
        <f>VLOOKUP(K$2,Amphibole!$GU$7:$GY$480,3,FALSE)</f>
        <v>948.64285708998023</v>
      </c>
      <c r="L9" s="31">
        <f>VLOOKUP(L$2,Amphibole!$GU$7:$GY$480,3,FALSE)</f>
        <v>973.24040040864315</v>
      </c>
      <c r="M9" s="31">
        <f>VLOOKUP(M$2,Amphibole!$GU$7:$GY$480,3,FALSE)</f>
        <v>970.83098980569707</v>
      </c>
      <c r="N9" s="31">
        <f>VLOOKUP(N$2,Amphibole!$GU$7:$GY$480,3,FALSE)</f>
        <v>966.94642677691763</v>
      </c>
      <c r="O9" s="31">
        <f>VLOOKUP(O$2,Amphibole!$GU$7:$GY$480,3,FALSE)</f>
        <v>964.58738984708066</v>
      </c>
      <c r="P9" s="31">
        <f>VLOOKUP(P$2,Amphibole!$GU$7:$GY$480,3,FALSE)</f>
        <v>811.2802346001597</v>
      </c>
      <c r="Q9" s="31">
        <f>VLOOKUP(Q$2,Amphibole!$GU$7:$GY$480,3,FALSE)</f>
        <v>806.45077756468731</v>
      </c>
      <c r="R9" s="31">
        <f>VLOOKUP(R$2,Amphibole!$GU$7:$GY$480,3,FALSE)</f>
        <v>849.88952713764502</v>
      </c>
      <c r="S9" s="31">
        <f>VLOOKUP(S$2,Amphibole!$GU$7:$GY$480,3,FALSE)</f>
        <v>848.33662061253244</v>
      </c>
      <c r="T9" s="31">
        <f>VLOOKUP(T$2,Amphibole!$GU$7:$GY$480,3,FALSE)</f>
        <v>969.62280371892575</v>
      </c>
      <c r="U9" s="31">
        <f>VLOOKUP(U$2,Amphibole!$GU$7:$GY$480,3,FALSE)</f>
        <v>919.70552046528087</v>
      </c>
      <c r="V9" s="31">
        <f>VLOOKUP(V$2,Amphibole!$GU$7:$GY$480,3,FALSE)</f>
        <v>922.11700713733035</v>
      </c>
      <c r="W9" s="31">
        <f>VLOOKUP(W$2,Amphibole!$GU$7:$GY$480,3,FALSE)</f>
        <v>932.85905805504103</v>
      </c>
      <c r="X9" s="31">
        <f>VLOOKUP(X$2,Amphibole!$GU$7:$GY$480,3,FALSE)</f>
        <v>947.16987141450954</v>
      </c>
      <c r="Y9" s="31">
        <f>VLOOKUP(Y$2,Amphibole!$GU$7:$GY$480,3,FALSE)</f>
        <v>942.68165351298921</v>
      </c>
      <c r="Z9" s="31">
        <f>VLOOKUP(Z$2,Amphibole!$GU$7:$GY$480,3,FALSE)</f>
        <v>925.63020449617102</v>
      </c>
      <c r="AA9" s="31">
        <f>VLOOKUP(AA$2,Amphibole!$GU$7:$GY$480,3,FALSE)</f>
        <v>809.3273463261271</v>
      </c>
      <c r="AB9" s="31">
        <f>VLOOKUP(AB$2,Amphibole!$GU$7:$GY$480,3,FALSE)</f>
        <v>824.15212900513484</v>
      </c>
      <c r="AC9" s="31">
        <f>VLOOKUP(AC$2,Amphibole!$GU$7:$GY$480,3,FALSE)</f>
        <v>806.38757273986744</v>
      </c>
      <c r="AD9" s="31">
        <f>VLOOKUP(AD$2,Amphibole!$GU$7:$GY$480,3,FALSE)</f>
        <v>828.81908039239556</v>
      </c>
      <c r="AE9" s="31">
        <f>VLOOKUP(AE$2,Amphibole!$GU$7:$GY$480,3,FALSE)</f>
        <v>836.61126557763191</v>
      </c>
      <c r="AF9" s="31">
        <f>VLOOKUP(AF$2,Amphibole!$GU$7:$GY$480,3,FALSE)</f>
        <v>804.30525959185093</v>
      </c>
      <c r="AG9" s="31">
        <f>VLOOKUP(AG$2,Amphibole!$GU$7:$GY$480,3,FALSE)</f>
        <v>785.85402573492024</v>
      </c>
      <c r="AH9" s="31">
        <f>VLOOKUP(AH$2,Amphibole!$GU$7:$GY$480,3,FALSE)</f>
        <v>804.84233006912336</v>
      </c>
      <c r="AI9" s="31">
        <f>VLOOKUP(AI$2,Amphibole!$GU$7:$GY$480,3,FALSE)</f>
        <v>822.1019215146157</v>
      </c>
    </row>
    <row r="10" spans="1:35">
      <c r="A10" s="7" t="s">
        <v>141</v>
      </c>
      <c r="B10" s="1"/>
      <c r="C10" s="1"/>
      <c r="D10" s="1"/>
      <c r="E10" s="6" t="s">
        <v>116</v>
      </c>
      <c r="F10" s="31">
        <f>VLOOKUP(F$2,Amphibole!$GU$7:$GY$480,5,FALSE)</f>
        <v>955.833045405843</v>
      </c>
      <c r="G10" s="31">
        <f>VLOOKUP(G$2,Amphibole!$GU$7:$GY$480,5,FALSE)</f>
        <v>943.38689239685141</v>
      </c>
      <c r="H10" s="31">
        <f>VLOOKUP(H$2,Amphibole!$GU$7:$GY$480,5,FALSE)</f>
        <v>963.53070936775157</v>
      </c>
      <c r="I10" s="31">
        <f>VLOOKUP(I$2,Amphibole!$GU$7:$GY$480,5,FALSE)</f>
        <v>763.17742643315023</v>
      </c>
      <c r="J10" s="31">
        <f>VLOOKUP(J$2,Amphibole!$GU$7:$GY$480,5,FALSE)</f>
        <v>963.97529717234011</v>
      </c>
      <c r="K10" s="31">
        <f>VLOOKUP(K$2,Amphibole!$GU$7:$GY$480,5,FALSE)</f>
        <v>945.154335636881</v>
      </c>
      <c r="L10" s="31">
        <f>VLOOKUP(L$2,Amphibole!$GU$7:$GY$480,5,FALSE)</f>
        <v>950.56468649160922</v>
      </c>
      <c r="M10" s="31">
        <f>VLOOKUP(M$2,Amphibole!$GU$7:$GY$480,5,FALSE)</f>
        <v>960.44861206229916</v>
      </c>
      <c r="N10" s="31">
        <f>VLOOKUP(N$2,Amphibole!$GU$7:$GY$480,5,FALSE)</f>
        <v>940.63485248672725</v>
      </c>
      <c r="O10" s="31">
        <f>VLOOKUP(O$2,Amphibole!$GU$7:$GY$480,5,FALSE)</f>
        <v>951.92406340426464</v>
      </c>
      <c r="P10" s="31">
        <f>VLOOKUP(P$2,Amphibole!$GU$7:$GY$480,5,FALSE)</f>
        <v>789.1147253235099</v>
      </c>
      <c r="Q10" s="31">
        <f>VLOOKUP(Q$2,Amphibole!$GU$7:$GY$480,5,FALSE)</f>
        <v>775.2875733401105</v>
      </c>
      <c r="R10" s="31">
        <f>VLOOKUP(R$2,Amphibole!$GU$7:$GY$480,5,FALSE)</f>
        <v>820.98569179608933</v>
      </c>
      <c r="S10" s="31">
        <f>VLOOKUP(S$2,Amphibole!$GU$7:$GY$480,5,FALSE)</f>
        <v>810.54427926505832</v>
      </c>
      <c r="T10" s="31">
        <f>VLOOKUP(T$2,Amphibole!$GU$7:$GY$480,5,FALSE)</f>
        <v>925.16588793034839</v>
      </c>
      <c r="U10" s="31">
        <f>VLOOKUP(U$2,Amphibole!$GU$7:$GY$480,5,FALSE)</f>
        <v>915.44493802705642</v>
      </c>
      <c r="V10" s="31">
        <f>VLOOKUP(V$2,Amphibole!$GU$7:$GY$480,5,FALSE)</f>
        <v>903.65714297939621</v>
      </c>
      <c r="W10" s="31">
        <f>VLOOKUP(W$2,Amphibole!$GU$7:$GY$480,5,FALSE)</f>
        <v>929.61944412314756</v>
      </c>
      <c r="X10" s="31">
        <f>VLOOKUP(X$2,Amphibole!$GU$7:$GY$480,5,FALSE)</f>
        <v>950.84690501994237</v>
      </c>
      <c r="Y10" s="31">
        <f>VLOOKUP(Y$2,Amphibole!$GU$7:$GY$480,5,FALSE)</f>
        <v>933.94003623942422</v>
      </c>
      <c r="Z10" s="31">
        <f>VLOOKUP(Z$2,Amphibole!$GU$7:$GY$480,5,FALSE)</f>
        <v>906.38256115025433</v>
      </c>
      <c r="AA10" s="31">
        <f>VLOOKUP(AA$2,Amphibole!$GU$7:$GY$480,5,FALSE)</f>
        <v>776.52198386828366</v>
      </c>
      <c r="AB10" s="31">
        <f>VLOOKUP(AB$2,Amphibole!$GU$7:$GY$480,5,FALSE)</f>
        <v>782.60410845215836</v>
      </c>
      <c r="AC10" s="31">
        <f>VLOOKUP(AC$2,Amphibole!$GU$7:$GY$480,5,FALSE)</f>
        <v>769.35963950016742</v>
      </c>
      <c r="AD10" s="31">
        <f>VLOOKUP(AD$2,Amphibole!$GU$7:$GY$480,5,FALSE)</f>
        <v>800.02220711889549</v>
      </c>
      <c r="AE10" s="31">
        <f>VLOOKUP(AE$2,Amphibole!$GU$7:$GY$480,5,FALSE)</f>
        <v>795.50501098336895</v>
      </c>
      <c r="AF10" s="31">
        <f>VLOOKUP(AF$2,Amphibole!$GU$7:$GY$480,5,FALSE)</f>
        <v>759.8988882404459</v>
      </c>
      <c r="AG10" s="31">
        <f>VLOOKUP(AG$2,Amphibole!$GU$7:$GY$480,5,FALSE)</f>
        <v>743.39589428611225</v>
      </c>
      <c r="AH10" s="31">
        <f>VLOOKUP(AH$2,Amphibole!$GU$7:$GY$480,5,FALSE)</f>
        <v>773.32714427578992</v>
      </c>
      <c r="AI10" s="31">
        <f>VLOOKUP(AI$2,Amphibole!$GU$7:$GY$480,5,FALSE)</f>
        <v>783.58721842454077</v>
      </c>
    </row>
    <row r="11" spans="1:35">
      <c r="A11" s="1"/>
      <c r="B11" s="1"/>
      <c r="C11" s="1"/>
      <c r="D11" s="1"/>
      <c r="E11" s="6" t="s">
        <v>77</v>
      </c>
      <c r="F11" s="46">
        <f>VLOOKUP(F$2,Amphibole!$GU$7:$GY$480,4,FALSE)/100</f>
        <v>4.2352345021869011</v>
      </c>
      <c r="G11" s="46">
        <f>VLOOKUP(G$2,Amphibole!$GU$7:$GY$480,4,FALSE)/100</f>
        <v>4.2182532048132169</v>
      </c>
      <c r="H11" s="46">
        <f>VLOOKUP(H$2,Amphibole!$GU$7:$GY$480,4,FALSE)/100</f>
        <v>4.6799850993812298</v>
      </c>
      <c r="I11" s="46">
        <f>VLOOKUP(I$2,Amphibole!$GU$7:$GY$480,4,FALSE)/100</f>
        <v>0.98982873895354029</v>
      </c>
      <c r="J11" s="46">
        <f>VLOOKUP(J$2,Amphibole!$GU$7:$GY$480,4,FALSE)/100</f>
        <v>4.1473136772309678</v>
      </c>
      <c r="K11" s="46">
        <f>VLOOKUP(K$2,Amphibole!$GU$7:$GY$480,4,FALSE)/100</f>
        <v>3.5768587185590572</v>
      </c>
      <c r="L11" s="46">
        <f>VLOOKUP(L$2,Amphibole!$GU$7:$GY$480,4,FALSE)/100</f>
        <v>3.6565939913193155</v>
      </c>
      <c r="M11" s="46">
        <f>VLOOKUP(M$2,Amphibole!$GU$7:$GY$480,4,FALSE)/100</f>
        <v>4.2546765138894225</v>
      </c>
      <c r="N11" s="46">
        <f>VLOOKUP(N$2,Amphibole!$GU$7:$GY$480,4,FALSE)/100</f>
        <v>4.2284882570200351</v>
      </c>
      <c r="O11" s="46">
        <f>VLOOKUP(O$2,Amphibole!$GU$7:$GY$480,4,FALSE)/100</f>
        <v>3.9497009353315997</v>
      </c>
      <c r="P11" s="46">
        <f>VLOOKUP(P$2,Amphibole!$GU$7:$GY$480,4,FALSE)/100</f>
        <v>1.1772667795228597</v>
      </c>
      <c r="Q11" s="46">
        <f>VLOOKUP(Q$2,Amphibole!$GU$7:$GY$480,4,FALSE)/100</f>
        <v>1.1054414000508204</v>
      </c>
      <c r="R11" s="46">
        <f>VLOOKUP(R$2,Amphibole!$GU$7:$GY$480,4,FALSE)/100</f>
        <v>1.5769228415006376</v>
      </c>
      <c r="S11" s="46">
        <f>VLOOKUP(S$2,Amphibole!$GU$7:$GY$480,4,FALSE)/100</f>
        <v>1.4296201886815039</v>
      </c>
      <c r="T11" s="46">
        <f>VLOOKUP(T$2,Amphibole!$GU$7:$GY$480,4,FALSE)/100</f>
        <v>3.581892982759058</v>
      </c>
      <c r="U11" s="46">
        <f>VLOOKUP(U$2,Amphibole!$GU$7:$GY$480,4,FALSE)/100</f>
        <v>3.1866654779070611</v>
      </c>
      <c r="V11" s="46">
        <f>VLOOKUP(V$2,Amphibole!$GU$7:$GY$480,4,FALSE)/100</f>
        <v>2.8969280429420503</v>
      </c>
      <c r="W11" s="46">
        <f>VLOOKUP(W$2,Amphibole!$GU$7:$GY$480,4,FALSE)/100</f>
        <v>3.3278268850115693</v>
      </c>
      <c r="X11" s="46">
        <f>VLOOKUP(X$2,Amphibole!$GU$7:$GY$480,4,FALSE)/100</f>
        <v>3.7882324795116862</v>
      </c>
      <c r="Y11" s="46">
        <f>VLOOKUP(Y$2,Amphibole!$GU$7:$GY$480,4,FALSE)/100</f>
        <v>3.4671761178603218</v>
      </c>
      <c r="Z11" s="46">
        <f>VLOOKUP(Z$2,Amphibole!$GU$7:$GY$480,4,FALSE)/100</f>
        <v>3.0001315454775757</v>
      </c>
      <c r="AA11" s="46">
        <f>VLOOKUP(AA$2,Amphibole!$GU$7:$GY$480,4,FALSE)/100</f>
        <v>1.1299344179040196</v>
      </c>
      <c r="AB11" s="46">
        <f>VLOOKUP(AB$2,Amphibole!$GU$7:$GY$480,4,FALSE)/100</f>
        <v>1.2412278056347212</v>
      </c>
      <c r="AC11" s="46">
        <f>VLOOKUP(AC$2,Amphibole!$GU$7:$GY$480,4,FALSE)/100</f>
        <v>1.1451674632036066</v>
      </c>
      <c r="AD11" s="46">
        <f>VLOOKUP(AD$2,Amphibole!$GU$7:$GY$480,4,FALSE)/100</f>
        <v>1.3815456456278332</v>
      </c>
      <c r="AE11" s="46">
        <f>VLOOKUP(AE$2,Amphibole!$GU$7:$GY$480,4,FALSE)/100</f>
        <v>1.4553810903015931</v>
      </c>
      <c r="AF11" s="46">
        <f>VLOOKUP(AF$2,Amphibole!$GU$7:$GY$480,4,FALSE)/100</f>
        <v>1.0375509441314534</v>
      </c>
      <c r="AG11" s="46">
        <f>VLOOKUP(AG$2,Amphibole!$GU$7:$GY$480,4,FALSE)/100</f>
        <v>0.92831973966870363</v>
      </c>
      <c r="AH11" s="46">
        <f>VLOOKUP(AH$2,Amphibole!$GU$7:$GY$480,4,FALSE)/100</f>
        <v>1.0687701310096103</v>
      </c>
      <c r="AI11" s="46">
        <f>VLOOKUP(AI$2,Amphibole!$GU$7:$GY$480,4,FALSE)/100</f>
        <v>1.2597494389872743</v>
      </c>
    </row>
    <row r="12" spans="1:35">
      <c r="A12" s="1"/>
      <c r="B12" s="6" t="s">
        <v>6</v>
      </c>
      <c r="C12" s="6" t="s">
        <v>73</v>
      </c>
      <c r="D12" s="6" t="s">
        <v>74</v>
      </c>
      <c r="E12" s="29" t="s">
        <v>84</v>
      </c>
      <c r="F12" s="30" t="str">
        <f>VLOOKUP(F$2,Amphibole!$CN$7:$CW$63,10,FALSE)</f>
        <v>26dHP01.1</v>
      </c>
      <c r="G12" s="30" t="str">
        <f>VLOOKUP(G$2,Amphibole!$CN$7:$CW$63,10,FALSE)</f>
        <v>26dHP01.2</v>
      </c>
      <c r="H12" s="30" t="str">
        <f>VLOOKUP(H$2,Amphibole!$CN$7:$CW$63,10,FALSE)</f>
        <v>26dHP01.5</v>
      </c>
      <c r="I12" s="30" t="str">
        <f>VLOOKUP(I$2,Amphibole!$CN$7:$CW$63,10,FALSE)</f>
        <v>26dHP02.1</v>
      </c>
      <c r="J12" s="30" t="str">
        <f>VLOOKUP(J$2,Amphibole!$CN$7:$CW$63,10,FALSE)</f>
        <v>26eHP01.7</v>
      </c>
      <c r="K12" s="30" t="str">
        <f>VLOOKUP(K$2,Amphibole!$CN$7:$CW$63,10,FALSE)</f>
        <v>26eHP01.8</v>
      </c>
      <c r="L12" s="30" t="str">
        <f>VLOOKUP(L$2,Amphibole!$CN$7:$CW$63,10,FALSE)</f>
        <v>26eHP01.9</v>
      </c>
      <c r="M12" s="30" t="str">
        <f>VLOOKUP(M$2,Amphibole!$CN$7:$CW$63,10,FALSE)</f>
        <v>26eHP01.10</v>
      </c>
      <c r="N12" s="30" t="str">
        <f>VLOOKUP(N$2,Amphibole!$CN$7:$CW$63,10,FALSE)</f>
        <v>26eHP01.11</v>
      </c>
      <c r="O12" s="30" t="str">
        <f>VLOOKUP(O$2,Amphibole!$CN$7:$CW$63,10,FALSE)</f>
        <v>26eHP01.12</v>
      </c>
      <c r="P12" s="30" t="str">
        <f>VLOOKUP(P$2,Amphibole!$CN$7:$CW$63,10,FALSE)</f>
        <v>26hHP01.2</v>
      </c>
      <c r="Q12" s="30" t="str">
        <f>VLOOKUP(Q$2,Amphibole!$CN$7:$CW$63,10,FALSE)</f>
        <v>26hHP02.5</v>
      </c>
      <c r="R12" s="30" t="str">
        <f>VLOOKUP(R$2,Amphibole!$CN$7:$CW$63,10,FALSE)</f>
        <v>26hHP02.6</v>
      </c>
      <c r="S12" s="30" t="str">
        <f>VLOOKUP(S$2,Amphibole!$CN$7:$CW$63,10,FALSE)</f>
        <v>26hHP02.7</v>
      </c>
      <c r="T12" s="30" t="str">
        <f>VLOOKUP(T$2,Amphibole!$CN$7:$CW$63,10,FALSE)</f>
        <v>26hHP02.8</v>
      </c>
      <c r="U12" s="30" t="str">
        <f>VLOOKUP(U$2,Amphibole!$CN$7:$CW$63,10,FALSE)</f>
        <v>26hHP04.10</v>
      </c>
      <c r="V12" s="30" t="str">
        <f>VLOOKUP(V$2,Amphibole!$CN$7:$CW$63,10,FALSE)</f>
        <v>26hHP04.11</v>
      </c>
      <c r="W12" s="30" t="str">
        <f>VLOOKUP(W$2,Amphibole!$CN$7:$CW$63,10,FALSE)</f>
        <v>26hHP04.12</v>
      </c>
      <c r="X12" s="30" t="str">
        <f>VLOOKUP(X$2,Amphibole!$CN$7:$CW$63,10,FALSE)</f>
        <v>26hHP04.7</v>
      </c>
      <c r="Y12" s="30" t="str">
        <f>VLOOKUP(Y$2,Amphibole!$CN$7:$CW$63,10,FALSE)</f>
        <v>26hHP04.8</v>
      </c>
      <c r="Z12" s="30" t="str">
        <f>VLOOKUP(Z$2,Amphibole!$CN$7:$CW$63,10,FALSE)</f>
        <v>26hHP04.9</v>
      </c>
      <c r="AA12" s="30" t="str">
        <f>VLOOKUP(AA$2,Amphibole!$CN$7:$CW$63,10,FALSE)</f>
        <v>26hHP06.10</v>
      </c>
      <c r="AB12" s="30" t="str">
        <f>VLOOKUP(AB$2,Amphibole!$CN$7:$CW$63,10,FALSE)</f>
        <v>26hHP06.6</v>
      </c>
      <c r="AC12" s="30" t="str">
        <f>VLOOKUP(AC$2,Amphibole!$CN$7:$CW$63,10,FALSE)</f>
        <v>26hHP06.7</v>
      </c>
      <c r="AD12" s="30" t="str">
        <f>VLOOKUP(AD$2,Amphibole!$CN$7:$CW$63,10,FALSE)</f>
        <v>26hHP06.8</v>
      </c>
      <c r="AE12" s="30" t="str">
        <f>VLOOKUP(AE$2,Amphibole!$CN$7:$CW$63,10,FALSE)</f>
        <v>26hHP06.9</v>
      </c>
      <c r="AF12" s="30" t="str">
        <f>VLOOKUP(AF$2,Amphibole!$CN$7:$CW$63,10,FALSE)</f>
        <v>26hHP08.6</v>
      </c>
      <c r="AG12" s="30" t="str">
        <f>VLOOKUP(AG$2,Amphibole!$CN$7:$CW$63,10,FALSE)</f>
        <v>26hHP08.7</v>
      </c>
      <c r="AH12" s="30" t="str">
        <f>VLOOKUP(AH$2,Amphibole!$CN$7:$CW$63,10,FALSE)</f>
        <v>26hHP08.8</v>
      </c>
      <c r="AI12" s="30" t="str">
        <f>VLOOKUP(AI$2,Amphibole!$CN$7:$CW$63,10,FALSE)</f>
        <v>26hHP08.9</v>
      </c>
    </row>
    <row r="13" spans="1:35" ht="14" customHeight="1">
      <c r="A13" s="54" t="s">
        <v>72</v>
      </c>
      <c r="B13" s="37">
        <v>16164.000000000002</v>
      </c>
      <c r="C13" s="34">
        <f>VLOOKUP($B13,Plagioclase!$AV$7:$BA$478,3,FALSE)</f>
        <v>0.44506709050230248</v>
      </c>
      <c r="D13" s="34">
        <f>VLOOKUP($B13,Plagioclase!$AV$7:$BA$478,4,FALSE)</f>
        <v>0.69540640852295788</v>
      </c>
      <c r="E13" s="29" t="str">
        <f>VLOOKUP($B13,Plagioclase!$AV$7:$BA$478,6,FALSE)</f>
        <v>26dHP01.3</v>
      </c>
      <c r="F13" s="31">
        <f t="shared" ref="F13:I17" si="0">(-76.95+0.79*F$11+$D13+39.4*F$8+22.4*F$6+(41.5-2.89*F$11)*F$5)/(-0.065-$C$6*LN((27*F$7*F$3*$C13)/(256*F$8*F$4)))-273.15</f>
        <v>963.83039632097905</v>
      </c>
      <c r="G13" s="31">
        <f t="shared" si="0"/>
        <v>960.25746070048547</v>
      </c>
      <c r="H13" s="31">
        <f t="shared" si="0"/>
        <v>964.01663300861389</v>
      </c>
      <c r="I13" s="31">
        <f t="shared" si="0"/>
        <v>790.98176289701689</v>
      </c>
      <c r="J13" s="31">
        <f t="shared" ref="J13:W17" si="1">(-76.95+0.79*J$11+$D13+39.4*J$8+22.4*J$6+(41.5-2.89*J$11)*J$5)/(-0.065-$C$6*LN((27*J$7*J$3*$C13)/(256*J$8*J$4)))-273.15</f>
        <v>966.76881994849293</v>
      </c>
      <c r="K13" s="31">
        <f t="shared" si="1"/>
        <v>941.09535465361716</v>
      </c>
      <c r="L13" s="31">
        <f t="shared" si="1"/>
        <v>1004.9675686046306</v>
      </c>
      <c r="M13" s="31">
        <f t="shared" ref="M13:O38" si="2">(-76.95+0.79*M$11+$D13+39.4*M$8+22.4*M$6+(41.5-2.89*M$11)*M$5)/(-0.065-$C$6*LN((27*M$7*M$3*$C13)/(256*M$8*M$4)))-273.15</f>
        <v>979.75347396944301</v>
      </c>
      <c r="N13" s="31">
        <f t="shared" si="2"/>
        <v>983.04427331482464</v>
      </c>
      <c r="O13" s="31">
        <f t="shared" si="2"/>
        <v>970.9947609357738</v>
      </c>
      <c r="P13" s="31">
        <f t="shared" si="1"/>
        <v>822.68013815109873</v>
      </c>
      <c r="Q13" s="31">
        <f t="shared" si="1"/>
        <v>815.48376243757968</v>
      </c>
      <c r="R13" s="31">
        <f t="shared" si="1"/>
        <v>861.44742538620665</v>
      </c>
      <c r="S13" s="31">
        <f t="shared" si="1"/>
        <v>855.55853824610438</v>
      </c>
      <c r="T13" s="31">
        <f t="shared" si="1"/>
        <v>1012.1105661406301</v>
      </c>
      <c r="U13" s="31">
        <f t="shared" si="1"/>
        <v>915.26053927071473</v>
      </c>
      <c r="V13" s="31">
        <f t="shared" si="1"/>
        <v>906.08856431371407</v>
      </c>
      <c r="W13" s="31">
        <f t="shared" si="1"/>
        <v>917.39303615880874</v>
      </c>
      <c r="X13" s="31">
        <f t="shared" ref="X13:AA17" si="3">(-76.95+0.79*X$11+$D13+39.4*X$8+22.4*X$6+(41.5-2.89*X$11)*X$5)/(-0.065-$C$6*LN((27*X$7*X$3*$C13)/(256*X$8*X$4)))-273.15</f>
        <v>956.25039626566911</v>
      </c>
      <c r="Y13" s="31">
        <f t="shared" si="3"/>
        <v>937.20704362315939</v>
      </c>
      <c r="Z13" s="31">
        <f t="shared" si="3"/>
        <v>916.33372043984411</v>
      </c>
      <c r="AA13" s="31">
        <f t="shared" si="3"/>
        <v>826.50829193695847</v>
      </c>
      <c r="AB13" s="31">
        <f t="shared" ref="AB13:AI17" si="4">(-76.95+0.79*AB$11+$D13+39.4*AB$8+22.4*AB$6+(41.5-2.89*AB$11)*AB$5)/(-0.065-$C$6*LN((27*AB$7*AB$3*$C13)/(256*AB$8*AB$4)))-273.15</f>
        <v>844.19364432341024</v>
      </c>
      <c r="AC13" s="31">
        <f t="shared" si="4"/>
        <v>813.46795778241733</v>
      </c>
      <c r="AD13" s="31">
        <f t="shared" si="4"/>
        <v>858.17715800352141</v>
      </c>
      <c r="AE13" s="31">
        <f t="shared" si="4"/>
        <v>858.47144815662284</v>
      </c>
      <c r="AF13" s="31">
        <f t="shared" si="4"/>
        <v>831.60277515974747</v>
      </c>
      <c r="AG13" s="31">
        <f t="shared" si="4"/>
        <v>809.11486644030413</v>
      </c>
      <c r="AH13" s="31">
        <f t="shared" si="4"/>
        <v>832.49431458377205</v>
      </c>
      <c r="AI13" s="31">
        <f t="shared" si="4"/>
        <v>830.83358161294211</v>
      </c>
    </row>
    <row r="14" spans="1:35">
      <c r="A14" s="54"/>
      <c r="B14" s="37">
        <v>16165</v>
      </c>
      <c r="C14" s="34">
        <f>VLOOKUP($B14,Plagioclase!$AV$7:$BA$478,3,FALSE)</f>
        <v>0.45163401861372482</v>
      </c>
      <c r="D14" s="34">
        <f>VLOOKUP($B14,Plagioclase!$AV$7:$BA$478,4,FALSE)</f>
        <v>0.60846299450079133</v>
      </c>
      <c r="E14" s="29" t="str">
        <f>VLOOKUP($B14,Plagioclase!$AV$7:$BA$478,6,FALSE)</f>
        <v>26dHP01.4</v>
      </c>
      <c r="F14" s="31">
        <f t="shared" si="0"/>
        <v>962.16088507537199</v>
      </c>
      <c r="G14" s="31">
        <f t="shared" si="0"/>
        <v>958.58582309867654</v>
      </c>
      <c r="H14" s="31">
        <f t="shared" si="0"/>
        <v>962.29243905454643</v>
      </c>
      <c r="I14" s="31">
        <f t="shared" si="0"/>
        <v>790.26161016580852</v>
      </c>
      <c r="J14" s="31">
        <f t="shared" si="1"/>
        <v>965.1537705123975</v>
      </c>
      <c r="K14" s="31">
        <f t="shared" si="1"/>
        <v>939.57227090380263</v>
      </c>
      <c r="L14" s="31">
        <f t="shared" si="1"/>
        <v>1003.0962921708903</v>
      </c>
      <c r="M14" s="31">
        <f t="shared" si="2"/>
        <v>978.01793986288192</v>
      </c>
      <c r="N14" s="31">
        <f t="shared" si="2"/>
        <v>981.25181527208167</v>
      </c>
      <c r="O14" s="31">
        <f t="shared" si="2"/>
        <v>969.34172090170944</v>
      </c>
      <c r="P14" s="31">
        <f t="shared" si="1"/>
        <v>821.8095156006367</v>
      </c>
      <c r="Q14" s="31">
        <f t="shared" si="1"/>
        <v>814.68406811677676</v>
      </c>
      <c r="R14" s="31">
        <f t="shared" si="1"/>
        <v>860.42795424202529</v>
      </c>
      <c r="S14" s="31">
        <f t="shared" si="1"/>
        <v>854.55871376167613</v>
      </c>
      <c r="T14" s="31">
        <f t="shared" si="1"/>
        <v>1010.1068694608003</v>
      </c>
      <c r="U14" s="31">
        <f t="shared" si="1"/>
        <v>913.901632432062</v>
      </c>
      <c r="V14" s="31">
        <f t="shared" si="1"/>
        <v>904.74047400624852</v>
      </c>
      <c r="W14" s="31">
        <f t="shared" si="1"/>
        <v>915.9944321858344</v>
      </c>
      <c r="X14" s="31">
        <f t="shared" si="3"/>
        <v>954.65845649169216</v>
      </c>
      <c r="Y14" s="31">
        <f t="shared" si="3"/>
        <v>935.68721759161383</v>
      </c>
      <c r="Z14" s="31">
        <f t="shared" si="3"/>
        <v>914.93775737850785</v>
      </c>
      <c r="AA14" s="31">
        <f t="shared" si="3"/>
        <v>825.62839638209869</v>
      </c>
      <c r="AB14" s="31">
        <f t="shared" si="4"/>
        <v>843.23059706618335</v>
      </c>
      <c r="AC14" s="31">
        <f t="shared" si="4"/>
        <v>812.64126506034938</v>
      </c>
      <c r="AD14" s="31">
        <f t="shared" si="4"/>
        <v>857.16837742359428</v>
      </c>
      <c r="AE14" s="31">
        <f t="shared" si="4"/>
        <v>857.44564111905368</v>
      </c>
      <c r="AF14" s="31">
        <f t="shared" si="4"/>
        <v>830.73045760482557</v>
      </c>
      <c r="AG14" s="31">
        <f t="shared" si="4"/>
        <v>808.33208870218266</v>
      </c>
      <c r="AH14" s="31">
        <f t="shared" si="4"/>
        <v>831.59725964556458</v>
      </c>
      <c r="AI14" s="31">
        <f t="shared" si="4"/>
        <v>829.91783947528177</v>
      </c>
    </row>
    <row r="15" spans="1:35">
      <c r="A15" s="54"/>
      <c r="B15" s="37">
        <v>16167.000000000002</v>
      </c>
      <c r="C15" s="34">
        <f>VLOOKUP($B15,Plagioclase!$AV$7:$BA$478,3,FALSE)</f>
        <v>0.5749237689804918</v>
      </c>
      <c r="D15" s="34">
        <f>VLOOKUP($B15,Plagioclase!$AV$7:$BA$478,4,FALSE)</f>
        <v>0</v>
      </c>
      <c r="E15" s="29" t="str">
        <f>VLOOKUP($B15,Plagioclase!$AV$7:$BA$478,6,FALSE)</f>
        <v>26dHP01.6</v>
      </c>
      <c r="F15" s="31">
        <f t="shared" si="0"/>
        <v>915.58395644038762</v>
      </c>
      <c r="G15" s="31">
        <f t="shared" si="0"/>
        <v>911.8279802092369</v>
      </c>
      <c r="H15" s="31">
        <f t="shared" si="0"/>
        <v>914.27797951979926</v>
      </c>
      <c r="I15" s="31">
        <f t="shared" si="0"/>
        <v>765.34514732891364</v>
      </c>
      <c r="J15" s="31">
        <f t="shared" si="1"/>
        <v>920.11852046118167</v>
      </c>
      <c r="K15" s="31">
        <f t="shared" si="1"/>
        <v>896.12570117974803</v>
      </c>
      <c r="L15" s="31">
        <f t="shared" si="1"/>
        <v>952.66996866020406</v>
      </c>
      <c r="M15" s="31">
        <f t="shared" si="2"/>
        <v>930.25123703116003</v>
      </c>
      <c r="N15" s="31">
        <f t="shared" si="2"/>
        <v>932.11620720193298</v>
      </c>
      <c r="O15" s="31">
        <f t="shared" si="2"/>
        <v>923.44366622347741</v>
      </c>
      <c r="P15" s="31">
        <f t="shared" si="1"/>
        <v>793.14290968629723</v>
      </c>
      <c r="Q15" s="31">
        <f t="shared" si="1"/>
        <v>788.02710143346769</v>
      </c>
      <c r="R15" s="31">
        <f t="shared" si="1"/>
        <v>828.54014123817944</v>
      </c>
      <c r="S15" s="31">
        <f t="shared" si="1"/>
        <v>823.0591345202082</v>
      </c>
      <c r="T15" s="31">
        <f t="shared" si="1"/>
        <v>956.5622614367395</v>
      </c>
      <c r="U15" s="31">
        <f t="shared" si="1"/>
        <v>874.06864805634234</v>
      </c>
      <c r="V15" s="31">
        <f t="shared" si="1"/>
        <v>864.88411773874793</v>
      </c>
      <c r="W15" s="31">
        <f t="shared" si="1"/>
        <v>875.12993411532955</v>
      </c>
      <c r="X15" s="31">
        <f t="shared" si="3"/>
        <v>909.88271524359436</v>
      </c>
      <c r="Y15" s="31">
        <f t="shared" si="3"/>
        <v>892.19243817769359</v>
      </c>
      <c r="Z15" s="31">
        <f t="shared" si="3"/>
        <v>874.10895363853376</v>
      </c>
      <c r="AA15" s="31">
        <f t="shared" si="3"/>
        <v>796.80628613959209</v>
      </c>
      <c r="AB15" s="31">
        <f t="shared" si="4"/>
        <v>812.4521965210173</v>
      </c>
      <c r="AC15" s="31">
        <f t="shared" si="4"/>
        <v>785.04431424625807</v>
      </c>
      <c r="AD15" s="31">
        <f t="shared" si="4"/>
        <v>825.48924118292518</v>
      </c>
      <c r="AE15" s="31">
        <f t="shared" si="4"/>
        <v>825.26364265630752</v>
      </c>
      <c r="AF15" s="31">
        <f t="shared" si="4"/>
        <v>802.32602292628519</v>
      </c>
      <c r="AG15" s="31">
        <f t="shared" si="4"/>
        <v>781.99895104833683</v>
      </c>
      <c r="AH15" s="31">
        <f t="shared" si="4"/>
        <v>802.44915963907226</v>
      </c>
      <c r="AI15" s="31">
        <f t="shared" si="4"/>
        <v>800.12573309991797</v>
      </c>
    </row>
    <row r="16" spans="1:35">
      <c r="A16" s="54"/>
      <c r="B16" s="37">
        <v>16169</v>
      </c>
      <c r="C16" s="34">
        <f>VLOOKUP($B16,Plagioclase!$AV$7:$BA$478,3,FALSE)</f>
        <v>0.69198760076402566</v>
      </c>
      <c r="D16" s="34">
        <f>VLOOKUP($B16,Plagioclase!$AV$7:$BA$478,4,FALSE)</f>
        <v>0</v>
      </c>
      <c r="E16" s="29" t="str">
        <f>VLOOKUP($B16,Plagioclase!$AV$7:$BA$478,6,FALSE)</f>
        <v>26dHP02.2</v>
      </c>
      <c r="F16" s="31">
        <f t="shared" si="0"/>
        <v>871.65929512118635</v>
      </c>
      <c r="G16" s="31">
        <f t="shared" si="0"/>
        <v>867.71542365235825</v>
      </c>
      <c r="H16" s="31">
        <f t="shared" si="0"/>
        <v>869.10504869665772</v>
      </c>
      <c r="I16" s="31">
        <f t="shared" si="0"/>
        <v>739.85138794521777</v>
      </c>
      <c r="J16" s="31">
        <f t="shared" si="1"/>
        <v>877.56527803544498</v>
      </c>
      <c r="K16" s="31">
        <f t="shared" si="1"/>
        <v>854.75557005016833</v>
      </c>
      <c r="L16" s="31">
        <f t="shared" si="1"/>
        <v>905.75882299910347</v>
      </c>
      <c r="M16" s="31">
        <f t="shared" si="2"/>
        <v>885.42544758501492</v>
      </c>
      <c r="N16" s="31">
        <f t="shared" si="2"/>
        <v>886.13443742959078</v>
      </c>
      <c r="O16" s="31">
        <f t="shared" si="2"/>
        <v>880.17077539581999</v>
      </c>
      <c r="P16" s="31">
        <f t="shared" si="1"/>
        <v>764.30109508400972</v>
      </c>
      <c r="Q16" s="31">
        <f t="shared" si="1"/>
        <v>761.04850001156831</v>
      </c>
      <c r="R16" s="31">
        <f t="shared" si="1"/>
        <v>796.98575230427662</v>
      </c>
      <c r="S16" s="31">
        <f t="shared" si="1"/>
        <v>791.8186122662413</v>
      </c>
      <c r="T16" s="31">
        <f t="shared" si="1"/>
        <v>907.05226119738825</v>
      </c>
      <c r="U16" s="31">
        <f t="shared" si="1"/>
        <v>835.69728655823326</v>
      </c>
      <c r="V16" s="31">
        <f t="shared" si="1"/>
        <v>826.41295726238593</v>
      </c>
      <c r="W16" s="31">
        <f t="shared" si="1"/>
        <v>835.852404235378</v>
      </c>
      <c r="X16" s="31">
        <f t="shared" si="3"/>
        <v>867.4698273250159</v>
      </c>
      <c r="Y16" s="31">
        <f t="shared" si="3"/>
        <v>850.74657227766522</v>
      </c>
      <c r="Z16" s="31">
        <f t="shared" si="3"/>
        <v>834.85423375136668</v>
      </c>
      <c r="AA16" s="31">
        <f t="shared" si="3"/>
        <v>767.84853211159077</v>
      </c>
      <c r="AB16" s="31">
        <f t="shared" si="4"/>
        <v>781.79305243016017</v>
      </c>
      <c r="AC16" s="31">
        <f t="shared" si="4"/>
        <v>757.14711861541457</v>
      </c>
      <c r="AD16" s="31">
        <f t="shared" si="4"/>
        <v>794.10259889633164</v>
      </c>
      <c r="AE16" s="31">
        <f t="shared" si="4"/>
        <v>793.41014635901354</v>
      </c>
      <c r="AF16" s="31">
        <f t="shared" si="4"/>
        <v>773.80744171708272</v>
      </c>
      <c r="AG16" s="31">
        <f t="shared" si="4"/>
        <v>755.28042791466362</v>
      </c>
      <c r="AH16" s="31">
        <f t="shared" si="4"/>
        <v>773.23164982666469</v>
      </c>
      <c r="AI16" s="31">
        <f t="shared" si="4"/>
        <v>770.2842750481949</v>
      </c>
    </row>
    <row r="17" spans="1:35">
      <c r="A17" s="54"/>
      <c r="B17" s="37">
        <v>15205</v>
      </c>
      <c r="C17" s="34">
        <f>VLOOKUP($B17,Plagioclase!$AV$7:$BA$478,3,FALSE)</f>
        <v>0.63511201670339423</v>
      </c>
      <c r="D17" s="34">
        <f>VLOOKUP($B17,Plagioclase!$AV$7:$BA$478,4,FALSE)</f>
        <v>0</v>
      </c>
      <c r="E17" s="29" t="str">
        <f>VLOOKUP($B17,Plagioclase!$AV$7:$BA$478,6,FALSE)</f>
        <v>26eHP01.1</v>
      </c>
      <c r="F17" s="31">
        <f t="shared" si="0"/>
        <v>891.57606504251009</v>
      </c>
      <c r="G17" s="31">
        <f t="shared" si="0"/>
        <v>887.71426098480413</v>
      </c>
      <c r="H17" s="31">
        <f t="shared" si="0"/>
        <v>889.57512236222931</v>
      </c>
      <c r="I17" s="31">
        <f t="shared" si="0"/>
        <v>751.49192158722951</v>
      </c>
      <c r="J17" s="31">
        <f t="shared" si="1"/>
        <v>896.87431979560631</v>
      </c>
      <c r="K17" s="31">
        <f t="shared" si="1"/>
        <v>873.53073880960562</v>
      </c>
      <c r="L17" s="31">
        <f t="shared" si="1"/>
        <v>927.01382941652571</v>
      </c>
      <c r="M17" s="31">
        <f t="shared" si="2"/>
        <v>905.74737295467628</v>
      </c>
      <c r="N17" s="31">
        <f t="shared" si="2"/>
        <v>906.96975585625239</v>
      </c>
      <c r="O17" s="31">
        <f t="shared" si="2"/>
        <v>899.80077794023885</v>
      </c>
      <c r="P17" s="31">
        <f t="shared" si="1"/>
        <v>777.45200011949817</v>
      </c>
      <c r="Q17" s="31">
        <f t="shared" si="1"/>
        <v>773.36101363930345</v>
      </c>
      <c r="R17" s="31">
        <f t="shared" si="1"/>
        <v>811.36067444658408</v>
      </c>
      <c r="S17" s="31">
        <f t="shared" si="1"/>
        <v>806.05169077205358</v>
      </c>
      <c r="T17" s="31">
        <f t="shared" si="1"/>
        <v>929.45934604112279</v>
      </c>
      <c r="U17" s="31">
        <f t="shared" si="1"/>
        <v>853.13056066170873</v>
      </c>
      <c r="V17" s="31">
        <f t="shared" si="1"/>
        <v>843.88804351607848</v>
      </c>
      <c r="W17" s="31">
        <f t="shared" si="1"/>
        <v>853.68973658787161</v>
      </c>
      <c r="X17" s="31">
        <f t="shared" si="3"/>
        <v>886.71311114216121</v>
      </c>
      <c r="Y17" s="31">
        <f t="shared" si="3"/>
        <v>869.55414794943988</v>
      </c>
      <c r="Z17" s="31">
        <f t="shared" si="3"/>
        <v>852.68110088548258</v>
      </c>
      <c r="AA17" s="31">
        <f t="shared" si="3"/>
        <v>781.05218538641554</v>
      </c>
      <c r="AB17" s="31">
        <f t="shared" si="4"/>
        <v>795.76326905284816</v>
      </c>
      <c r="AC17" s="31">
        <f t="shared" si="4"/>
        <v>769.87218418347959</v>
      </c>
      <c r="AD17" s="31">
        <f t="shared" si="4"/>
        <v>808.40168855554532</v>
      </c>
      <c r="AE17" s="31">
        <f t="shared" si="4"/>
        <v>807.918419715612</v>
      </c>
      <c r="AF17" s="31">
        <f t="shared" si="4"/>
        <v>786.81482675725454</v>
      </c>
      <c r="AG17" s="31">
        <f t="shared" si="4"/>
        <v>767.47493539611912</v>
      </c>
      <c r="AH17" s="31">
        <f t="shared" si="4"/>
        <v>786.5530006989419</v>
      </c>
      <c r="AI17" s="31">
        <f t="shared" si="4"/>
        <v>783.88523469062363</v>
      </c>
    </row>
    <row r="18" spans="1:35">
      <c r="A18" s="1"/>
      <c r="B18" s="37">
        <v>15206</v>
      </c>
      <c r="C18" s="34">
        <f>VLOOKUP($B18,Plagioclase!$AV$7:$BA$478,3,FALSE)</f>
        <v>0.42863213702991532</v>
      </c>
      <c r="D18" s="34">
        <f>VLOOKUP($B18,Plagioclase!$AV$7:$BA$478,4,FALSE)</f>
        <v>0.91753481802001735</v>
      </c>
      <c r="E18" s="29" t="str">
        <f>VLOOKUP($B18,Plagioclase!$AV$7:$BA$478,6,FALSE)</f>
        <v>26eHP01.2</v>
      </c>
      <c r="F18" s="31">
        <f t="shared" ref="F18:I24" si="5">(-76.95+0.79*F$11+$D18+39.4*F$8+22.4*F$6+(41.5-2.89*F$11)*F$5)/(-0.065-$C$6*LN((27*F$7*F$3*$C18)/(256*F$8*F$4)))-273.15</f>
        <v>968.20070154451798</v>
      </c>
      <c r="G18" s="31">
        <f t="shared" si="5"/>
        <v>964.63396536124026</v>
      </c>
      <c r="H18" s="31">
        <f t="shared" si="5"/>
        <v>968.53175505750676</v>
      </c>
      <c r="I18" s="31">
        <f t="shared" si="5"/>
        <v>792.86604896040706</v>
      </c>
      <c r="J18" s="31">
        <f t="shared" ref="J18:W24" si="6">(-76.95+0.79*J$11+$D18+39.4*J$8+22.4*J$6+(41.5-2.89*J$11)*J$5)/(-0.065-$C$6*LN((27*J$7*J$3*$C18)/(256*J$8*J$4)))-273.15</f>
        <v>970.99453416731774</v>
      </c>
      <c r="K18" s="31">
        <f t="shared" si="6"/>
        <v>945.08156479279808</v>
      </c>
      <c r="L18" s="31">
        <f t="shared" si="6"/>
        <v>1009.8656145432163</v>
      </c>
      <c r="M18" s="31">
        <f t="shared" si="2"/>
        <v>984.296081838129</v>
      </c>
      <c r="N18" s="31">
        <f t="shared" si="2"/>
        <v>987.73711843001831</v>
      </c>
      <c r="O18" s="31">
        <f t="shared" si="2"/>
        <v>975.32035990073234</v>
      </c>
      <c r="P18" s="31">
        <f t="shared" si="6"/>
        <v>824.95788561026154</v>
      </c>
      <c r="Q18" s="31">
        <f t="shared" si="6"/>
        <v>817.57525478350601</v>
      </c>
      <c r="R18" s="31">
        <f t="shared" si="6"/>
        <v>864.11350030194956</v>
      </c>
      <c r="S18" s="31">
        <f t="shared" si="6"/>
        <v>858.17345155883288</v>
      </c>
      <c r="T18" s="31">
        <f t="shared" si="6"/>
        <v>1017.3583794151047</v>
      </c>
      <c r="U18" s="31">
        <f t="shared" si="6"/>
        <v>918.81624454384098</v>
      </c>
      <c r="V18" s="31">
        <f t="shared" si="6"/>
        <v>909.61695387095563</v>
      </c>
      <c r="W18" s="31">
        <f t="shared" si="6"/>
        <v>921.05340991517403</v>
      </c>
      <c r="X18" s="31">
        <f t="shared" ref="X18:AA24" si="7">(-76.95+0.79*X$11+$D18+39.4*X$8+22.4*X$6+(41.5-2.89*X$11)*X$5)/(-0.065-$C$6*LN((27*X$7*X$3*$C18)/(256*X$8*X$4)))-273.15</f>
        <v>960.41653557903317</v>
      </c>
      <c r="Y18" s="31">
        <f t="shared" si="7"/>
        <v>941.18521560646434</v>
      </c>
      <c r="Z18" s="31">
        <f t="shared" si="7"/>
        <v>919.98726120922186</v>
      </c>
      <c r="AA18" s="31">
        <f t="shared" si="7"/>
        <v>828.81008151850904</v>
      </c>
      <c r="AB18" s="31">
        <f t="shared" ref="AB18:AI24" si="8">(-76.95+0.79*AB$11+$D18+39.4*AB$8+22.4*AB$6+(41.5-2.89*AB$11)*AB$5)/(-0.065-$C$6*LN((27*AB$7*AB$3*$C18)/(256*AB$8*AB$4)))-273.15</f>
        <v>846.7128185417597</v>
      </c>
      <c r="AC18" s="31">
        <f t="shared" si="8"/>
        <v>815.63083396249669</v>
      </c>
      <c r="AD18" s="31">
        <f t="shared" si="8"/>
        <v>860.81540151783281</v>
      </c>
      <c r="AE18" s="31">
        <f t="shared" si="8"/>
        <v>861.15458048419362</v>
      </c>
      <c r="AF18" s="31">
        <f t="shared" si="8"/>
        <v>833.8840412267856</v>
      </c>
      <c r="AG18" s="31">
        <f t="shared" si="8"/>
        <v>811.16241228521869</v>
      </c>
      <c r="AH18" s="31">
        <f t="shared" si="8"/>
        <v>834.84071099301048</v>
      </c>
      <c r="AI18" s="31">
        <f t="shared" si="8"/>
        <v>833.22945465477449</v>
      </c>
    </row>
    <row r="19" spans="1:35">
      <c r="A19" s="1"/>
      <c r="B19" s="37">
        <v>15207</v>
      </c>
      <c r="C19" s="34">
        <f>VLOOKUP($B19,Plagioclase!$AV$7:$BA$478,3,FALSE)</f>
        <v>0.41377383646475097</v>
      </c>
      <c r="D19" s="34">
        <f>VLOOKUP($B19,Plagioclase!$AV$7:$BA$478,4,FALSE)</f>
        <v>1.1239333777590783</v>
      </c>
      <c r="E19" s="29" t="str">
        <f>VLOOKUP($B19,Plagioclase!$AV$7:$BA$478,6,FALSE)</f>
        <v>26eHP01.3</v>
      </c>
      <c r="F19" s="31">
        <f t="shared" si="5"/>
        <v>972.41499470652582</v>
      </c>
      <c r="G19" s="31">
        <f t="shared" si="5"/>
        <v>968.85513585459023</v>
      </c>
      <c r="H19" s="31">
        <f t="shared" si="5"/>
        <v>972.88795561462337</v>
      </c>
      <c r="I19" s="31">
        <f t="shared" si="5"/>
        <v>794.68323049289631</v>
      </c>
      <c r="J19" s="31">
        <f t="shared" si="6"/>
        <v>975.06662862323412</v>
      </c>
      <c r="K19" s="31">
        <f t="shared" si="6"/>
        <v>948.92466819918116</v>
      </c>
      <c r="L19" s="31">
        <f t="shared" si="6"/>
        <v>1014.5877233516943</v>
      </c>
      <c r="M19" s="31">
        <f t="shared" si="2"/>
        <v>988.67562236476977</v>
      </c>
      <c r="N19" s="31">
        <f t="shared" si="2"/>
        <v>992.26314537476776</v>
      </c>
      <c r="O19" s="31">
        <f t="shared" si="2"/>
        <v>979.48931179282738</v>
      </c>
      <c r="P19" s="31">
        <f t="shared" si="6"/>
        <v>827.15378478633136</v>
      </c>
      <c r="Q19" s="31">
        <f t="shared" si="6"/>
        <v>819.59074310711105</v>
      </c>
      <c r="R19" s="31">
        <f t="shared" si="6"/>
        <v>866.68181819544463</v>
      </c>
      <c r="S19" s="31">
        <f t="shared" si="6"/>
        <v>860.69284274813265</v>
      </c>
      <c r="T19" s="31">
        <f t="shared" si="6"/>
        <v>1022.4218811412269</v>
      </c>
      <c r="U19" s="31">
        <f t="shared" si="6"/>
        <v>922.24348115266287</v>
      </c>
      <c r="V19" s="31">
        <f t="shared" si="6"/>
        <v>913.01930293996895</v>
      </c>
      <c r="W19" s="31">
        <f t="shared" si="6"/>
        <v>924.5825828970527</v>
      </c>
      <c r="X19" s="31">
        <f t="shared" si="7"/>
        <v>964.43254548743096</v>
      </c>
      <c r="Y19" s="31">
        <f t="shared" si="7"/>
        <v>945.02127512291611</v>
      </c>
      <c r="Z19" s="31">
        <f t="shared" si="7"/>
        <v>923.50996514954784</v>
      </c>
      <c r="AA19" s="31">
        <f t="shared" si="7"/>
        <v>831.0288208767796</v>
      </c>
      <c r="AB19" s="31">
        <f t="shared" si="8"/>
        <v>849.1406978774877</v>
      </c>
      <c r="AC19" s="31">
        <f t="shared" si="8"/>
        <v>817.7161739570405</v>
      </c>
      <c r="AD19" s="31">
        <f t="shared" si="8"/>
        <v>863.35711510122758</v>
      </c>
      <c r="AE19" s="31">
        <f t="shared" si="8"/>
        <v>863.74002100615814</v>
      </c>
      <c r="AF19" s="31">
        <f t="shared" si="8"/>
        <v>836.08199989358411</v>
      </c>
      <c r="AG19" s="31">
        <f t="shared" si="8"/>
        <v>813.13602012517106</v>
      </c>
      <c r="AH19" s="31">
        <f t="shared" si="8"/>
        <v>837.10199931589489</v>
      </c>
      <c r="AI19" s="31">
        <f t="shared" si="8"/>
        <v>835.53924726724574</v>
      </c>
    </row>
    <row r="20" spans="1:35">
      <c r="A20" s="1"/>
      <c r="B20" s="37">
        <v>15208</v>
      </c>
      <c r="C20" s="34">
        <f>VLOOKUP($B20,Plagioclase!$AV$7:$BA$478,3,FALSE)</f>
        <v>0.43655017976961641</v>
      </c>
      <c r="D20" s="34">
        <f>VLOOKUP($B20,Plagioclase!$AV$7:$BA$478,4,FALSE)</f>
        <v>0.80970839901181879</v>
      </c>
      <c r="E20" s="29" t="str">
        <f>VLOOKUP($B20,Plagioclase!$AV$7:$BA$478,6,FALSE)</f>
        <v>26eHP01.4</v>
      </c>
      <c r="F20" s="31">
        <f t="shared" si="5"/>
        <v>966.05942676990583</v>
      </c>
      <c r="G20" s="31">
        <f t="shared" si="5"/>
        <v>962.48953673159519</v>
      </c>
      <c r="H20" s="31">
        <f t="shared" si="5"/>
        <v>966.31922485266875</v>
      </c>
      <c r="I20" s="31">
        <f t="shared" si="5"/>
        <v>791.94290507145649</v>
      </c>
      <c r="J20" s="31">
        <f t="shared" si="6"/>
        <v>968.9244694545506</v>
      </c>
      <c r="K20" s="31">
        <f t="shared" si="6"/>
        <v>943.1286086337185</v>
      </c>
      <c r="L20" s="31">
        <f t="shared" si="6"/>
        <v>1007.4658729482022</v>
      </c>
      <c r="M20" s="31">
        <f t="shared" si="2"/>
        <v>982.07049122878868</v>
      </c>
      <c r="N20" s="31">
        <f t="shared" si="2"/>
        <v>985.43769943015639</v>
      </c>
      <c r="O20" s="31">
        <f t="shared" si="2"/>
        <v>973.20128004569926</v>
      </c>
      <c r="P20" s="31">
        <f t="shared" si="6"/>
        <v>823.84204496539485</v>
      </c>
      <c r="Q20" s="31">
        <f t="shared" si="6"/>
        <v>816.55077776768451</v>
      </c>
      <c r="R20" s="31">
        <f t="shared" si="6"/>
        <v>862.80764666969651</v>
      </c>
      <c r="S20" s="31">
        <f t="shared" si="6"/>
        <v>856.89261424585504</v>
      </c>
      <c r="T20" s="31">
        <f t="shared" si="6"/>
        <v>1014.7867094346472</v>
      </c>
      <c r="U20" s="31">
        <f t="shared" si="6"/>
        <v>917.07433613262776</v>
      </c>
      <c r="V20" s="31">
        <f t="shared" si="6"/>
        <v>907.88824352289805</v>
      </c>
      <c r="W20" s="31">
        <f t="shared" si="6"/>
        <v>919.26008342312559</v>
      </c>
      <c r="X20" s="31">
        <f t="shared" si="7"/>
        <v>958.37548791761571</v>
      </c>
      <c r="Y20" s="31">
        <f t="shared" si="7"/>
        <v>939.23610715563893</v>
      </c>
      <c r="Z20" s="31">
        <f t="shared" si="7"/>
        <v>918.197267524719</v>
      </c>
      <c r="AA20" s="31">
        <f t="shared" si="7"/>
        <v>827.68250464555979</v>
      </c>
      <c r="AB20" s="31">
        <f t="shared" si="8"/>
        <v>845.4787885775105</v>
      </c>
      <c r="AC20" s="31">
        <f t="shared" si="8"/>
        <v>814.57125079494142</v>
      </c>
      <c r="AD20" s="31">
        <f t="shared" si="8"/>
        <v>859.523155066203</v>
      </c>
      <c r="AE20" s="31">
        <f t="shared" si="8"/>
        <v>859.84028243537284</v>
      </c>
      <c r="AF20" s="31">
        <f t="shared" si="8"/>
        <v>832.76664709513682</v>
      </c>
      <c r="AG20" s="31">
        <f t="shared" si="8"/>
        <v>810.15940435844493</v>
      </c>
      <c r="AH20" s="31">
        <f t="shared" si="8"/>
        <v>833.69133713727831</v>
      </c>
      <c r="AI20" s="31">
        <f t="shared" si="8"/>
        <v>832.05573648309326</v>
      </c>
    </row>
    <row r="21" spans="1:35">
      <c r="A21" s="1"/>
      <c r="B21" s="37">
        <v>15209</v>
      </c>
      <c r="C21" s="34">
        <f>VLOOKUP($B21,Plagioclase!$AV$7:$BA$478,3,FALSE)</f>
        <v>0.4680237904836127</v>
      </c>
      <c r="D21" s="34">
        <f>VLOOKUP($B21,Plagioclase!$AV$7:$BA$478,4,FALSE)</f>
        <v>0.39598424989707937</v>
      </c>
      <c r="E21" s="29" t="str">
        <f>VLOOKUP($B21,Plagioclase!$AV$7:$BA$478,6,FALSE)</f>
        <v>26eHP01.5</v>
      </c>
      <c r="F21" s="31">
        <f t="shared" si="5"/>
        <v>958.16491693625801</v>
      </c>
      <c r="G21" s="31">
        <f t="shared" si="5"/>
        <v>954.5852804647551</v>
      </c>
      <c r="H21" s="31">
        <f t="shared" si="5"/>
        <v>958.16703992577811</v>
      </c>
      <c r="I21" s="31">
        <f t="shared" si="5"/>
        <v>788.53611033116556</v>
      </c>
      <c r="J21" s="31">
        <f t="shared" si="6"/>
        <v>961.28642544681395</v>
      </c>
      <c r="K21" s="31">
        <f t="shared" si="6"/>
        <v>935.9258853513353</v>
      </c>
      <c r="L21" s="31">
        <f t="shared" si="6"/>
        <v>998.61743839782059</v>
      </c>
      <c r="M21" s="31">
        <f t="shared" si="2"/>
        <v>973.86364213146078</v>
      </c>
      <c r="N21" s="31">
        <f t="shared" si="2"/>
        <v>976.962369884037</v>
      </c>
      <c r="O21" s="31">
        <f t="shared" si="2"/>
        <v>965.38386398137607</v>
      </c>
      <c r="P21" s="31">
        <f t="shared" si="6"/>
        <v>819.72359742222704</v>
      </c>
      <c r="Q21" s="31">
        <f t="shared" si="6"/>
        <v>812.76741971539934</v>
      </c>
      <c r="R21" s="31">
        <f t="shared" si="6"/>
        <v>857.98484170852714</v>
      </c>
      <c r="S21" s="31">
        <f t="shared" si="6"/>
        <v>852.16282023364499</v>
      </c>
      <c r="T21" s="31">
        <f t="shared" si="6"/>
        <v>1005.3138744641961</v>
      </c>
      <c r="U21" s="31">
        <f t="shared" si="6"/>
        <v>910.64735509542936</v>
      </c>
      <c r="V21" s="31">
        <f t="shared" si="6"/>
        <v>901.51287030778519</v>
      </c>
      <c r="W21" s="31">
        <f t="shared" si="6"/>
        <v>912.6458027462005</v>
      </c>
      <c r="X21" s="31">
        <f t="shared" si="7"/>
        <v>950.84712614570242</v>
      </c>
      <c r="Y21" s="31">
        <f t="shared" si="7"/>
        <v>932.04901786460334</v>
      </c>
      <c r="Z21" s="31">
        <f t="shared" si="7"/>
        <v>911.59550920819891</v>
      </c>
      <c r="AA21" s="31">
        <f t="shared" si="7"/>
        <v>823.52010644882205</v>
      </c>
      <c r="AB21" s="31">
        <f t="shared" si="8"/>
        <v>840.92312076480619</v>
      </c>
      <c r="AC21" s="31">
        <f t="shared" si="8"/>
        <v>810.66056580701286</v>
      </c>
      <c r="AD21" s="31">
        <f t="shared" si="8"/>
        <v>854.75096480712648</v>
      </c>
      <c r="AE21" s="31">
        <f t="shared" si="8"/>
        <v>854.98774353997544</v>
      </c>
      <c r="AF21" s="31">
        <f t="shared" si="8"/>
        <v>828.63976024115289</v>
      </c>
      <c r="AG21" s="31">
        <f t="shared" si="8"/>
        <v>806.45618716572551</v>
      </c>
      <c r="AH21" s="31">
        <f t="shared" si="8"/>
        <v>829.44766438325257</v>
      </c>
      <c r="AI21" s="31">
        <f t="shared" si="8"/>
        <v>827.72397014834871</v>
      </c>
    </row>
    <row r="22" spans="1:35">
      <c r="A22" s="1"/>
      <c r="B22" s="37">
        <v>15210</v>
      </c>
      <c r="C22" s="34">
        <f>VLOOKUP($B22,Plagioclase!$AV$7:$BA$478,3,FALSE)</f>
        <v>0.67759226435650954</v>
      </c>
      <c r="D22" s="34">
        <f>VLOOKUP($B22,Plagioclase!$AV$7:$BA$478,4,FALSE)</f>
        <v>0</v>
      </c>
      <c r="E22" s="29" t="str">
        <f>VLOOKUP($B22,Plagioclase!$AV$7:$BA$478,6,FALSE)</f>
        <v>26eHP01.6</v>
      </c>
      <c r="F22" s="31">
        <f t="shared" si="5"/>
        <v>876.47782300654637</v>
      </c>
      <c r="G22" s="31">
        <f t="shared" si="5"/>
        <v>872.55333026971232</v>
      </c>
      <c r="H22" s="31">
        <f t="shared" si="5"/>
        <v>874.0555088824625</v>
      </c>
      <c r="I22" s="31">
        <f t="shared" si="5"/>
        <v>742.68006802662069</v>
      </c>
      <c r="J22" s="31">
        <f t="shared" si="6"/>
        <v>882.23892638454811</v>
      </c>
      <c r="K22" s="31">
        <f t="shared" si="6"/>
        <v>859.30045129383882</v>
      </c>
      <c r="L22" s="31">
        <f t="shared" si="6"/>
        <v>910.89869458444616</v>
      </c>
      <c r="M22" s="31">
        <f t="shared" si="2"/>
        <v>890.34147227622668</v>
      </c>
      <c r="N22" s="31">
        <f t="shared" si="2"/>
        <v>891.17303356609989</v>
      </c>
      <c r="O22" s="31">
        <f t="shared" si="2"/>
        <v>884.92125929634415</v>
      </c>
      <c r="P22" s="31">
        <f t="shared" si="6"/>
        <v>767.49396767185419</v>
      </c>
      <c r="Q22" s="31">
        <f t="shared" si="6"/>
        <v>764.0395457236101</v>
      </c>
      <c r="R22" s="31">
        <f t="shared" si="6"/>
        <v>800.4738272708222</v>
      </c>
      <c r="S22" s="31">
        <f t="shared" si="6"/>
        <v>795.27244442756853</v>
      </c>
      <c r="T22" s="31">
        <f t="shared" si="6"/>
        <v>912.4668708517753</v>
      </c>
      <c r="U22" s="31">
        <f t="shared" si="6"/>
        <v>839.92024631487118</v>
      </c>
      <c r="V22" s="31">
        <f t="shared" si="6"/>
        <v>830.64550615963219</v>
      </c>
      <c r="W22" s="31">
        <f t="shared" si="6"/>
        <v>840.17207423036859</v>
      </c>
      <c r="X22" s="31">
        <f t="shared" si="7"/>
        <v>872.12724384707133</v>
      </c>
      <c r="Y22" s="31">
        <f t="shared" si="7"/>
        <v>855.29899883686119</v>
      </c>
      <c r="Z22" s="31">
        <f t="shared" si="7"/>
        <v>839.17135313954157</v>
      </c>
      <c r="AA22" s="31">
        <f t="shared" si="7"/>
        <v>771.05419338665445</v>
      </c>
      <c r="AB22" s="31">
        <f t="shared" si="8"/>
        <v>785.18340743930105</v>
      </c>
      <c r="AC22" s="31">
        <f t="shared" si="8"/>
        <v>760.23735445321165</v>
      </c>
      <c r="AD22" s="31">
        <f t="shared" si="8"/>
        <v>797.57236325724386</v>
      </c>
      <c r="AE22" s="31">
        <f t="shared" si="8"/>
        <v>796.93013164561955</v>
      </c>
      <c r="AF22" s="31">
        <f t="shared" si="8"/>
        <v>776.96606508102184</v>
      </c>
      <c r="AG22" s="31">
        <f t="shared" si="8"/>
        <v>758.24291303696202</v>
      </c>
      <c r="AH22" s="31">
        <f t="shared" si="8"/>
        <v>776.46577220998563</v>
      </c>
      <c r="AI22" s="31">
        <f t="shared" si="8"/>
        <v>773.58552990042779</v>
      </c>
    </row>
    <row r="23" spans="1:35">
      <c r="B23" s="37">
        <v>15217</v>
      </c>
      <c r="C23" s="34">
        <f>VLOOKUP($B23,Plagioclase!$AV$7:$BA$478,3,FALSE)</f>
        <v>0.65239841730816983</v>
      </c>
      <c r="D23" s="34">
        <f>VLOOKUP($B23,Plagioclase!$AV$7:$BA$478,4,FALSE)</f>
        <v>0</v>
      </c>
      <c r="E23" s="29" t="str">
        <f>VLOOKUP($B23,Plagioclase!$AV$7:$BA$478,6,FALSE)</f>
        <v>26hHP01.1</v>
      </c>
      <c r="F23" s="31">
        <f t="shared" si="5"/>
        <v>885.26588534657901</v>
      </c>
      <c r="G23" s="31">
        <f t="shared" si="5"/>
        <v>881.37751816136222</v>
      </c>
      <c r="H23" s="31">
        <f t="shared" si="5"/>
        <v>883.08736228025043</v>
      </c>
      <c r="I23" s="31">
        <f t="shared" si="5"/>
        <v>747.81853470553085</v>
      </c>
      <c r="J23" s="31">
        <f t="shared" si="6"/>
        <v>890.75922188824268</v>
      </c>
      <c r="K23" s="31">
        <f t="shared" si="6"/>
        <v>867.58525181262883</v>
      </c>
      <c r="L23" s="31">
        <f t="shared" si="6"/>
        <v>920.27680265130823</v>
      </c>
      <c r="M23" s="31">
        <f t="shared" si="2"/>
        <v>899.30821072716924</v>
      </c>
      <c r="N23" s="31">
        <f t="shared" si="2"/>
        <v>900.36600595986363</v>
      </c>
      <c r="O23" s="31">
        <f t="shared" si="2"/>
        <v>893.58302880090321</v>
      </c>
      <c r="P23" s="31">
        <f t="shared" si="6"/>
        <v>773.29866094982174</v>
      </c>
      <c r="Q23" s="31">
        <f t="shared" si="6"/>
        <v>769.47448204813134</v>
      </c>
      <c r="R23" s="31">
        <f t="shared" si="6"/>
        <v>806.81844408009067</v>
      </c>
      <c r="S23" s="31">
        <f t="shared" si="6"/>
        <v>801.55448704457342</v>
      </c>
      <c r="T23" s="31">
        <f t="shared" si="6"/>
        <v>922.35259824330649</v>
      </c>
      <c r="U23" s="31">
        <f t="shared" si="6"/>
        <v>847.61343801635974</v>
      </c>
      <c r="V23" s="31">
        <f t="shared" si="6"/>
        <v>838.35705300668508</v>
      </c>
      <c r="W23" s="31">
        <f t="shared" si="6"/>
        <v>848.0433657363759</v>
      </c>
      <c r="X23" s="31">
        <f t="shared" si="7"/>
        <v>880.61846638326426</v>
      </c>
      <c r="Y23" s="31">
        <f t="shared" si="7"/>
        <v>863.59804562186821</v>
      </c>
      <c r="Z23" s="31">
        <f t="shared" si="7"/>
        <v>847.0380236293837</v>
      </c>
      <c r="AA23" s="31">
        <f t="shared" si="7"/>
        <v>776.88216612992858</v>
      </c>
      <c r="AB23" s="31">
        <f t="shared" si="8"/>
        <v>791.34948538940296</v>
      </c>
      <c r="AC23" s="31">
        <f t="shared" si="8"/>
        <v>765.85421763158217</v>
      </c>
      <c r="AD23" s="31">
        <f t="shared" si="8"/>
        <v>803.88352598362337</v>
      </c>
      <c r="AE23" s="31">
        <f t="shared" si="8"/>
        <v>803.33352645614116</v>
      </c>
      <c r="AF23" s="31">
        <f t="shared" si="8"/>
        <v>782.70751426407776</v>
      </c>
      <c r="AG23" s="31">
        <f t="shared" si="8"/>
        <v>763.62577815810175</v>
      </c>
      <c r="AH23" s="31">
        <f t="shared" si="8"/>
        <v>782.34567557389994</v>
      </c>
      <c r="AI23" s="31">
        <f t="shared" si="8"/>
        <v>779.5887179094924</v>
      </c>
    </row>
    <row r="24" spans="1:35">
      <c r="B24" s="37">
        <v>15219</v>
      </c>
      <c r="C24" s="34">
        <f>VLOOKUP($B24,Plagioclase!$AV$7:$BA$478,3,FALSE)</f>
        <v>0.67295363827925314</v>
      </c>
      <c r="D24" s="34">
        <f>VLOOKUP($B24,Plagioclase!$AV$7:$BA$478,4,FALSE)</f>
        <v>0</v>
      </c>
      <c r="E24" s="29" t="str">
        <f>VLOOKUP($B24,Plagioclase!$AV$7:$BA$478,6,FALSE)</f>
        <v>26hHP02.1</v>
      </c>
      <c r="F24" s="31">
        <f t="shared" si="5"/>
        <v>878.06113858992796</v>
      </c>
      <c r="G24" s="31">
        <f t="shared" si="5"/>
        <v>874.1430798196883</v>
      </c>
      <c r="H24" s="31">
        <f t="shared" si="5"/>
        <v>875.68244481664317</v>
      </c>
      <c r="I24" s="31">
        <f t="shared" si="5"/>
        <v>743.60780011511133</v>
      </c>
      <c r="J24" s="31">
        <f t="shared" si="6"/>
        <v>883.77433645069175</v>
      </c>
      <c r="K24" s="31">
        <f t="shared" si="6"/>
        <v>860.79349487876095</v>
      </c>
      <c r="L24" s="31">
        <f t="shared" si="6"/>
        <v>912.58793724028385</v>
      </c>
      <c r="M24" s="31">
        <f t="shared" si="2"/>
        <v>891.95689720884218</v>
      </c>
      <c r="N24" s="31">
        <f t="shared" si="2"/>
        <v>892.82896187795347</v>
      </c>
      <c r="O24" s="31">
        <f t="shared" si="2"/>
        <v>886.48203038409622</v>
      </c>
      <c r="P24" s="31">
        <f t="shared" si="6"/>
        <v>768.5415408392372</v>
      </c>
      <c r="Q24" s="31">
        <f t="shared" si="6"/>
        <v>765.02065904158701</v>
      </c>
      <c r="R24" s="31">
        <f t="shared" si="6"/>
        <v>801.61853114360554</v>
      </c>
      <c r="S24" s="31">
        <f t="shared" si="6"/>
        <v>796.4058861023376</v>
      </c>
      <c r="T24" s="31">
        <f t="shared" si="6"/>
        <v>914.24694425553378</v>
      </c>
      <c r="U24" s="31">
        <f t="shared" si="6"/>
        <v>841.30712937986334</v>
      </c>
      <c r="V24" s="31">
        <f t="shared" si="6"/>
        <v>832.03561363888059</v>
      </c>
      <c r="W24" s="31">
        <f t="shared" si="6"/>
        <v>841.59088110476989</v>
      </c>
      <c r="X24" s="31">
        <f t="shared" si="7"/>
        <v>873.65736532031212</v>
      </c>
      <c r="Y24" s="31">
        <f t="shared" si="7"/>
        <v>856.79456286912603</v>
      </c>
      <c r="Z24" s="31">
        <f t="shared" si="7"/>
        <v>840.58932452529609</v>
      </c>
      <c r="AA24" s="31">
        <f t="shared" si="7"/>
        <v>772.10596499189967</v>
      </c>
      <c r="AB24" s="31">
        <f t="shared" si="8"/>
        <v>786.29597463019093</v>
      </c>
      <c r="AC24" s="31">
        <f t="shared" si="8"/>
        <v>761.25114773014695</v>
      </c>
      <c r="AD24" s="31">
        <f t="shared" si="8"/>
        <v>798.71104543196964</v>
      </c>
      <c r="AE24" s="31">
        <f t="shared" si="8"/>
        <v>798.08537019884363</v>
      </c>
      <c r="AF24" s="31">
        <f t="shared" si="8"/>
        <v>778.00231793857927</v>
      </c>
      <c r="AG24" s="31">
        <f t="shared" si="8"/>
        <v>759.21464313861736</v>
      </c>
      <c r="AH24" s="31">
        <f t="shared" si="8"/>
        <v>777.52689780940148</v>
      </c>
      <c r="AI24" s="31">
        <f t="shared" si="8"/>
        <v>774.66878666173932</v>
      </c>
    </row>
    <row r="25" spans="1:35">
      <c r="B25" s="37">
        <v>15220</v>
      </c>
      <c r="C25" s="34">
        <f>VLOOKUP($B25,Plagioclase!$AV$7:$BA$478,3,FALSE)</f>
        <v>0.7118194098774826</v>
      </c>
      <c r="D25" s="34">
        <f>VLOOKUP($B25,Plagioclase!$AV$7:$BA$478,4,FALSE)</f>
        <v>0</v>
      </c>
      <c r="E25" s="29" t="str">
        <f>VLOOKUP($B25,Plagioclase!$AV$7:$BA$478,6,FALSE)</f>
        <v>26hHP02.2</v>
      </c>
      <c r="F25" s="31">
        <f t="shared" ref="F25:I25" si="9">(-76.95+0.79*F$11+$D25+39.4*F$8+22.4*F$6+(41.5-2.89*F$11)*F$5)/(-0.065-$C$6*LN((27*F$7*F$3*$C25)/(256*F$8*F$4)))-273.15</f>
        <v>865.24596156248992</v>
      </c>
      <c r="G25" s="31">
        <f t="shared" si="9"/>
        <v>861.27676883459537</v>
      </c>
      <c r="H25" s="31">
        <f t="shared" si="9"/>
        <v>862.5180266311844</v>
      </c>
      <c r="I25" s="31">
        <f t="shared" si="9"/>
        <v>736.07406828546095</v>
      </c>
      <c r="J25" s="31">
        <f t="shared" ref="J25:W38" si="10">(-76.95+0.79*J$11+$D25+39.4*J$8+22.4*J$6+(41.5-2.89*J$11)*J$5)/(-0.065-$C$6*LN((27*J$7*J$3*$C25)/(256*J$8*J$4)))-273.15</f>
        <v>871.34264473594055</v>
      </c>
      <c r="K25" s="31">
        <f t="shared" si="10"/>
        <v>848.7039310127783</v>
      </c>
      <c r="L25" s="31">
        <f t="shared" si="10"/>
        <v>898.92018374869133</v>
      </c>
      <c r="M25" s="31">
        <f t="shared" si="2"/>
        <v>878.88286683427793</v>
      </c>
      <c r="N25" s="31">
        <f t="shared" si="2"/>
        <v>879.43033506549943</v>
      </c>
      <c r="O25" s="31">
        <f t="shared" si="2"/>
        <v>873.84668453893016</v>
      </c>
      <c r="P25" s="31">
        <f t="shared" si="10"/>
        <v>760.0402759595512</v>
      </c>
      <c r="Q25" s="31">
        <f t="shared" si="10"/>
        <v>757.05529077713766</v>
      </c>
      <c r="R25" s="31">
        <f t="shared" si="10"/>
        <v>792.33296125764389</v>
      </c>
      <c r="S25" s="31">
        <f t="shared" si="10"/>
        <v>787.21132304303171</v>
      </c>
      <c r="T25" s="31">
        <f t="shared" si="10"/>
        <v>899.85189033330505</v>
      </c>
      <c r="U25" s="31">
        <f t="shared" si="10"/>
        <v>830.07140712638159</v>
      </c>
      <c r="V25" s="31">
        <f t="shared" si="10"/>
        <v>820.77483853405136</v>
      </c>
      <c r="W25" s="31">
        <f t="shared" si="10"/>
        <v>830.0988448210793</v>
      </c>
      <c r="X25" s="31">
        <f t="shared" ref="X25:AA38" si="11">(-76.95+0.79*X$11+$D25+39.4*X$8+22.4*X$6+(41.5-2.89*X$11)*X$5)/(-0.065-$C$6*LN((27*X$7*X$3*$C25)/(256*X$8*X$4)))-273.15</f>
        <v>861.26911824321667</v>
      </c>
      <c r="Y25" s="31">
        <f t="shared" si="11"/>
        <v>844.68518324816057</v>
      </c>
      <c r="Z25" s="31">
        <f t="shared" si="11"/>
        <v>829.10408772493827</v>
      </c>
      <c r="AA25" s="31">
        <f t="shared" si="11"/>
        <v>763.57066465622154</v>
      </c>
      <c r="AB25" s="31">
        <f t="shared" ref="AB25:AI38" si="12">(-76.95+0.79*AB$11+$D25+39.4*AB$8+22.4*AB$6+(41.5-2.89*AB$11)*AB$5)/(-0.065-$C$6*LN((27*AB$7*AB$3*$C25)/(256*AB$8*AB$4)))-273.15</f>
        <v>777.27013063887523</v>
      </c>
      <c r="AC25" s="31">
        <f t="shared" si="12"/>
        <v>753.02251487396177</v>
      </c>
      <c r="AD25" s="31">
        <f t="shared" si="12"/>
        <v>789.47414269551143</v>
      </c>
      <c r="AE25" s="31">
        <f t="shared" si="12"/>
        <v>788.71523581718918</v>
      </c>
      <c r="AF25" s="31">
        <f t="shared" si="12"/>
        <v>769.59173230757199</v>
      </c>
      <c r="AG25" s="31">
        <f t="shared" si="12"/>
        <v>751.32524226133967</v>
      </c>
      <c r="AH25" s="31">
        <f t="shared" si="12"/>
        <v>768.91591587445976</v>
      </c>
      <c r="AI25" s="31">
        <f t="shared" si="12"/>
        <v>765.87970600563392</v>
      </c>
    </row>
    <row r="26" spans="1:35">
      <c r="B26" s="37">
        <v>15221</v>
      </c>
      <c r="C26" s="34">
        <f>VLOOKUP($B26,Plagioclase!$AV$7:$BA$478,3,FALSE)</f>
        <v>0.70782018533971969</v>
      </c>
      <c r="D26" s="34">
        <f>VLOOKUP($B26,Plagioclase!$AV$7:$BA$478,4,FALSE)</f>
        <v>0</v>
      </c>
      <c r="E26" s="29" t="str">
        <f>VLOOKUP($B26,Plagioclase!$AV$7:$BA$478,6,FALSE)</f>
        <v>26hHP02.3</v>
      </c>
      <c r="F26" s="31">
        <f t="shared" ref="F26:I38" si="13">(-76.95+0.79*F$11+$D26+39.4*F$8+22.4*F$6+(41.5-2.89*F$11)*F$5)/(-0.065-$C$6*LN((27*F$7*F$3*$C26)/(256*F$8*F$4)))-273.15</f>
        <v>866.51900854688495</v>
      </c>
      <c r="G26" s="31">
        <f t="shared" si="13"/>
        <v>862.55479927597992</v>
      </c>
      <c r="H26" s="31">
        <f t="shared" si="13"/>
        <v>863.82537733265633</v>
      </c>
      <c r="I26" s="31">
        <f t="shared" si="13"/>
        <v>736.82499807681472</v>
      </c>
      <c r="J26" s="31">
        <f t="shared" si="10"/>
        <v>872.57803132023525</v>
      </c>
      <c r="K26" s="31">
        <f t="shared" si="10"/>
        <v>849.9054108073625</v>
      </c>
      <c r="L26" s="31">
        <f t="shared" si="10"/>
        <v>900.27743649076353</v>
      </c>
      <c r="M26" s="31">
        <f t="shared" si="2"/>
        <v>880.18152229379336</v>
      </c>
      <c r="N26" s="31">
        <f t="shared" si="2"/>
        <v>880.76090566093296</v>
      </c>
      <c r="O26" s="31">
        <f t="shared" si="2"/>
        <v>875.10213696558014</v>
      </c>
      <c r="P26" s="31">
        <f t="shared" si="10"/>
        <v>760.88706764496021</v>
      </c>
      <c r="Q26" s="31">
        <f t="shared" si="10"/>
        <v>757.84905485908837</v>
      </c>
      <c r="R26" s="31">
        <f t="shared" si="10"/>
        <v>793.25747392969208</v>
      </c>
      <c r="S26" s="31">
        <f t="shared" si="10"/>
        <v>788.12681040921564</v>
      </c>
      <c r="T26" s="31">
        <f t="shared" si="10"/>
        <v>901.28058949744548</v>
      </c>
      <c r="U26" s="31">
        <f t="shared" si="10"/>
        <v>831.18862006177699</v>
      </c>
      <c r="V26" s="31">
        <f t="shared" si="10"/>
        <v>821.89443332940971</v>
      </c>
      <c r="W26" s="31">
        <f t="shared" si="10"/>
        <v>831.24130772426145</v>
      </c>
      <c r="X26" s="31">
        <f t="shared" si="11"/>
        <v>862.5001237754783</v>
      </c>
      <c r="Y26" s="31">
        <f t="shared" si="11"/>
        <v>845.88857181485116</v>
      </c>
      <c r="Z26" s="31">
        <f t="shared" si="11"/>
        <v>830.24587137898027</v>
      </c>
      <c r="AA26" s="31">
        <f t="shared" si="11"/>
        <v>764.42084288397848</v>
      </c>
      <c r="AB26" s="31">
        <f t="shared" si="12"/>
        <v>778.16888195429817</v>
      </c>
      <c r="AC26" s="31">
        <f t="shared" si="12"/>
        <v>753.84230361189714</v>
      </c>
      <c r="AD26" s="31">
        <f t="shared" si="12"/>
        <v>790.39382820051117</v>
      </c>
      <c r="AE26" s="31">
        <f t="shared" si="12"/>
        <v>789.6480770679583</v>
      </c>
      <c r="AF26" s="31">
        <f t="shared" si="12"/>
        <v>770.42961310619296</v>
      </c>
      <c r="AG26" s="31">
        <f t="shared" si="12"/>
        <v>752.11145775915554</v>
      </c>
      <c r="AH26" s="31">
        <f t="shared" si="12"/>
        <v>769.77360926035715</v>
      </c>
      <c r="AI26" s="31">
        <f t="shared" si="12"/>
        <v>766.75498598899742</v>
      </c>
    </row>
    <row r="27" spans="1:35">
      <c r="B27" s="37">
        <v>15222</v>
      </c>
      <c r="C27" s="34">
        <f>VLOOKUP($B27,Plagioclase!$AV$7:$BA$478,3,FALSE)</f>
        <v>0.36702449241594287</v>
      </c>
      <c r="D27" s="34">
        <f>VLOOKUP($B27,Plagioclase!$AV$7:$BA$478,4,FALSE)</f>
        <v>1.8078959184155359</v>
      </c>
      <c r="E27" s="29" t="str">
        <f>VLOOKUP($B27,Plagioclase!$AV$7:$BA$478,6,FALSE)</f>
        <v>26hHP02.4</v>
      </c>
      <c r="F27" s="31">
        <f t="shared" si="13"/>
        <v>987.72255955602134</v>
      </c>
      <c r="G27" s="31">
        <f t="shared" si="13"/>
        <v>984.19533765496942</v>
      </c>
      <c r="H27" s="31">
        <f t="shared" si="13"/>
        <v>988.72892384690329</v>
      </c>
      <c r="I27" s="31">
        <f t="shared" si="13"/>
        <v>801.30055687212405</v>
      </c>
      <c r="J27" s="31">
        <f t="shared" si="10"/>
        <v>989.83532336127212</v>
      </c>
      <c r="K27" s="31">
        <f t="shared" si="10"/>
        <v>962.88063734019795</v>
      </c>
      <c r="L27" s="31">
        <f t="shared" si="10"/>
        <v>1031.7251158153817</v>
      </c>
      <c r="M27" s="31">
        <f t="shared" si="2"/>
        <v>1004.5739497648893</v>
      </c>
      <c r="N27" s="31">
        <f t="shared" si="2"/>
        <v>1008.7058277058151</v>
      </c>
      <c r="O27" s="31">
        <f t="shared" si="2"/>
        <v>994.6134888547964</v>
      </c>
      <c r="P27" s="31">
        <f t="shared" si="10"/>
        <v>835.1398309730713</v>
      </c>
      <c r="Q27" s="31">
        <f t="shared" si="10"/>
        <v>826.91493499526439</v>
      </c>
      <c r="R27" s="31">
        <f t="shared" si="10"/>
        <v>876.00130369213036</v>
      </c>
      <c r="S27" s="31">
        <f t="shared" si="10"/>
        <v>869.8383888856323</v>
      </c>
      <c r="T27" s="31">
        <f t="shared" si="10"/>
        <v>1040.8306122686954</v>
      </c>
      <c r="U27" s="31">
        <f t="shared" si="10"/>
        <v>934.68622075589417</v>
      </c>
      <c r="V27" s="31">
        <f t="shared" si="10"/>
        <v>925.38438321246656</v>
      </c>
      <c r="W27" s="31">
        <f t="shared" si="10"/>
        <v>937.40340507340318</v>
      </c>
      <c r="X27" s="31">
        <f t="shared" si="11"/>
        <v>979.00977400026329</v>
      </c>
      <c r="Y27" s="31">
        <f t="shared" si="11"/>
        <v>958.95781174012257</v>
      </c>
      <c r="Z27" s="31">
        <f t="shared" si="11"/>
        <v>936.30837950778607</v>
      </c>
      <c r="AA27" s="31">
        <f t="shared" si="11"/>
        <v>839.09475955381538</v>
      </c>
      <c r="AB27" s="31">
        <f t="shared" si="12"/>
        <v>857.96128737952074</v>
      </c>
      <c r="AC27" s="31">
        <f t="shared" si="12"/>
        <v>825.3027985867958</v>
      </c>
      <c r="AD27" s="31">
        <f t="shared" si="12"/>
        <v>872.58211952532622</v>
      </c>
      <c r="AE27" s="31">
        <f t="shared" si="12"/>
        <v>873.12746535136137</v>
      </c>
      <c r="AF27" s="31">
        <f t="shared" si="12"/>
        <v>844.06389840189274</v>
      </c>
      <c r="AG27" s="31">
        <f t="shared" si="12"/>
        <v>820.3125146150802</v>
      </c>
      <c r="AH27" s="31">
        <f t="shared" si="12"/>
        <v>845.31829039183037</v>
      </c>
      <c r="AI27" s="31">
        <f t="shared" si="12"/>
        <v>843.93846000396081</v>
      </c>
    </row>
    <row r="28" spans="1:35">
      <c r="B28" s="37">
        <v>15229</v>
      </c>
      <c r="C28" s="34">
        <f>VLOOKUP($B28,Plagioclase!$AV$7:$BA$478,3,FALSE)</f>
        <v>0.42522188259061755</v>
      </c>
      <c r="D28" s="34">
        <f>VLOOKUP($B28,Plagioclase!$AV$7:$BA$478,4,FALSE)</f>
        <v>0.96443861103208572</v>
      </c>
      <c r="E28" s="29" t="str">
        <f>VLOOKUP($B28,Plagioclase!$AV$7:$BA$478,6,FALSE)</f>
        <v>26hHP04.3</v>
      </c>
      <c r="F28" s="31">
        <f t="shared" si="13"/>
        <v>969.14459867543349</v>
      </c>
      <c r="G28" s="31">
        <f t="shared" si="13"/>
        <v>965.5793250213502</v>
      </c>
      <c r="H28" s="31">
        <f t="shared" si="13"/>
        <v>969.50724460317576</v>
      </c>
      <c r="I28" s="31">
        <f t="shared" si="13"/>
        <v>793.27298691088652</v>
      </c>
      <c r="J28" s="31">
        <f t="shared" si="10"/>
        <v>971.90681799803872</v>
      </c>
      <c r="K28" s="31">
        <f t="shared" si="10"/>
        <v>945.94238266701893</v>
      </c>
      <c r="L28" s="31">
        <f t="shared" si="10"/>
        <v>1010.9233618131947</v>
      </c>
      <c r="M28" s="31">
        <f t="shared" si="2"/>
        <v>985.27707439399353</v>
      </c>
      <c r="N28" s="31">
        <f t="shared" si="2"/>
        <v>988.75078558579082</v>
      </c>
      <c r="O28" s="31">
        <f t="shared" si="2"/>
        <v>976.25429381927631</v>
      </c>
      <c r="P28" s="31">
        <f t="shared" si="10"/>
        <v>825.44971070585768</v>
      </c>
      <c r="Q28" s="31">
        <f t="shared" si="10"/>
        <v>818.0267409876875</v>
      </c>
      <c r="R28" s="31">
        <f t="shared" si="10"/>
        <v>864.68892154870571</v>
      </c>
      <c r="S28" s="31">
        <f t="shared" si="10"/>
        <v>858.73787804432561</v>
      </c>
      <c r="T28" s="31">
        <f t="shared" si="10"/>
        <v>1018.4922467146918</v>
      </c>
      <c r="U28" s="31">
        <f t="shared" si="10"/>
        <v>919.58397002282061</v>
      </c>
      <c r="V28" s="31">
        <f t="shared" si="10"/>
        <v>910.37897813000188</v>
      </c>
      <c r="W28" s="31">
        <f t="shared" si="10"/>
        <v>921.84388209456449</v>
      </c>
      <c r="X28" s="31">
        <f t="shared" si="11"/>
        <v>961.31613770143406</v>
      </c>
      <c r="Y28" s="31">
        <f t="shared" si="11"/>
        <v>942.04439416366574</v>
      </c>
      <c r="Z28" s="31">
        <f t="shared" si="11"/>
        <v>920.77627386774782</v>
      </c>
      <c r="AA28" s="31">
        <f t="shared" si="11"/>
        <v>829.30705251037523</v>
      </c>
      <c r="AB28" s="31">
        <f t="shared" si="12"/>
        <v>847.25667666474635</v>
      </c>
      <c r="AC28" s="31">
        <f t="shared" si="12"/>
        <v>816.09787698385765</v>
      </c>
      <c r="AD28" s="31">
        <f t="shared" si="12"/>
        <v>861.38484327162985</v>
      </c>
      <c r="AE28" s="31">
        <f t="shared" si="12"/>
        <v>861.73377829523372</v>
      </c>
      <c r="AF28" s="31">
        <f t="shared" si="12"/>
        <v>834.37644405476919</v>
      </c>
      <c r="AG28" s="31">
        <f t="shared" si="12"/>
        <v>811.60447456133863</v>
      </c>
      <c r="AH28" s="31">
        <f t="shared" si="12"/>
        <v>835.34725302132745</v>
      </c>
      <c r="AI28" s="31">
        <f t="shared" si="12"/>
        <v>833.74679173974789</v>
      </c>
    </row>
    <row r="29" spans="1:35">
      <c r="B29" s="37">
        <v>15230</v>
      </c>
      <c r="C29" s="34">
        <f>VLOOKUP($B29,Plagioclase!$AV$7:$BA$478,3,FALSE)</f>
        <v>0.40978993153357862</v>
      </c>
      <c r="D29" s="34">
        <f>VLOOKUP($B29,Plagioclase!$AV$7:$BA$478,4,FALSE)</f>
        <v>1.1801750990296531</v>
      </c>
      <c r="E29" s="29" t="str">
        <f>VLOOKUP($B29,Plagioclase!$AV$7:$BA$478,6,FALSE)</f>
        <v>26hHP04.4</v>
      </c>
      <c r="F29" s="31">
        <f t="shared" si="13"/>
        <v>973.5919043680866</v>
      </c>
      <c r="G29" s="31">
        <f t="shared" si="13"/>
        <v>970.03412736232178</v>
      </c>
      <c r="H29" s="31">
        <f t="shared" si="13"/>
        <v>974.10488566941092</v>
      </c>
      <c r="I29" s="31">
        <f t="shared" si="13"/>
        <v>795.19091501431956</v>
      </c>
      <c r="J29" s="31">
        <f t="shared" si="10"/>
        <v>976.203344250025</v>
      </c>
      <c r="K29" s="31">
        <f t="shared" si="10"/>
        <v>949.99781311338836</v>
      </c>
      <c r="L29" s="31">
        <f t="shared" si="10"/>
        <v>1015.9061915593555</v>
      </c>
      <c r="M29" s="31">
        <f t="shared" si="2"/>
        <v>989.8984976506257</v>
      </c>
      <c r="N29" s="31">
        <f t="shared" si="2"/>
        <v>993.52720181335724</v>
      </c>
      <c r="O29" s="31">
        <f t="shared" si="2"/>
        <v>980.65316251049819</v>
      </c>
      <c r="P29" s="31">
        <f t="shared" si="10"/>
        <v>827.76709568032504</v>
      </c>
      <c r="Q29" s="31">
        <f t="shared" si="10"/>
        <v>820.15353045235463</v>
      </c>
      <c r="R29" s="31">
        <f t="shared" si="10"/>
        <v>867.39874387455177</v>
      </c>
      <c r="S29" s="31">
        <f t="shared" si="10"/>
        <v>861.39618165508944</v>
      </c>
      <c r="T29" s="31">
        <f t="shared" si="10"/>
        <v>1023.8363835040758</v>
      </c>
      <c r="U29" s="31">
        <f t="shared" si="10"/>
        <v>923.20039818644011</v>
      </c>
      <c r="V29" s="31">
        <f t="shared" si="10"/>
        <v>913.96953463657576</v>
      </c>
      <c r="W29" s="31">
        <f t="shared" si="10"/>
        <v>925.56813907901517</v>
      </c>
      <c r="X29" s="31">
        <f t="shared" si="11"/>
        <v>965.55385050664938</v>
      </c>
      <c r="Y29" s="31">
        <f t="shared" si="11"/>
        <v>946.09258127770397</v>
      </c>
      <c r="Z29" s="31">
        <f t="shared" si="11"/>
        <v>924.49373705593791</v>
      </c>
      <c r="AA29" s="31">
        <f t="shared" si="11"/>
        <v>831.64844687702555</v>
      </c>
      <c r="AB29" s="31">
        <f t="shared" si="12"/>
        <v>849.81863232489252</v>
      </c>
      <c r="AC29" s="31">
        <f t="shared" si="12"/>
        <v>818.29865163409534</v>
      </c>
      <c r="AD29" s="31">
        <f t="shared" si="12"/>
        <v>864.06665493904472</v>
      </c>
      <c r="AE29" s="31">
        <f t="shared" si="12"/>
        <v>864.4618497678747</v>
      </c>
      <c r="AF29" s="31">
        <f t="shared" si="12"/>
        <v>836.69564329961861</v>
      </c>
      <c r="AG29" s="31">
        <f t="shared" si="12"/>
        <v>813.68720321183184</v>
      </c>
      <c r="AH29" s="31">
        <f t="shared" si="12"/>
        <v>837.73342148513723</v>
      </c>
      <c r="AI29" s="31">
        <f t="shared" si="12"/>
        <v>836.18435733439276</v>
      </c>
    </row>
    <row r="30" spans="1:35">
      <c r="B30" s="37">
        <v>15231</v>
      </c>
      <c r="C30" s="34">
        <f>VLOOKUP($B30,Plagioclase!$AV$7:$BA$478,3,FALSE)</f>
        <v>0.52957336352122686</v>
      </c>
      <c r="D30" s="34">
        <f>VLOOKUP($B30,Plagioclase!$AV$7:$BA$478,4,FALSE)</f>
        <v>0</v>
      </c>
      <c r="E30" s="29" t="str">
        <f>VLOOKUP($B30,Plagioclase!$AV$7:$BA$478,6,FALSE)</f>
        <v>26hHP04.5</v>
      </c>
      <c r="F30" s="31">
        <f t="shared" si="13"/>
        <v>936.15492903053143</v>
      </c>
      <c r="G30" s="31">
        <f t="shared" si="13"/>
        <v>932.49563582891858</v>
      </c>
      <c r="H30" s="31">
        <f t="shared" si="13"/>
        <v>935.46882399733011</v>
      </c>
      <c r="I30" s="31">
        <f t="shared" si="13"/>
        <v>777.062916139207</v>
      </c>
      <c r="J30" s="31">
        <f t="shared" si="10"/>
        <v>940.00811425371546</v>
      </c>
      <c r="K30" s="31">
        <f t="shared" si="10"/>
        <v>915.45406515271623</v>
      </c>
      <c r="L30" s="31">
        <f t="shared" si="10"/>
        <v>974.68383403837572</v>
      </c>
      <c r="M30" s="31">
        <f t="shared" si="2"/>
        <v>951.25378658294233</v>
      </c>
      <c r="N30" s="31">
        <f t="shared" si="2"/>
        <v>953.69004190371982</v>
      </c>
      <c r="O30" s="31">
        <f t="shared" si="2"/>
        <v>943.68509896987678</v>
      </c>
      <c r="P30" s="31">
        <f t="shared" si="10"/>
        <v>806.44933136896759</v>
      </c>
      <c r="Q30" s="31">
        <f t="shared" si="10"/>
        <v>800.44360079449086</v>
      </c>
      <c r="R30" s="31">
        <f t="shared" si="10"/>
        <v>843.13295097977004</v>
      </c>
      <c r="S30" s="31">
        <f t="shared" si="10"/>
        <v>837.5036794804447</v>
      </c>
      <c r="T30" s="31">
        <f t="shared" si="10"/>
        <v>979.86661407688518</v>
      </c>
      <c r="U30" s="31">
        <f t="shared" si="10"/>
        <v>891.94339655046326</v>
      </c>
      <c r="V30" s="31">
        <f t="shared" si="10"/>
        <v>882.81508136504397</v>
      </c>
      <c r="W30" s="31">
        <f t="shared" si="10"/>
        <v>893.44787224768936</v>
      </c>
      <c r="X30" s="31">
        <f t="shared" si="11"/>
        <v>929.71243693749454</v>
      </c>
      <c r="Y30" s="31">
        <f t="shared" si="11"/>
        <v>911.56161867933008</v>
      </c>
      <c r="Z30" s="31">
        <f t="shared" si="11"/>
        <v>892.41654731640153</v>
      </c>
      <c r="AA30" s="31">
        <f t="shared" si="11"/>
        <v>810.16651350124823</v>
      </c>
      <c r="AB30" s="31">
        <f t="shared" si="12"/>
        <v>826.62244851853427</v>
      </c>
      <c r="AC30" s="31">
        <f t="shared" si="12"/>
        <v>797.90168655887135</v>
      </c>
      <c r="AD30" s="31">
        <f t="shared" si="12"/>
        <v>840.00287552225348</v>
      </c>
      <c r="AE30" s="31">
        <f t="shared" si="12"/>
        <v>840.00271788692737</v>
      </c>
      <c r="AF30" s="31">
        <f t="shared" si="12"/>
        <v>815.47282275158352</v>
      </c>
      <c r="AG30" s="31">
        <f t="shared" si="12"/>
        <v>794.29388823061197</v>
      </c>
      <c r="AH30" s="31">
        <f t="shared" si="12"/>
        <v>815.93124557102567</v>
      </c>
      <c r="AI30" s="31">
        <f t="shared" si="12"/>
        <v>813.90898773407559</v>
      </c>
    </row>
    <row r="31" spans="1:35">
      <c r="B31" s="37">
        <v>15232</v>
      </c>
      <c r="C31" s="34">
        <f>VLOOKUP($B31,Plagioclase!$AV$7:$BA$478,3,FALSE)</f>
        <v>0.59785307584769232</v>
      </c>
      <c r="D31" s="34">
        <f>VLOOKUP($B31,Plagioclase!$AV$7:$BA$478,4,FALSE)</f>
        <v>0</v>
      </c>
      <c r="E31" s="29" t="str">
        <f>VLOOKUP($B31,Plagioclase!$AV$7:$BA$478,6,FALSE)</f>
        <v>26hHP04.6</v>
      </c>
      <c r="F31" s="31">
        <f t="shared" si="13"/>
        <v>906.03685140946629</v>
      </c>
      <c r="G31" s="31">
        <f t="shared" si="13"/>
        <v>902.23788720835057</v>
      </c>
      <c r="H31" s="31">
        <f t="shared" si="13"/>
        <v>904.45084078582511</v>
      </c>
      <c r="I31" s="31">
        <f t="shared" si="13"/>
        <v>759.85932318970833</v>
      </c>
      <c r="J31" s="31">
        <f t="shared" si="10"/>
        <v>910.87917976719257</v>
      </c>
      <c r="K31" s="31">
        <f t="shared" si="10"/>
        <v>887.14528463547288</v>
      </c>
      <c r="L31" s="31">
        <f t="shared" si="10"/>
        <v>942.46280949235927</v>
      </c>
      <c r="M31" s="31">
        <f t="shared" si="2"/>
        <v>920.50590646050193</v>
      </c>
      <c r="N31" s="31">
        <f t="shared" si="2"/>
        <v>922.1122305141954</v>
      </c>
      <c r="O31" s="31">
        <f t="shared" si="2"/>
        <v>914.04423937602007</v>
      </c>
      <c r="P31" s="31">
        <f t="shared" si="10"/>
        <v>786.92413270248369</v>
      </c>
      <c r="Q31" s="31">
        <f t="shared" si="10"/>
        <v>782.21767689123647</v>
      </c>
      <c r="R31" s="31">
        <f t="shared" si="10"/>
        <v>821.72773835597411</v>
      </c>
      <c r="S31" s="31">
        <f t="shared" si="10"/>
        <v>816.31527264436329</v>
      </c>
      <c r="T31" s="31">
        <f t="shared" si="10"/>
        <v>945.77214204509312</v>
      </c>
      <c r="U31" s="31">
        <f t="shared" si="10"/>
        <v>865.75224141286628</v>
      </c>
      <c r="V31" s="31">
        <f t="shared" si="10"/>
        <v>856.5436640129675</v>
      </c>
      <c r="W31" s="31">
        <f t="shared" si="10"/>
        <v>866.61189536550376</v>
      </c>
      <c r="X31" s="31">
        <f t="shared" si="11"/>
        <v>900.67242895783158</v>
      </c>
      <c r="Y31" s="31">
        <f t="shared" si="11"/>
        <v>883.19423473242148</v>
      </c>
      <c r="Z31" s="31">
        <f t="shared" si="11"/>
        <v>865.59578876083026</v>
      </c>
      <c r="AA31" s="31">
        <f t="shared" si="11"/>
        <v>790.56243140659205</v>
      </c>
      <c r="AB31" s="31">
        <f t="shared" si="12"/>
        <v>805.83520924555967</v>
      </c>
      <c r="AC31" s="31">
        <f t="shared" si="12"/>
        <v>779.03253603896144</v>
      </c>
      <c r="AD31" s="31">
        <f t="shared" si="12"/>
        <v>818.71345388394172</v>
      </c>
      <c r="AE31" s="31">
        <f t="shared" si="12"/>
        <v>818.38467777558651</v>
      </c>
      <c r="AF31" s="31">
        <f t="shared" si="12"/>
        <v>796.17957419305355</v>
      </c>
      <c r="AG31" s="31">
        <f t="shared" si="12"/>
        <v>776.24599927501629</v>
      </c>
      <c r="AH31" s="31">
        <f t="shared" si="12"/>
        <v>796.14879105393186</v>
      </c>
      <c r="AI31" s="31">
        <f t="shared" si="12"/>
        <v>793.68749536044868</v>
      </c>
    </row>
    <row r="32" spans="1:35">
      <c r="B32" s="37">
        <v>15239</v>
      </c>
      <c r="C32" s="34">
        <f>VLOOKUP($B32,Plagioclase!$AV$7:$BA$478,3,FALSE)</f>
        <v>0.68774648404864991</v>
      </c>
      <c r="D32" s="34">
        <f>VLOOKUP($B32,Plagioclase!$AV$7:$BA$478,4,FALSE)</f>
        <v>0</v>
      </c>
      <c r="E32" s="29" t="str">
        <f>VLOOKUP($B32,Plagioclase!$AV$7:$BA$478,6,FALSE)</f>
        <v>26hHP06.1</v>
      </c>
      <c r="F32" s="31">
        <f t="shared" si="13"/>
        <v>873.06423797261175</v>
      </c>
      <c r="G32" s="31">
        <f t="shared" si="13"/>
        <v>869.12598539796352</v>
      </c>
      <c r="H32" s="31">
        <f t="shared" si="13"/>
        <v>870.54833199264851</v>
      </c>
      <c r="I32" s="31">
        <f t="shared" si="13"/>
        <v>740.67697402183535</v>
      </c>
      <c r="J32" s="31">
        <f t="shared" si="10"/>
        <v>878.92812003706274</v>
      </c>
      <c r="K32" s="31">
        <f t="shared" si="10"/>
        <v>856.08089334313775</v>
      </c>
      <c r="L32" s="31">
        <f t="shared" si="10"/>
        <v>907.25730089730848</v>
      </c>
      <c r="M32" s="31">
        <f t="shared" si="2"/>
        <v>886.85878315284265</v>
      </c>
      <c r="N32" s="31">
        <f t="shared" si="2"/>
        <v>887.60340353581716</v>
      </c>
      <c r="O32" s="31">
        <f t="shared" si="2"/>
        <v>881.55596660366962</v>
      </c>
      <c r="P32" s="31">
        <f t="shared" si="10"/>
        <v>765.23278768628904</v>
      </c>
      <c r="Q32" s="31">
        <f t="shared" si="10"/>
        <v>761.92141305573875</v>
      </c>
      <c r="R32" s="31">
        <f t="shared" si="10"/>
        <v>798.00345543711899</v>
      </c>
      <c r="S32" s="31">
        <f t="shared" si="10"/>
        <v>792.82633612194047</v>
      </c>
      <c r="T32" s="31">
        <f t="shared" si="10"/>
        <v>908.63058236834115</v>
      </c>
      <c r="U32" s="31">
        <f t="shared" si="10"/>
        <v>836.92892710209992</v>
      </c>
      <c r="V32" s="31">
        <f t="shared" si="10"/>
        <v>827.64735890429245</v>
      </c>
      <c r="W32" s="31">
        <f t="shared" si="10"/>
        <v>837.11217359981276</v>
      </c>
      <c r="X32" s="31">
        <f t="shared" si="11"/>
        <v>868.82791529568283</v>
      </c>
      <c r="Y32" s="31">
        <f t="shared" si="11"/>
        <v>852.07407609386348</v>
      </c>
      <c r="Z32" s="31">
        <f t="shared" si="11"/>
        <v>836.11325819587762</v>
      </c>
      <c r="AA32" s="31">
        <f t="shared" si="11"/>
        <v>768.78395531535978</v>
      </c>
      <c r="AB32" s="31">
        <f t="shared" si="12"/>
        <v>782.78227606735402</v>
      </c>
      <c r="AC32" s="31">
        <f t="shared" si="12"/>
        <v>758.04891123603272</v>
      </c>
      <c r="AD32" s="31">
        <f t="shared" si="12"/>
        <v>795.11496557782255</v>
      </c>
      <c r="AE32" s="31">
        <f t="shared" si="12"/>
        <v>794.43713023886801</v>
      </c>
      <c r="AF32" s="31">
        <f t="shared" si="12"/>
        <v>774.72917973716437</v>
      </c>
      <c r="AG32" s="31">
        <f t="shared" si="12"/>
        <v>756.14501282784533</v>
      </c>
      <c r="AH32" s="31">
        <f t="shared" si="12"/>
        <v>774.17537051428292</v>
      </c>
      <c r="AI32" s="31">
        <f t="shared" si="12"/>
        <v>771.2475353763931</v>
      </c>
    </row>
    <row r="33" spans="2:35">
      <c r="B33" s="37">
        <v>15242</v>
      </c>
      <c r="C33" s="34">
        <f>VLOOKUP($B33,Plagioclase!$AV$7:$BA$478,3,FALSE)</f>
        <v>0.70017043333162998</v>
      </c>
      <c r="D33" s="34">
        <f>VLOOKUP($B33,Plagioclase!$AV$7:$BA$478,4,FALSE)</f>
        <v>0</v>
      </c>
      <c r="E33" s="29" t="str">
        <f>VLOOKUP($B33,Plagioclase!$AV$7:$BA$478,6,FALSE)</f>
        <v>26hHP06.4</v>
      </c>
      <c r="F33" s="31">
        <f t="shared" si="13"/>
        <v>868.98232691349642</v>
      </c>
      <c r="G33" s="31">
        <f t="shared" si="13"/>
        <v>865.02782074066033</v>
      </c>
      <c r="H33" s="31">
        <f t="shared" si="13"/>
        <v>866.35531660168647</v>
      </c>
      <c r="I33" s="31">
        <f t="shared" si="13"/>
        <v>738.27643802376167</v>
      </c>
      <c r="J33" s="31">
        <f t="shared" si="10"/>
        <v>874.96820529468107</v>
      </c>
      <c r="K33" s="31">
        <f t="shared" si="10"/>
        <v>852.22992582653671</v>
      </c>
      <c r="L33" s="31">
        <f t="shared" si="10"/>
        <v>902.90399697933537</v>
      </c>
      <c r="M33" s="31">
        <f t="shared" si="2"/>
        <v>882.69445874744667</v>
      </c>
      <c r="N33" s="31">
        <f t="shared" si="2"/>
        <v>883.33580382233356</v>
      </c>
      <c r="O33" s="31">
        <f t="shared" si="2"/>
        <v>877.53124128380171</v>
      </c>
      <c r="P33" s="31">
        <f t="shared" si="10"/>
        <v>762.52415724490527</v>
      </c>
      <c r="Q33" s="31">
        <f t="shared" si="10"/>
        <v>759.38340618739869</v>
      </c>
      <c r="R33" s="31">
        <f t="shared" si="10"/>
        <v>795.04507235907101</v>
      </c>
      <c r="S33" s="31">
        <f t="shared" si="10"/>
        <v>789.89693547457648</v>
      </c>
      <c r="T33" s="31">
        <f t="shared" si="10"/>
        <v>904.0458996896308</v>
      </c>
      <c r="U33" s="31">
        <f t="shared" si="10"/>
        <v>833.34973379813607</v>
      </c>
      <c r="V33" s="31">
        <f t="shared" si="10"/>
        <v>824.06022294843331</v>
      </c>
      <c r="W33" s="31">
        <f t="shared" si="10"/>
        <v>833.45141259077548</v>
      </c>
      <c r="X33" s="31">
        <f t="shared" si="11"/>
        <v>864.88186143556311</v>
      </c>
      <c r="Y33" s="31">
        <f t="shared" si="11"/>
        <v>848.21681768900191</v>
      </c>
      <c r="Z33" s="31">
        <f t="shared" si="11"/>
        <v>832.45466429296687</v>
      </c>
      <c r="AA33" s="31">
        <f t="shared" si="11"/>
        <v>766.06448192634809</v>
      </c>
      <c r="AB33" s="31">
        <f t="shared" si="12"/>
        <v>779.90660777960386</v>
      </c>
      <c r="AC33" s="31">
        <f t="shared" si="12"/>
        <v>755.42709262759752</v>
      </c>
      <c r="AD33" s="31">
        <f t="shared" si="12"/>
        <v>792.17208151488933</v>
      </c>
      <c r="AE33" s="31">
        <f t="shared" si="12"/>
        <v>791.45183637822277</v>
      </c>
      <c r="AF33" s="31">
        <f t="shared" si="12"/>
        <v>772.04939921164248</v>
      </c>
      <c r="AG33" s="31">
        <f t="shared" si="12"/>
        <v>753.63120399960223</v>
      </c>
      <c r="AH33" s="31">
        <f t="shared" si="12"/>
        <v>771.43179187038584</v>
      </c>
      <c r="AI33" s="31">
        <f t="shared" si="12"/>
        <v>768.44726472799096</v>
      </c>
    </row>
    <row r="34" spans="2:35">
      <c r="B34" s="37">
        <v>15243</v>
      </c>
      <c r="C34" s="34">
        <f>VLOOKUP($B34,Plagioclase!$AV$7:$BA$478,3,FALSE)</f>
        <v>0.7121005004570401</v>
      </c>
      <c r="D34" s="34">
        <f>VLOOKUP($B34,Plagioclase!$AV$7:$BA$478,4,FALSE)</f>
        <v>0</v>
      </c>
      <c r="E34" s="29" t="str">
        <f>VLOOKUP($B34,Plagioclase!$AV$7:$BA$478,6,FALSE)</f>
        <v>26hHP06.5</v>
      </c>
      <c r="F34" s="31">
        <f t="shared" si="13"/>
        <v>865.15685966610465</v>
      </c>
      <c r="G34" s="31">
        <f t="shared" si="13"/>
        <v>861.18731893486699</v>
      </c>
      <c r="H34" s="31">
        <f t="shared" si="13"/>
        <v>862.426526998236</v>
      </c>
      <c r="I34" s="31">
        <f t="shared" si="13"/>
        <v>736.02148889053285</v>
      </c>
      <c r="J34" s="31">
        <f t="shared" si="10"/>
        <v>871.25617513890154</v>
      </c>
      <c r="K34" s="31">
        <f t="shared" si="10"/>
        <v>848.61983392738705</v>
      </c>
      <c r="L34" s="31">
        <f t="shared" si="10"/>
        <v>898.82519223493148</v>
      </c>
      <c r="M34" s="31">
        <f t="shared" si="2"/>
        <v>878.79197344730403</v>
      </c>
      <c r="N34" s="31">
        <f t="shared" si="2"/>
        <v>879.33721062879738</v>
      </c>
      <c r="O34" s="31">
        <f t="shared" si="2"/>
        <v>873.75881187592302</v>
      </c>
      <c r="P34" s="31">
        <f t="shared" si="10"/>
        <v>759.98098919277061</v>
      </c>
      <c r="Q34" s="31">
        <f t="shared" si="10"/>
        <v>756.99971373589676</v>
      </c>
      <c r="R34" s="31">
        <f t="shared" si="10"/>
        <v>792.268236308979</v>
      </c>
      <c r="S34" s="31">
        <f t="shared" si="10"/>
        <v>787.14722965819362</v>
      </c>
      <c r="T34" s="31">
        <f t="shared" si="10"/>
        <v>899.75190483205222</v>
      </c>
      <c r="U34" s="31">
        <f t="shared" si="10"/>
        <v>829.99320339250187</v>
      </c>
      <c r="V34" s="31">
        <f t="shared" si="10"/>
        <v>820.69646897581094</v>
      </c>
      <c r="W34" s="31">
        <f t="shared" si="10"/>
        <v>830.01887557016505</v>
      </c>
      <c r="X34" s="31">
        <f t="shared" si="11"/>
        <v>861.18295582042185</v>
      </c>
      <c r="Y34" s="31">
        <f t="shared" si="11"/>
        <v>844.60095305941866</v>
      </c>
      <c r="Z34" s="31">
        <f t="shared" si="11"/>
        <v>829.02416604678263</v>
      </c>
      <c r="AA34" s="31">
        <f t="shared" si="11"/>
        <v>763.51114081635717</v>
      </c>
      <c r="AB34" s="31">
        <f t="shared" si="12"/>
        <v>777.20720842491335</v>
      </c>
      <c r="AC34" s="31">
        <f t="shared" si="12"/>
        <v>752.96511740456197</v>
      </c>
      <c r="AD34" s="31">
        <f t="shared" si="12"/>
        <v>789.40975554384511</v>
      </c>
      <c r="AE34" s="31">
        <f t="shared" si="12"/>
        <v>788.64992854039235</v>
      </c>
      <c r="AF34" s="31">
        <f t="shared" si="12"/>
        <v>769.53306841544997</v>
      </c>
      <c r="AG34" s="31">
        <f t="shared" si="12"/>
        <v>751.27019356986727</v>
      </c>
      <c r="AH34" s="31">
        <f t="shared" si="12"/>
        <v>768.85586606601794</v>
      </c>
      <c r="AI34" s="31">
        <f t="shared" si="12"/>
        <v>765.81842617075756</v>
      </c>
    </row>
    <row r="35" spans="2:35">
      <c r="B35" s="37">
        <v>15249</v>
      </c>
      <c r="C35" s="34">
        <f>VLOOKUP($B35,Plagioclase!$AV$7:$BA$478,3,FALSE)</f>
        <v>0.72497148823796098</v>
      </c>
      <c r="D35" s="34">
        <f>VLOOKUP($B35,Plagioclase!$AV$7:$BA$478,4,FALSE)</f>
        <v>0</v>
      </c>
      <c r="E35" s="29" t="str">
        <f>VLOOKUP($B35,Plagioclase!$AV$7:$BA$478,6,FALSE)</f>
        <v>26hHP08.1</v>
      </c>
      <c r="F35" s="31">
        <f t="shared" si="13"/>
        <v>861.12878378977337</v>
      </c>
      <c r="G35" s="31">
        <f t="shared" si="13"/>
        <v>857.14361918700513</v>
      </c>
      <c r="H35" s="31">
        <f t="shared" si="13"/>
        <v>858.2904948648021</v>
      </c>
      <c r="I35" s="31">
        <f t="shared" si="13"/>
        <v>733.6416266813518</v>
      </c>
      <c r="J35" s="31">
        <f t="shared" si="10"/>
        <v>867.3466081403725</v>
      </c>
      <c r="K35" s="31">
        <f t="shared" si="10"/>
        <v>844.81743205277451</v>
      </c>
      <c r="L35" s="31">
        <f t="shared" si="10"/>
        <v>894.53141221990757</v>
      </c>
      <c r="M35" s="31">
        <f t="shared" si="2"/>
        <v>874.68302807457178</v>
      </c>
      <c r="N35" s="31">
        <f t="shared" si="2"/>
        <v>875.12777719569601</v>
      </c>
      <c r="O35" s="31">
        <f t="shared" si="2"/>
        <v>869.78600209492004</v>
      </c>
      <c r="P35" s="31">
        <f t="shared" si="10"/>
        <v>757.29819195202288</v>
      </c>
      <c r="Q35" s="31">
        <f t="shared" si="10"/>
        <v>754.48438641794462</v>
      </c>
      <c r="R35" s="31">
        <f t="shared" si="10"/>
        <v>789.33981059062523</v>
      </c>
      <c r="S35" s="31">
        <f t="shared" si="10"/>
        <v>784.24733798439809</v>
      </c>
      <c r="T35" s="31">
        <f t="shared" si="10"/>
        <v>895.23326343904148</v>
      </c>
      <c r="U35" s="31">
        <f t="shared" si="10"/>
        <v>826.45659983452322</v>
      </c>
      <c r="V35" s="31">
        <f t="shared" si="10"/>
        <v>817.15248987623511</v>
      </c>
      <c r="W35" s="31">
        <f t="shared" si="10"/>
        <v>826.40269733704724</v>
      </c>
      <c r="X35" s="31">
        <f t="shared" si="11"/>
        <v>857.28734919099031</v>
      </c>
      <c r="Y35" s="31">
        <f t="shared" si="11"/>
        <v>840.7926013866105</v>
      </c>
      <c r="Z35" s="31">
        <f t="shared" si="11"/>
        <v>825.41014275317832</v>
      </c>
      <c r="AA35" s="31">
        <f t="shared" si="11"/>
        <v>760.81761987942116</v>
      </c>
      <c r="AB35" s="31">
        <f t="shared" si="12"/>
        <v>774.36023464858442</v>
      </c>
      <c r="AC35" s="31">
        <f t="shared" si="12"/>
        <v>750.36763908438024</v>
      </c>
      <c r="AD35" s="31">
        <f t="shared" si="12"/>
        <v>786.49659235629576</v>
      </c>
      <c r="AE35" s="31">
        <f t="shared" si="12"/>
        <v>785.69525909315769</v>
      </c>
      <c r="AF35" s="31">
        <f t="shared" si="12"/>
        <v>766.87831910845409</v>
      </c>
      <c r="AG35" s="31">
        <f t="shared" si="12"/>
        <v>748.77875384723279</v>
      </c>
      <c r="AH35" s="31">
        <f t="shared" si="12"/>
        <v>766.13857087946587</v>
      </c>
      <c r="AI35" s="31">
        <f t="shared" si="12"/>
        <v>763.04564486320908</v>
      </c>
    </row>
    <row r="36" spans="2:35">
      <c r="B36" s="37">
        <v>15251</v>
      </c>
      <c r="C36" s="34">
        <f>VLOOKUP($B36,Plagioclase!$AV$7:$BA$478,3,FALSE)</f>
        <v>0.68038752606387454</v>
      </c>
      <c r="D36" s="34">
        <f>VLOOKUP($B36,Plagioclase!$AV$7:$BA$478,4,FALSE)</f>
        <v>0</v>
      </c>
      <c r="E36" s="29" t="str">
        <f>VLOOKUP($B36,Plagioclase!$AV$7:$BA$478,6,FALSE)</f>
        <v>26hHP08.3</v>
      </c>
      <c r="F36" s="31">
        <f t="shared" si="13"/>
        <v>875.5310191755658</v>
      </c>
      <c r="G36" s="31">
        <f t="shared" si="13"/>
        <v>871.60269467929322</v>
      </c>
      <c r="H36" s="31">
        <f t="shared" si="13"/>
        <v>873.08268414460588</v>
      </c>
      <c r="I36" s="31">
        <f t="shared" si="13"/>
        <v>742.12488425016966</v>
      </c>
      <c r="J36" s="31">
        <f t="shared" si="10"/>
        <v>881.32069866349627</v>
      </c>
      <c r="K36" s="31">
        <f t="shared" si="10"/>
        <v>858.40754522410828</v>
      </c>
      <c r="L36" s="31">
        <f t="shared" si="10"/>
        <v>909.88862729319101</v>
      </c>
      <c r="M36" s="31">
        <f t="shared" si="2"/>
        <v>889.37548468205694</v>
      </c>
      <c r="N36" s="31">
        <f t="shared" si="2"/>
        <v>890.18287926520327</v>
      </c>
      <c r="O36" s="31">
        <f t="shared" si="2"/>
        <v>883.98789285290184</v>
      </c>
      <c r="P36" s="31">
        <f t="shared" si="10"/>
        <v>766.86716073774608</v>
      </c>
      <c r="Q36" s="31">
        <f t="shared" si="10"/>
        <v>763.45244757778926</v>
      </c>
      <c r="R36" s="31">
        <f t="shared" si="10"/>
        <v>799.78896808162824</v>
      </c>
      <c r="S36" s="31">
        <f t="shared" si="10"/>
        <v>794.59431745006634</v>
      </c>
      <c r="T36" s="31">
        <f t="shared" si="10"/>
        <v>911.40261903509793</v>
      </c>
      <c r="U36" s="31">
        <f t="shared" si="10"/>
        <v>839.09073305494496</v>
      </c>
      <c r="V36" s="31">
        <f t="shared" si="10"/>
        <v>829.81408210489565</v>
      </c>
      <c r="W36" s="31">
        <f t="shared" si="10"/>
        <v>839.32350536968158</v>
      </c>
      <c r="X36" s="31">
        <f t="shared" si="11"/>
        <v>871.21218927616303</v>
      </c>
      <c r="Y36" s="31">
        <f t="shared" si="11"/>
        <v>854.40459528967119</v>
      </c>
      <c r="Z36" s="31">
        <f t="shared" si="11"/>
        <v>838.32328450832222</v>
      </c>
      <c r="AA36" s="31">
        <f t="shared" si="11"/>
        <v>770.42487494254885</v>
      </c>
      <c r="AB36" s="31">
        <f t="shared" si="12"/>
        <v>784.51775924553851</v>
      </c>
      <c r="AC36" s="31">
        <f t="shared" si="12"/>
        <v>759.63073462800037</v>
      </c>
      <c r="AD36" s="31">
        <f t="shared" si="12"/>
        <v>796.89110378530938</v>
      </c>
      <c r="AE36" s="31">
        <f t="shared" si="12"/>
        <v>796.23898447448539</v>
      </c>
      <c r="AF36" s="31">
        <f t="shared" si="12"/>
        <v>776.34601190000137</v>
      </c>
      <c r="AG36" s="31">
        <f t="shared" si="12"/>
        <v>757.66142629599938</v>
      </c>
      <c r="AH36" s="31">
        <f t="shared" si="12"/>
        <v>775.83086065431382</v>
      </c>
      <c r="AI36" s="31">
        <f t="shared" si="12"/>
        <v>772.93740119346069</v>
      </c>
    </row>
    <row r="37" spans="2:35">
      <c r="B37" s="37">
        <v>15252</v>
      </c>
      <c r="C37" s="34">
        <f>VLOOKUP($B37,Plagioclase!$AV$7:$BA$478,3,FALSE)</f>
        <v>0.72734905199712141</v>
      </c>
      <c r="D37" s="34">
        <f>VLOOKUP($B37,Plagioclase!$AV$7:$BA$478,4,FALSE)</f>
        <v>0</v>
      </c>
      <c r="E37" s="29" t="str">
        <f>VLOOKUP($B37,Plagioclase!$AV$7:$BA$478,6,FALSE)</f>
        <v>26hHP08.4</v>
      </c>
      <c r="F37" s="31">
        <f t="shared" si="13"/>
        <v>860.39561763943027</v>
      </c>
      <c r="G37" s="31">
        <f t="shared" si="13"/>
        <v>856.40763211000683</v>
      </c>
      <c r="H37" s="31">
        <f t="shared" si="13"/>
        <v>857.5377716567599</v>
      </c>
      <c r="I37" s="31">
        <f t="shared" si="13"/>
        <v>733.20785180610073</v>
      </c>
      <c r="J37" s="31">
        <f t="shared" si="10"/>
        <v>866.63490893033293</v>
      </c>
      <c r="K37" s="31">
        <f t="shared" si="10"/>
        <v>844.12521939167107</v>
      </c>
      <c r="L37" s="31">
        <f t="shared" si="10"/>
        <v>893.75000013214719</v>
      </c>
      <c r="M37" s="31">
        <f t="shared" si="2"/>
        <v>873.93516766605728</v>
      </c>
      <c r="N37" s="31">
        <f t="shared" si="2"/>
        <v>874.36170487777497</v>
      </c>
      <c r="O37" s="31">
        <f t="shared" si="2"/>
        <v>869.06283104810166</v>
      </c>
      <c r="P37" s="31">
        <f t="shared" si="10"/>
        <v>756.80933965935321</v>
      </c>
      <c r="Q37" s="31">
        <f t="shared" si="10"/>
        <v>754.02596581903106</v>
      </c>
      <c r="R37" s="31">
        <f t="shared" si="10"/>
        <v>788.80629656120766</v>
      </c>
      <c r="S37" s="31">
        <f t="shared" si="10"/>
        <v>783.71901387792525</v>
      </c>
      <c r="T37" s="31">
        <f t="shared" si="10"/>
        <v>894.41111370493684</v>
      </c>
      <c r="U37" s="31">
        <f t="shared" si="10"/>
        <v>825.81263444561807</v>
      </c>
      <c r="V37" s="31">
        <f t="shared" si="10"/>
        <v>816.50720751715141</v>
      </c>
      <c r="W37" s="31">
        <f t="shared" si="10"/>
        <v>825.74429879365255</v>
      </c>
      <c r="X37" s="31">
        <f t="shared" si="11"/>
        <v>856.57820649795087</v>
      </c>
      <c r="Y37" s="31">
        <f t="shared" si="11"/>
        <v>840.0993199863409</v>
      </c>
      <c r="Z37" s="31">
        <f t="shared" si="11"/>
        <v>824.75213734307124</v>
      </c>
      <c r="AA37" s="31">
        <f t="shared" si="11"/>
        <v>760.32681441649322</v>
      </c>
      <c r="AB37" s="31">
        <f t="shared" si="12"/>
        <v>773.84153645998674</v>
      </c>
      <c r="AC37" s="31">
        <f t="shared" si="12"/>
        <v>749.89429669598815</v>
      </c>
      <c r="AD37" s="31">
        <f t="shared" si="12"/>
        <v>785.96585453975888</v>
      </c>
      <c r="AE37" s="31">
        <f t="shared" si="12"/>
        <v>785.1569856095324</v>
      </c>
      <c r="AF37" s="31">
        <f t="shared" si="12"/>
        <v>766.39454857279782</v>
      </c>
      <c r="AG37" s="31">
        <f t="shared" si="12"/>
        <v>748.3246815840381</v>
      </c>
      <c r="AH37" s="31">
        <f t="shared" si="12"/>
        <v>765.64343891143642</v>
      </c>
      <c r="AI37" s="31">
        <f t="shared" si="12"/>
        <v>762.54043903884747</v>
      </c>
    </row>
    <row r="38" spans="2:35">
      <c r="B38" s="37">
        <v>15253</v>
      </c>
      <c r="C38" s="34">
        <f>VLOOKUP($B38,Plagioclase!$AV$7:$BA$478,3,FALSE)</f>
        <v>0.7006808710680511</v>
      </c>
      <c r="D38" s="34">
        <f>VLOOKUP($B38,Plagioclase!$AV$7:$BA$478,4,FALSE)</f>
        <v>0</v>
      </c>
      <c r="E38" s="29" t="str">
        <f>VLOOKUP($B38,Plagioclase!$AV$7:$BA$478,6,FALSE)</f>
        <v>26hHP08.5</v>
      </c>
      <c r="F38" s="31">
        <f t="shared" si="13"/>
        <v>868.81679026169002</v>
      </c>
      <c r="G38" s="31">
        <f t="shared" si="13"/>
        <v>864.86162954550821</v>
      </c>
      <c r="H38" s="31">
        <f t="shared" si="13"/>
        <v>866.18529289768583</v>
      </c>
      <c r="I38" s="31">
        <f t="shared" si="13"/>
        <v>738.17896604537395</v>
      </c>
      <c r="J38" s="31">
        <f t="shared" si="10"/>
        <v>874.80759524870325</v>
      </c>
      <c r="K38" s="31">
        <f t="shared" si="10"/>
        <v>852.0737301744449</v>
      </c>
      <c r="L38" s="31">
        <f t="shared" si="10"/>
        <v>902.72747770778312</v>
      </c>
      <c r="M38" s="31">
        <f t="shared" si="2"/>
        <v>882.52558498916244</v>
      </c>
      <c r="N38" s="31">
        <f t="shared" si="2"/>
        <v>883.16275765595094</v>
      </c>
      <c r="O38" s="31">
        <f t="shared" si="2"/>
        <v>877.3680108211978</v>
      </c>
      <c r="P38" s="31">
        <f t="shared" si="10"/>
        <v>762.4142029348933</v>
      </c>
      <c r="Q38" s="31">
        <f t="shared" si="10"/>
        <v>759.28036135905052</v>
      </c>
      <c r="R38" s="31">
        <f t="shared" si="10"/>
        <v>794.92499879006516</v>
      </c>
      <c r="S38" s="31">
        <f t="shared" si="10"/>
        <v>789.77803652287832</v>
      </c>
      <c r="T38" s="31">
        <f t="shared" si="10"/>
        <v>903.86003557310949</v>
      </c>
      <c r="U38" s="31">
        <f t="shared" si="10"/>
        <v>833.20453314522786</v>
      </c>
      <c r="V38" s="31">
        <f t="shared" si="10"/>
        <v>823.91470530427716</v>
      </c>
      <c r="W38" s="31">
        <f t="shared" si="10"/>
        <v>833.30291420797778</v>
      </c>
      <c r="X38" s="31">
        <f t="shared" si="11"/>
        <v>864.72181662455716</v>
      </c>
      <c r="Y38" s="31">
        <f t="shared" si="11"/>
        <v>848.06036977478664</v>
      </c>
      <c r="Z38" s="31">
        <f t="shared" si="11"/>
        <v>832.30625397595202</v>
      </c>
      <c r="AA38" s="31">
        <f t="shared" si="11"/>
        <v>765.954087631677</v>
      </c>
      <c r="AB38" s="31">
        <f t="shared" si="12"/>
        <v>779.78988671110449</v>
      </c>
      <c r="AC38" s="31">
        <f t="shared" si="12"/>
        <v>755.32065503231172</v>
      </c>
      <c r="AD38" s="31">
        <f t="shared" si="12"/>
        <v>792.05263613564887</v>
      </c>
      <c r="AE38" s="31">
        <f t="shared" si="12"/>
        <v>791.33067491953432</v>
      </c>
      <c r="AF38" s="31">
        <f t="shared" si="12"/>
        <v>771.94061022917424</v>
      </c>
      <c r="AG38" s="31">
        <f t="shared" si="12"/>
        <v>753.52914059044963</v>
      </c>
      <c r="AH38" s="31">
        <f t="shared" si="12"/>
        <v>771.32042016025468</v>
      </c>
      <c r="AI38" s="31">
        <f t="shared" si="12"/>
        <v>768.33359899447885</v>
      </c>
    </row>
  </sheetData>
  <mergeCells count="1">
    <mergeCell ref="A13:A17"/>
  </mergeCells>
  <conditionalFormatting sqref="F9:AI10 F13:AI38">
    <cfRule type="colorScale" priority="2">
      <colorScale>
        <cfvo type="num" val="600"/>
        <cfvo type="num" val="900"/>
        <cfvo type="num" val="1200"/>
        <color rgb="FF0000FF"/>
        <color rgb="FFFF0000"/>
        <color rgb="FFFFFF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N60" sqref="N60"/>
    </sheetView>
  </sheetViews>
  <sheetFormatPr baseColWidth="10" defaultRowHeight="15" x14ac:dyDescent="0"/>
  <cols>
    <col min="1" max="1" width="3.5" customWidth="1"/>
    <col min="2" max="2" width="7.5" bestFit="1" customWidth="1"/>
    <col min="3" max="3" width="8" bestFit="1" customWidth="1"/>
    <col min="4" max="4" width="5.5" bestFit="1" customWidth="1"/>
    <col min="5" max="5" width="7.33203125" bestFit="1" customWidth="1"/>
    <col min="6" max="6" width="12.1640625" bestFit="1" customWidth="1"/>
    <col min="7" max="7" width="10.5" customWidth="1"/>
    <col min="8" max="8" width="10.5" bestFit="1" customWidth="1"/>
    <col min="9" max="17" width="9.6640625" bestFit="1" customWidth="1"/>
    <col min="18" max="18" width="10.5" bestFit="1" customWidth="1"/>
    <col min="19" max="29" width="9.6640625" bestFit="1" customWidth="1"/>
    <col min="30" max="30" width="10.5" bestFit="1" customWidth="1"/>
    <col min="31" max="36" width="9.6640625" bestFit="1" customWidth="1"/>
    <col min="37" max="38" width="10.5" bestFit="1" customWidth="1"/>
    <col min="39" max="63" width="9.6640625" bestFit="1" customWidth="1"/>
  </cols>
  <sheetData>
    <row r="1" spans="1:36">
      <c r="A1" s="7" t="s">
        <v>75</v>
      </c>
      <c r="D1" s="1"/>
      <c r="E1" s="1"/>
      <c r="F1" s="1"/>
      <c r="G1" s="51" t="s">
        <v>71</v>
      </c>
      <c r="H1" s="45"/>
      <c r="I1" s="45"/>
      <c r="J1" s="45"/>
      <c r="K1" s="28"/>
      <c r="L1" s="28"/>
      <c r="M1" s="1"/>
      <c r="N1" s="45"/>
      <c r="O1" s="45"/>
      <c r="P1" s="28"/>
    </row>
    <row r="2" spans="1:36">
      <c r="A2" s="7" t="s">
        <v>76</v>
      </c>
      <c r="B2" s="1"/>
      <c r="C2" s="1"/>
      <c r="D2" s="1"/>
      <c r="E2" s="1"/>
      <c r="F2" s="6" t="s">
        <v>6</v>
      </c>
      <c r="G2" s="35">
        <v>16161.999999999998</v>
      </c>
      <c r="H2" s="35">
        <v>16163</v>
      </c>
      <c r="I2" s="35">
        <v>16166</v>
      </c>
      <c r="J2" s="35">
        <v>16168</v>
      </c>
      <c r="K2" s="35">
        <v>15211</v>
      </c>
      <c r="L2" s="35">
        <v>15212</v>
      </c>
      <c r="M2" s="35">
        <v>15213</v>
      </c>
      <c r="N2" s="35">
        <v>15214</v>
      </c>
      <c r="O2" s="35">
        <v>15215</v>
      </c>
      <c r="P2" s="35">
        <v>15216</v>
      </c>
      <c r="Q2" s="35">
        <v>15218</v>
      </c>
      <c r="R2" s="35">
        <v>15223</v>
      </c>
      <c r="S2" s="35">
        <v>15224</v>
      </c>
      <c r="T2" s="35">
        <v>15225</v>
      </c>
      <c r="U2" s="35">
        <v>15226</v>
      </c>
      <c r="V2" s="35">
        <v>15236</v>
      </c>
      <c r="W2" s="35">
        <v>15237</v>
      </c>
      <c r="X2" s="35">
        <v>15238</v>
      </c>
      <c r="Y2" s="35">
        <v>15233</v>
      </c>
      <c r="Z2" s="35">
        <v>15234</v>
      </c>
      <c r="AA2" s="35">
        <v>15235</v>
      </c>
      <c r="AB2" s="35">
        <v>15248</v>
      </c>
      <c r="AC2" s="35">
        <v>15244</v>
      </c>
      <c r="AD2" s="35">
        <v>15245</v>
      </c>
      <c r="AE2" s="35">
        <v>15246</v>
      </c>
      <c r="AF2" s="35">
        <v>15247</v>
      </c>
      <c r="AG2" s="35">
        <v>15254</v>
      </c>
      <c r="AH2" s="35">
        <v>15255</v>
      </c>
      <c r="AI2" s="35">
        <v>15256</v>
      </c>
      <c r="AJ2" s="35">
        <v>15257</v>
      </c>
    </row>
    <row r="3" spans="1:36">
      <c r="A3" s="1" t="s">
        <v>79</v>
      </c>
      <c r="B3" s="1"/>
      <c r="C3" s="1"/>
      <c r="D3" s="1"/>
      <c r="E3" s="1"/>
      <c r="F3" s="6" t="s">
        <v>50</v>
      </c>
      <c r="G3" s="34">
        <f>VLOOKUP(G$2,Amphibole!$CN$7:$CW$480,2,FALSE)</f>
        <v>0.53088433477169228</v>
      </c>
      <c r="H3" s="34">
        <f>VLOOKUP(H$2,Amphibole!$CN$7:$CW$480,2,FALSE)</f>
        <v>0.5328877988340468</v>
      </c>
      <c r="I3" s="34">
        <f>VLOOKUP(I$2,Amphibole!$CN$7:$CW$480,2,FALSE)</f>
        <v>0.52948191407797029</v>
      </c>
      <c r="J3" s="34">
        <f>VLOOKUP(J$2,Amphibole!$CN$7:$CW$480,2,FALSE)</f>
        <v>0.75624406550546275</v>
      </c>
      <c r="K3" s="34">
        <f>VLOOKUP(K$2,Amphibole!$CN$7:$CW$480,2,FALSE)</f>
        <v>0.54101568572944747</v>
      </c>
      <c r="L3" s="34">
        <f>VLOOKUP(L$2,Amphibole!$CN$7:$CW$480,2,FALSE)</f>
        <v>0.5645020331924111</v>
      </c>
      <c r="M3" s="34">
        <f>VLOOKUP(M$2,Amphibole!$CN$7:$CW$480,2,FALSE)</f>
        <v>0.53175277726103842</v>
      </c>
      <c r="N3" s="34">
        <f>VLOOKUP(N$2,Amphibole!$CN$7:$CW$480,2,FALSE)</f>
        <v>0.52952574862098745</v>
      </c>
      <c r="O3" s="34">
        <f>VLOOKUP(O$2,Amphibole!$CN$7:$CW$480,2,FALSE)</f>
        <v>0.5297165789503151</v>
      </c>
      <c r="P3" s="34">
        <f>VLOOKUP(P$2,Amphibole!$CN$7:$CW$480,2,FALSE)</f>
        <v>0.53943350058762207</v>
      </c>
      <c r="Q3" s="34">
        <f>VLOOKUP(Q$2,Amphibole!$CN$7:$CW$480,2,FALSE)</f>
        <v>0.72090393836890287</v>
      </c>
      <c r="R3" s="34">
        <f>VLOOKUP(R$2,Amphibole!$CN$7:$CW$480,2,FALSE)</f>
        <v>0.73240128016780592</v>
      </c>
      <c r="S3" s="34">
        <f>VLOOKUP(S$2,Amphibole!$CN$7:$CW$480,2,FALSE)</f>
        <v>0.67334146639332348</v>
      </c>
      <c r="T3" s="34">
        <f>VLOOKUP(T$2,Amphibole!$CN$7:$CW$480,2,FALSE)</f>
        <v>0.68539378680955876</v>
      </c>
      <c r="U3" s="34">
        <f>VLOOKUP(U$2,Amphibole!$CN$7:$CW$480,2,FALSE)</f>
        <v>0.52707117678244564</v>
      </c>
      <c r="V3" s="34">
        <f>VLOOKUP(V$2,Amphibole!$CN$7:$CW$480,2,FALSE)</f>
        <v>0.58886154300165239</v>
      </c>
      <c r="W3" s="34">
        <f>VLOOKUP(W$2,Amphibole!$CN$7:$CW$480,2,FALSE)</f>
        <v>0.59945609918981146</v>
      </c>
      <c r="X3" s="34">
        <f>VLOOKUP(X$2,Amphibole!$CN$7:$CW$480,2,FALSE)</f>
        <v>0.58246564222343111</v>
      </c>
      <c r="Y3" s="34">
        <f>VLOOKUP(Y$2,Amphibole!$CN$7:$CW$480,2,FALSE)</f>
        <v>0.56066294343631995</v>
      </c>
      <c r="Z3" s="34">
        <f>VLOOKUP(Z$2,Amphibole!$CN$7:$CW$480,2,FALSE)</f>
        <v>0.57314498818490667</v>
      </c>
      <c r="AA3" s="34">
        <f>VLOOKUP(AA$2,Amphibole!$CN$7:$CW$480,2,FALSE)</f>
        <v>0.58901469934670625</v>
      </c>
      <c r="AB3" s="34">
        <f>VLOOKUP(AB$2,Amphibole!$CN$7:$CW$480,2,FALSE)</f>
        <v>0.72147608568763233</v>
      </c>
      <c r="AC3" s="34">
        <f>VLOOKUP(AC$2,Amphibole!$CN$7:$CW$480,2,FALSE)</f>
        <v>0.69896480667610428</v>
      </c>
      <c r="AD3" s="34">
        <f>VLOOKUP(AD$2,Amphibole!$CN$7:$CW$480,2,FALSE)</f>
        <v>0.7230833036454043</v>
      </c>
      <c r="AE3" s="34">
        <f>VLOOKUP(AE$2,Amphibole!$CN$7:$CW$480,2,FALSE)</f>
        <v>0.69402397310111885</v>
      </c>
      <c r="AF3" s="34">
        <f>VLOOKUP(AF$2,Amphibole!$CN$7:$CW$480,2,FALSE)</f>
        <v>0.68165846714736356</v>
      </c>
      <c r="AG3" s="34">
        <f>VLOOKUP(AG$2,Amphibole!$CN$7:$CW$480,2,FALSE)</f>
        <v>0.72707434798386927</v>
      </c>
      <c r="AH3" s="34">
        <f>VLOOKUP(AH$2,Amphibole!$CN$7:$CW$480,2,FALSE)</f>
        <v>0.75027429792540312</v>
      </c>
      <c r="AI3" s="34">
        <f>VLOOKUP(AI$2,Amphibole!$CN$7:$CW$480,2,FALSE)</f>
        <v>0.72563418199155794</v>
      </c>
      <c r="AJ3" s="34">
        <f>VLOOKUP(AJ$2,Amphibole!$CN$7:$CW$480,2,FALSE)</f>
        <v>0.70326786400470853</v>
      </c>
    </row>
    <row r="4" spans="1:36">
      <c r="A4" s="1"/>
      <c r="B4" s="1"/>
      <c r="C4" s="1"/>
      <c r="D4" s="1"/>
      <c r="E4" s="1"/>
      <c r="F4" s="6" t="s">
        <v>51</v>
      </c>
      <c r="G4" s="5">
        <f>VLOOKUP(G$2,Amphibole!$CN$7:$CW$480,3,FALSE)</f>
        <v>0.46911566522830772</v>
      </c>
      <c r="H4" s="5">
        <f>VLOOKUP(H$2,Amphibole!$CN$7:$CW$480,3,FALSE)</f>
        <v>0.4671122011659532</v>
      </c>
      <c r="I4" s="5">
        <f>VLOOKUP(I$2,Amphibole!$CN$7:$CW$480,3,FALSE)</f>
        <v>0.47051808592202971</v>
      </c>
      <c r="J4" s="5">
        <f>VLOOKUP(J$2,Amphibole!$CN$7:$CW$480,3,FALSE)</f>
        <v>0.24375593449453725</v>
      </c>
      <c r="K4" s="5">
        <f>VLOOKUP(K$2,Amphibole!$CN$7:$CW$480,3,FALSE)</f>
        <v>0.45898431427055253</v>
      </c>
      <c r="L4" s="5">
        <f>VLOOKUP(L$2,Amphibole!$CN$7:$CW$480,3,FALSE)</f>
        <v>0.4354979668075889</v>
      </c>
      <c r="M4" s="5">
        <f>VLOOKUP(M$2,Amphibole!$CN$7:$CW$480,3,FALSE)</f>
        <v>0.46824722273896158</v>
      </c>
      <c r="N4" s="5">
        <f>VLOOKUP(N$2,Amphibole!$CN$7:$CW$480,3,FALSE)</f>
        <v>0.47047425137901255</v>
      </c>
      <c r="O4" s="5">
        <f>VLOOKUP(O$2,Amphibole!$CN$7:$CW$480,3,FALSE)</f>
        <v>0.4702834210496849</v>
      </c>
      <c r="P4" s="5">
        <f>VLOOKUP(P$2,Amphibole!$CN$7:$CW$480,3,FALSE)</f>
        <v>0.46056649941237793</v>
      </c>
      <c r="Q4" s="5">
        <f>VLOOKUP(Q$2,Amphibole!$CN$7:$CW$480,3,FALSE)</f>
        <v>0.27909606163109713</v>
      </c>
      <c r="R4" s="5">
        <f>VLOOKUP(R$2,Amphibole!$CN$7:$CW$480,3,FALSE)</f>
        <v>0.26759871983219408</v>
      </c>
      <c r="S4" s="5">
        <f>VLOOKUP(S$2,Amphibole!$CN$7:$CW$480,3,FALSE)</f>
        <v>0.32665853360667652</v>
      </c>
      <c r="T4" s="5">
        <f>VLOOKUP(T$2,Amphibole!$CN$7:$CW$480,3,FALSE)</f>
        <v>0.31460621319044124</v>
      </c>
      <c r="U4" s="5">
        <f>VLOOKUP(U$2,Amphibole!$CN$7:$CW$480,3,FALSE)</f>
        <v>0.47292882321755436</v>
      </c>
      <c r="V4" s="5">
        <f>VLOOKUP(V$2,Amphibole!$CN$7:$CW$480,3,FALSE)</f>
        <v>0.41113845699834761</v>
      </c>
      <c r="W4" s="5">
        <f>VLOOKUP(W$2,Amphibole!$CN$7:$CW$480,3,FALSE)</f>
        <v>0.40054390081018854</v>
      </c>
      <c r="X4" s="5">
        <f>VLOOKUP(X$2,Amphibole!$CN$7:$CW$480,3,FALSE)</f>
        <v>0.41753435777656889</v>
      </c>
      <c r="Y4" s="5">
        <f>VLOOKUP(Y$2,Amphibole!$CN$7:$CW$480,3,FALSE)</f>
        <v>0.43933705656368005</v>
      </c>
      <c r="Z4" s="5">
        <f>VLOOKUP(Z$2,Amphibole!$CN$7:$CW$480,3,FALSE)</f>
        <v>0.42685501181509333</v>
      </c>
      <c r="AA4" s="5">
        <f>VLOOKUP(AA$2,Amphibole!$CN$7:$CW$480,3,FALSE)</f>
        <v>0.41098530065329375</v>
      </c>
      <c r="AB4" s="5">
        <f>VLOOKUP(AB$2,Amphibole!$CN$7:$CW$480,3,FALSE)</f>
        <v>0.27852391431236767</v>
      </c>
      <c r="AC4" s="5">
        <f>VLOOKUP(AC$2,Amphibole!$CN$7:$CW$480,3,FALSE)</f>
        <v>0.30103519332389572</v>
      </c>
      <c r="AD4" s="5">
        <f>VLOOKUP(AD$2,Amphibole!$CN$7:$CW$480,3,FALSE)</f>
        <v>0.2769166963545957</v>
      </c>
      <c r="AE4" s="5">
        <f>VLOOKUP(AE$2,Amphibole!$CN$7:$CW$480,3,FALSE)</f>
        <v>0.30597602689888115</v>
      </c>
      <c r="AF4" s="5">
        <f>VLOOKUP(AF$2,Amphibole!$CN$7:$CW$480,3,FALSE)</f>
        <v>0.31834153285263644</v>
      </c>
      <c r="AG4" s="5">
        <f>VLOOKUP(AG$2,Amphibole!$CN$7:$CW$480,3,FALSE)</f>
        <v>0.27292565201613073</v>
      </c>
      <c r="AH4" s="5">
        <f>VLOOKUP(AH$2,Amphibole!$CN$7:$CW$480,3,FALSE)</f>
        <v>0.24972570207459688</v>
      </c>
      <c r="AI4" s="5">
        <f>VLOOKUP(AI$2,Amphibole!$CN$7:$CW$480,3,FALSE)</f>
        <v>0.27436581800844206</v>
      </c>
      <c r="AJ4" s="5">
        <f>VLOOKUP(AJ$2,Amphibole!$CN$7:$CW$480,3,FALSE)</f>
        <v>0.29673213599529147</v>
      </c>
    </row>
    <row r="5" spans="1:36">
      <c r="A5" s="1"/>
      <c r="C5" s="53"/>
      <c r="D5" s="1"/>
      <c r="E5" s="1"/>
      <c r="F5" s="6" t="s">
        <v>52</v>
      </c>
      <c r="G5" s="5">
        <f>VLOOKUP(G$2,Amphibole!$CN$7:$CW$480,4,FALSE)</f>
        <v>0.10928975272513419</v>
      </c>
      <c r="H5" s="5">
        <f>VLOOKUP(H$2,Amphibole!$CN$7:$CW$480,4,FALSE)</f>
        <v>0.11489120611358317</v>
      </c>
      <c r="I5" s="5">
        <f>VLOOKUP(I$2,Amphibole!$CN$7:$CW$480,4,FALSE)</f>
        <v>0.11539317293363371</v>
      </c>
      <c r="J5" s="5">
        <f>VLOOKUP(J$2,Amphibole!$CN$7:$CW$480,4,FALSE)</f>
        <v>5.0213897283802211E-2</v>
      </c>
      <c r="K5" s="5">
        <f>VLOOKUP(K$2,Amphibole!$CN$7:$CW$480,4,FALSE)</f>
        <v>8.2405430574953087E-2</v>
      </c>
      <c r="L5" s="5">
        <f>VLOOKUP(L$2,Amphibole!$CN$7:$CW$480,4,FALSE)</f>
        <v>9.7827950936573593E-2</v>
      </c>
      <c r="M5" s="5">
        <f>VLOOKUP(M$2,Amphibole!$CN$7:$CW$480,4,FALSE)</f>
        <v>8.1912906423553977E-2</v>
      </c>
      <c r="N5" s="5">
        <f>VLOOKUP(N$2,Amphibole!$CN$7:$CW$480,4,FALSE)</f>
        <v>9.311224852315636E-2</v>
      </c>
      <c r="O5" s="5">
        <f>VLOOKUP(O$2,Amphibole!$CN$7:$CW$480,4,FALSE)</f>
        <v>9.9322278935271235E-2</v>
      </c>
      <c r="P5" s="5">
        <f>VLOOKUP(P$2,Amphibole!$CN$7:$CW$480,4,FALSE)</f>
        <v>8.7359399880490685E-2</v>
      </c>
      <c r="Q5" s="5">
        <f>VLOOKUP(Q$2,Amphibole!$CN$7:$CW$480,4,FALSE)</f>
        <v>6.5207519387949553E-2</v>
      </c>
      <c r="R5" s="5">
        <f>VLOOKUP(R$2,Amphibole!$CN$7:$CW$480,4,FALSE)</f>
        <v>4.7061039422109374E-2</v>
      </c>
      <c r="S5" s="5">
        <f>VLOOKUP(S$2,Amphibole!$CN$7:$CW$480,4,FALSE)</f>
        <v>6.6490311541097746E-2</v>
      </c>
      <c r="T5" s="5">
        <f>VLOOKUP(T$2,Amphibole!$CN$7:$CW$480,4,FALSE)</f>
        <v>6.7663192631363778E-2</v>
      </c>
      <c r="U5" s="5">
        <f>VLOOKUP(U$2,Amphibole!$CN$7:$CW$480,4,FALSE)</f>
        <v>0.10473785620197695</v>
      </c>
      <c r="V5" s="5">
        <f>VLOOKUP(V$2,Amphibole!$CN$7:$CW$480,4,FALSE)</f>
        <v>9.4731224787660828E-2</v>
      </c>
      <c r="W5" s="5">
        <f>VLOOKUP(W$2,Amphibole!$CN$7:$CW$480,4,FALSE)</f>
        <v>0.10253641428341975</v>
      </c>
      <c r="X5" s="5">
        <f>VLOOKUP(X$2,Amphibole!$CN$7:$CW$480,4,FALSE)</f>
        <v>0.10308075325482857</v>
      </c>
      <c r="Y5" s="5">
        <f>VLOOKUP(Y$2,Amphibole!$CN$7:$CW$480,4,FALSE)</f>
        <v>8.3208737494435248E-2</v>
      </c>
      <c r="Z5" s="5">
        <f>VLOOKUP(Z$2,Amphibole!$CN$7:$CW$480,4,FALSE)</f>
        <v>9.6935981424376649E-2</v>
      </c>
      <c r="AA5" s="5">
        <f>VLOOKUP(AA$2,Amphibole!$CN$7:$CW$480,4,FALSE)</f>
        <v>0.10220658304365848</v>
      </c>
      <c r="AB5" s="5">
        <f>VLOOKUP(AB$2,Amphibole!$CN$7:$CW$480,4,FALSE)</f>
        <v>5.8080310894357723E-2</v>
      </c>
      <c r="AC5" s="5">
        <f>VLOOKUP(AC$2,Amphibole!$CN$7:$CW$480,4,FALSE)</f>
        <v>6.3064288240526345E-2</v>
      </c>
      <c r="AD5" s="5">
        <f>VLOOKUP(AD$2,Amphibole!$CN$7:$CW$480,4,FALSE)</f>
        <v>6.6151582660858743E-2</v>
      </c>
      <c r="AE5" s="5">
        <f>VLOOKUP(AE$2,Amphibole!$CN$7:$CW$480,4,FALSE)</f>
        <v>5.0806469423743117E-2</v>
      </c>
      <c r="AF5" s="5">
        <f>VLOOKUP(AF$2,Amphibole!$CN$7:$CW$480,4,FALSE)</f>
        <v>6.1540110138455617E-2</v>
      </c>
      <c r="AG5" s="5">
        <f>VLOOKUP(AG$2,Amphibole!$CN$7:$CW$480,4,FALSE)</f>
        <v>4.2512644699331581E-2</v>
      </c>
      <c r="AH5" s="5">
        <f>VLOOKUP(AH$2,Amphibole!$CN$7:$CW$480,4,FALSE)</f>
        <v>4.1048795785896708E-2</v>
      </c>
      <c r="AI5" s="5">
        <f>VLOOKUP(AI$2,Amphibole!$CN$7:$CW$480,4,FALSE)</f>
        <v>5.0890219013007609E-2</v>
      </c>
      <c r="AJ5" s="5">
        <f>VLOOKUP(AJ$2,Amphibole!$CN$7:$CW$480,4,FALSE)</f>
        <v>7.39361265901195E-2</v>
      </c>
    </row>
    <row r="6" spans="1:36">
      <c r="A6" s="1" t="s">
        <v>78</v>
      </c>
      <c r="C6" s="52">
        <v>8.3143999999999996E-3</v>
      </c>
      <c r="D6" s="1"/>
      <c r="E6" s="1"/>
      <c r="F6" s="6" t="s">
        <v>55</v>
      </c>
      <c r="G6" s="5">
        <f>VLOOKUP(G$2,Amphibole!$CN$7:$CW$480,7,FALSE)</f>
        <v>0.48926140439278498</v>
      </c>
      <c r="H6" s="5">
        <f>VLOOKUP(H$2,Amphibole!$CN$7:$CW$480,7,FALSE)</f>
        <v>0.49313146370598959</v>
      </c>
      <c r="I6" s="5">
        <f>VLOOKUP(I$2,Amphibole!$CN$7:$CW$480,7,FALSE)</f>
        <v>0.50870975396833584</v>
      </c>
      <c r="J6" s="5">
        <f>VLOOKUP(J$2,Amphibole!$CN$7:$CW$480,7,FALSE)</f>
        <v>0.20047265814519655</v>
      </c>
      <c r="K6" s="5">
        <f>VLOOKUP(K$2,Amphibole!$CN$7:$CW$480,7,FALSE)</f>
        <v>0.45351994744441626</v>
      </c>
      <c r="L6" s="5">
        <f>VLOOKUP(L$2,Amphibole!$CN$7:$CW$480,7,FALSE)</f>
        <v>0.47105773683143237</v>
      </c>
      <c r="M6" s="5">
        <f>VLOOKUP(M$2,Amphibole!$CN$7:$CW$480,7,FALSE)</f>
        <v>0.51785998328936156</v>
      </c>
      <c r="N6" s="5">
        <f>VLOOKUP(N$2,Amphibole!$CN$7:$CW$480,7,FALSE)</f>
        <v>0.49054323516505427</v>
      </c>
      <c r="O6" s="5">
        <f>VLOOKUP(O$2,Amphibole!$CN$7:$CW$480,7,FALSE)</f>
        <v>0.51330036506454046</v>
      </c>
      <c r="P6" s="5">
        <f>VLOOKUP(P$2,Amphibole!$CN$7:$CW$480,7,FALSE)</f>
        <v>0.46380534698749631</v>
      </c>
      <c r="Q6" s="5">
        <f>VLOOKUP(Q$2,Amphibole!$CN$7:$CW$480,7,FALSE)</f>
        <v>0.28224391061726095</v>
      </c>
      <c r="R6" s="5">
        <f>VLOOKUP(R$2,Amphibole!$CN$7:$CW$480,7,FALSE)</f>
        <v>0.21996129072015558</v>
      </c>
      <c r="S6" s="5">
        <f>VLOOKUP(S$2,Amphibole!$CN$7:$CW$480,7,FALSE)</f>
        <v>0.3097419940338626</v>
      </c>
      <c r="T6" s="5">
        <f>VLOOKUP(T$2,Amphibole!$CN$7:$CW$480,7,FALSE)</f>
        <v>0.32108066924995615</v>
      </c>
      <c r="U6" s="5">
        <f>VLOOKUP(U$2,Amphibole!$CN$7:$CW$480,7,FALSE)</f>
        <v>0.55389327193014815</v>
      </c>
      <c r="V6" s="5">
        <f>VLOOKUP(V$2,Amphibole!$CN$7:$CW$480,7,FALSE)</f>
        <v>0.42310415816165392</v>
      </c>
      <c r="W6" s="5">
        <f>VLOOKUP(W$2,Amphibole!$CN$7:$CW$480,7,FALSE)</f>
        <v>0.44145543689346889</v>
      </c>
      <c r="X6" s="5">
        <f>VLOOKUP(X$2,Amphibole!$CN$7:$CW$480,7,FALSE)</f>
        <v>0.44644695315096961</v>
      </c>
      <c r="Y6" s="5">
        <f>VLOOKUP(Y$2,Amphibole!$CN$7:$CW$480,7,FALSE)</f>
        <v>0.47419456112790348</v>
      </c>
      <c r="Z6" s="5">
        <f>VLOOKUP(Z$2,Amphibole!$CN$7:$CW$480,7,FALSE)</f>
        <v>0.47582321154512019</v>
      </c>
      <c r="AA6" s="5">
        <f>VLOOKUP(AA$2,Amphibole!$CN$7:$CW$480,7,FALSE)</f>
        <v>0.44709055994041691</v>
      </c>
      <c r="AB6" s="5">
        <f>VLOOKUP(AB$2,Amphibole!$CN$7:$CW$480,7,FALSE)</f>
        <v>0.28057877158830191</v>
      </c>
      <c r="AC6" s="5">
        <f>VLOOKUP(AC$2,Amphibole!$CN$7:$CW$480,7,FALSE)</f>
        <v>0.30876125760245099</v>
      </c>
      <c r="AD6" s="5">
        <f>VLOOKUP(AD$2,Amphibole!$CN$7:$CW$480,7,FALSE)</f>
        <v>0.24962336802467266</v>
      </c>
      <c r="AE6" s="5">
        <f>VLOOKUP(AE$2,Amphibole!$CN$7:$CW$480,7,FALSE)</f>
        <v>0.32032872898372666</v>
      </c>
      <c r="AF6" s="5">
        <f>VLOOKUP(AF$2,Amphibole!$CN$7:$CW$480,7,FALSE)</f>
        <v>0.31984821179827438</v>
      </c>
      <c r="AG6" s="5">
        <f>VLOOKUP(AG$2,Amphibole!$CN$7:$CW$480,7,FALSE)</f>
        <v>0.26258918860283176</v>
      </c>
      <c r="AH6" s="5">
        <f>VLOOKUP(AH$2,Amphibole!$CN$7:$CW$480,7,FALSE)</f>
        <v>0.2300325965413923</v>
      </c>
      <c r="AI6" s="5">
        <f>VLOOKUP(AI$2,Amphibole!$CN$7:$CW$480,7,FALSE)</f>
        <v>0.2936694321565505</v>
      </c>
      <c r="AJ6" s="5">
        <f>VLOOKUP(AJ$2,Amphibole!$CN$7:$CW$480,7,FALSE)</f>
        <v>0.29570420151539434</v>
      </c>
    </row>
    <row r="7" spans="1:36">
      <c r="D7" s="1"/>
      <c r="E7" s="1"/>
      <c r="F7" s="6" t="s">
        <v>56</v>
      </c>
      <c r="G7" s="5">
        <f>VLOOKUP(G$2,Amphibole!$CN$7:$CW$480,8,FALSE)</f>
        <v>8.4693151058465199E-2</v>
      </c>
      <c r="H7" s="5">
        <f>VLOOKUP(H$2,Amphibole!$CN$7:$CW$480,8,FALSE)</f>
        <v>7.8022711322842997E-2</v>
      </c>
      <c r="I7" s="5">
        <f>VLOOKUP(I$2,Amphibole!$CN$7:$CW$480,8,FALSE)</f>
        <v>9.0664299336488341E-2</v>
      </c>
      <c r="J7" s="5">
        <f>VLOOKUP(J$2,Amphibole!$CN$7:$CW$480,8,FALSE)</f>
        <v>8.3443747054155581E-2</v>
      </c>
      <c r="K7" s="5">
        <f>VLOOKUP(K$2,Amphibole!$CN$7:$CW$480,8,FALSE)</f>
        <v>9.3869903540976241E-2</v>
      </c>
      <c r="L7" s="5">
        <f>VLOOKUP(L$2,Amphibole!$CN$7:$CW$480,8,FALSE)</f>
        <v>9.0057208007066736E-2</v>
      </c>
      <c r="M7" s="5">
        <f>VLOOKUP(M$2,Amphibole!$CN$7:$CW$480,8,FALSE)</f>
        <v>7.041769519063712E-2</v>
      </c>
      <c r="N7" s="5">
        <f>VLOOKUP(N$2,Amphibole!$CN$7:$CW$480,8,FALSE)</f>
        <v>8.3517963191308664E-2</v>
      </c>
      <c r="O7" s="5">
        <f>VLOOKUP(O$2,Amphibole!$CN$7:$CW$480,8,FALSE)</f>
        <v>7.464057431539517E-2</v>
      </c>
      <c r="P7" s="5">
        <f>VLOOKUP(P$2,Amphibole!$CN$7:$CW$480,8,FALSE)</f>
        <v>8.5061803872582331E-2</v>
      </c>
      <c r="Q7" s="5">
        <f>VLOOKUP(Q$2,Amphibole!$CN$7:$CW$480,8,FALSE)</f>
        <v>7.9045015420952214E-2</v>
      </c>
      <c r="R7" s="5">
        <f>VLOOKUP(R$2,Amphibole!$CN$7:$CW$480,8,FALSE)</f>
        <v>8.7228050911852262E-2</v>
      </c>
      <c r="S7" s="5">
        <f>VLOOKUP(S$2,Amphibole!$CN$7:$CW$480,8,FALSE)</f>
        <v>8.7341889147660834E-2</v>
      </c>
      <c r="T7" s="5">
        <f>VLOOKUP(T$2,Amphibole!$CN$7:$CW$480,8,FALSE)</f>
        <v>7.9608952265462829E-2</v>
      </c>
      <c r="U7" s="5">
        <f>VLOOKUP(U$2,Amphibole!$CN$7:$CW$480,8,FALSE)</f>
        <v>6.2339611777277759E-2</v>
      </c>
      <c r="V7" s="5">
        <f>VLOOKUP(V$2,Amphibole!$CN$7:$CW$480,8,FALSE)</f>
        <v>8.0750401529385063E-2</v>
      </c>
      <c r="W7" s="5">
        <f>VLOOKUP(W$2,Amphibole!$CN$7:$CW$480,8,FALSE)</f>
        <v>8.5117114523035942E-2</v>
      </c>
      <c r="X7" s="5">
        <f>VLOOKUP(X$2,Amphibole!$CN$7:$CW$480,8,FALSE)</f>
        <v>9.2849121773990517E-2</v>
      </c>
      <c r="Y7" s="5">
        <f>VLOOKUP(Y$2,Amphibole!$CN$7:$CW$480,8,FALSE)</f>
        <v>8.3368570946112719E-2</v>
      </c>
      <c r="Z7" s="5">
        <f>VLOOKUP(Z$2,Amphibole!$CN$7:$CW$480,8,FALSE)</f>
        <v>8.2852552916024891E-2</v>
      </c>
      <c r="AA7" s="5">
        <f>VLOOKUP(AA$2,Amphibole!$CN$7:$CW$480,8,FALSE)</f>
        <v>7.3355159389207336E-2</v>
      </c>
      <c r="AB7" s="5">
        <f>VLOOKUP(AB$2,Amphibole!$CN$7:$CW$480,8,FALSE)</f>
        <v>7.2375969148657737E-2</v>
      </c>
      <c r="AC7" s="5">
        <f>VLOOKUP(AC$2,Amphibole!$CN$7:$CW$480,8,FALSE)</f>
        <v>6.9889580996562617E-2</v>
      </c>
      <c r="AD7" s="5">
        <f>VLOOKUP(AD$2,Amphibole!$CN$7:$CW$480,8,FALSE)</f>
        <v>7.9175216020348604E-2</v>
      </c>
      <c r="AE7" s="5">
        <f>VLOOKUP(AE$2,Amphibole!$CN$7:$CW$480,8,FALSE)</f>
        <v>6.8470198390176762E-2</v>
      </c>
      <c r="AF7" s="5">
        <f>VLOOKUP(AF$2,Amphibole!$CN$7:$CW$480,8,FALSE)</f>
        <v>6.6630012915444792E-2</v>
      </c>
      <c r="AG7" s="5">
        <f>VLOOKUP(AG$2,Amphibole!$CN$7:$CW$480,8,FALSE)</f>
        <v>6.3711788184759199E-2</v>
      </c>
      <c r="AH7" s="5">
        <f>VLOOKUP(AH$2,Amphibole!$CN$7:$CW$480,8,FALSE)</f>
        <v>7.1083354844906244E-2</v>
      </c>
      <c r="AI7" s="5">
        <f>VLOOKUP(AI$2,Amphibole!$CN$7:$CW$480,8,FALSE)</f>
        <v>6.9526256199378578E-2</v>
      </c>
      <c r="AJ7" s="5">
        <f>VLOOKUP(AJ$2,Amphibole!$CN$7:$CW$480,8,FALSE)</f>
        <v>7.5457200949822778E-2</v>
      </c>
    </row>
    <row r="8" spans="1:36">
      <c r="A8" s="1"/>
      <c r="B8" s="1"/>
      <c r="C8" s="1"/>
      <c r="D8" s="1"/>
      <c r="E8" s="1"/>
      <c r="F8" s="6" t="s">
        <v>57</v>
      </c>
      <c r="G8" s="5">
        <f>VLOOKUP(G$2,Amphibole!$CN$7:$CW$480,9,FALSE)</f>
        <v>0.90210963816072698</v>
      </c>
      <c r="H8" s="5">
        <f>VLOOKUP(H$2,Amphibole!$CN$7:$CW$480,9,FALSE)</f>
        <v>0.90556179676845006</v>
      </c>
      <c r="I8" s="5">
        <f>VLOOKUP(I$2,Amphibole!$CN$7:$CW$480,9,FALSE)</f>
        <v>0.89659519951184752</v>
      </c>
      <c r="J8" s="5">
        <f>VLOOKUP(J$2,Amphibole!$CN$7:$CW$480,9,FALSE)</f>
        <v>0.90051859917772847</v>
      </c>
      <c r="K8" s="5">
        <f>VLOOKUP(K$2,Amphibole!$CN$7:$CW$480,9,FALSE)</f>
        <v>0.88828379362664367</v>
      </c>
      <c r="L8" s="5">
        <f>VLOOKUP(L$2,Amphibole!$CN$7:$CW$480,9,FALSE)</f>
        <v>0.89805482670495151</v>
      </c>
      <c r="M8" s="5">
        <f>VLOOKUP(M$2,Amphibole!$CN$7:$CW$480,9,FALSE)</f>
        <v>0.92347239276104121</v>
      </c>
      <c r="N8" s="5">
        <f>VLOOKUP(N$2,Amphibole!$CN$7:$CW$480,9,FALSE)</f>
        <v>0.90215797686778287</v>
      </c>
      <c r="O8" s="5">
        <f>VLOOKUP(O$2,Amphibole!$CN$7:$CW$480,9,FALSE)</f>
        <v>0.90986491908343992</v>
      </c>
      <c r="P8" s="5">
        <f>VLOOKUP(P$2,Amphibole!$CN$7:$CW$480,9,FALSE)</f>
        <v>0.90263032926117504</v>
      </c>
      <c r="Q8" s="5">
        <f>VLOOKUP(Q$2,Amphibole!$CN$7:$CW$480,9,FALSE)</f>
        <v>0.90976700914499997</v>
      </c>
      <c r="R8" s="5">
        <f>VLOOKUP(R$2,Amphibole!$CN$7:$CW$480,9,FALSE)</f>
        <v>0.89831802565920771</v>
      </c>
      <c r="S8" s="5">
        <f>VLOOKUP(S$2,Amphibole!$CN$7:$CW$480,9,FALSE)</f>
        <v>0.89469218495114056</v>
      </c>
      <c r="T8" s="5">
        <f>VLOOKUP(T$2,Amphibole!$CN$7:$CW$480,9,FALSE)</f>
        <v>0.91317945678909185</v>
      </c>
      <c r="U8" s="5">
        <f>VLOOKUP(U$2,Amphibole!$CN$7:$CW$480,9,FALSE)</f>
        <v>0.93828240769649585</v>
      </c>
      <c r="V8" s="5">
        <f>VLOOKUP(V$2,Amphibole!$CN$7:$CW$480,9,FALSE)</f>
        <v>0.89827594624460694</v>
      </c>
      <c r="W8" s="5">
        <f>VLOOKUP(W$2,Amphibole!$CN$7:$CW$480,9,FALSE)</f>
        <v>0.90718273393653781</v>
      </c>
      <c r="X8" s="5">
        <f>VLOOKUP(X$2,Amphibole!$CN$7:$CW$480,9,FALSE)</f>
        <v>0.89458294885606693</v>
      </c>
      <c r="Y8" s="5">
        <f>VLOOKUP(Y$2,Amphibole!$CN$7:$CW$480,9,FALSE)</f>
        <v>0.89413655559600702</v>
      </c>
      <c r="Z8" s="5">
        <f>VLOOKUP(Z$2,Amphibole!$CN$7:$CW$480,9,FALSE)</f>
        <v>0.90521058809555388</v>
      </c>
      <c r="AA8" s="5">
        <f>VLOOKUP(AA$2,Amphibole!$CN$7:$CW$480,9,FALSE)</f>
        <v>0.91547978343608316</v>
      </c>
      <c r="AB8" s="5">
        <f>VLOOKUP(AB$2,Amphibole!$CN$7:$CW$480,9,FALSE)</f>
        <v>0.91415574302574198</v>
      </c>
      <c r="AC8" s="5">
        <f>VLOOKUP(AC$2,Amphibole!$CN$7:$CW$480,9,FALSE)</f>
        <v>0.91886391467302009</v>
      </c>
      <c r="AD8" s="5">
        <f>VLOOKUP(AD$2,Amphibole!$CN$7:$CW$480,9,FALSE)</f>
        <v>0.9057587714343559</v>
      </c>
      <c r="AE8" s="5">
        <f>VLOOKUP(AE$2,Amphibole!$CN$7:$CW$480,9,FALSE)</f>
        <v>0.9215502817613741</v>
      </c>
      <c r="AF8" s="5">
        <f>VLOOKUP(AF$2,Amphibole!$CN$7:$CW$480,9,FALSE)</f>
        <v>0.92503161966401748</v>
      </c>
      <c r="AG8" s="5">
        <f>VLOOKUP(AG$2,Amphibole!$CN$7:$CW$480,9,FALSE)</f>
        <v>0.93054907665014996</v>
      </c>
      <c r="AH8" s="5">
        <f>VLOOKUP(AH$2,Amphibole!$CN$7:$CW$480,9,FALSE)</f>
        <v>0.91660378474366666</v>
      </c>
      <c r="AI8" s="5">
        <f>VLOOKUP(AI$2,Amphibole!$CN$7:$CW$480,9,FALSE)</f>
        <v>0.91955164739369377</v>
      </c>
      <c r="AJ8" s="5">
        <f>VLOOKUP(AJ$2,Amphibole!$CN$7:$CW$480,9,FALSE)</f>
        <v>0.9136723421572629</v>
      </c>
    </row>
    <row r="9" spans="1:36">
      <c r="A9" s="7" t="s">
        <v>140</v>
      </c>
      <c r="B9" s="1"/>
      <c r="C9" s="1"/>
      <c r="D9" s="1"/>
      <c r="E9" s="1"/>
      <c r="F9" s="6" t="s">
        <v>116</v>
      </c>
      <c r="G9" s="31">
        <f>VLOOKUP(G$2,Amphibole!$GU$7:$GY$480,3,FALSE)</f>
        <v>972.19168740115538</v>
      </c>
      <c r="H9" s="31">
        <f>VLOOKUP(H$2,Amphibole!$GU$7:$GY$480,3,FALSE)</f>
        <v>968.40370545293649</v>
      </c>
      <c r="I9" s="31">
        <f>VLOOKUP(I$2,Amphibole!$GU$7:$GY$480,3,FALSE)</f>
        <v>971.30445187536839</v>
      </c>
      <c r="J9" s="31">
        <f>VLOOKUP(J$2,Amphibole!$GU$7:$GY$480,3,FALSE)</f>
        <v>784.63313381025</v>
      </c>
      <c r="K9" s="31">
        <f>VLOOKUP(K$2,Amphibole!$GU$7:$GY$480,3,FALSE)</f>
        <v>959.94659771937108</v>
      </c>
      <c r="L9" s="31">
        <f>VLOOKUP(L$2,Amphibole!$GU$7:$GY$480,3,FALSE)</f>
        <v>948.64285708998023</v>
      </c>
      <c r="M9" s="31">
        <f>VLOOKUP(M$2,Amphibole!$GU$7:$GY$480,3,FALSE)</f>
        <v>973.24040040864315</v>
      </c>
      <c r="N9" s="31">
        <f>VLOOKUP(N$2,Amphibole!$GU$7:$GY$480,3,FALSE)</f>
        <v>970.83098980569707</v>
      </c>
      <c r="O9" s="31">
        <f>VLOOKUP(O$2,Amphibole!$GU$7:$GY$480,3,FALSE)</f>
        <v>966.94642677691763</v>
      </c>
      <c r="P9" s="31">
        <f>VLOOKUP(P$2,Amphibole!$GU$7:$GY$480,3,FALSE)</f>
        <v>964.58738984708066</v>
      </c>
      <c r="Q9" s="31">
        <f>VLOOKUP(Q$2,Amphibole!$GU$7:$GY$480,3,FALSE)</f>
        <v>811.2802346001597</v>
      </c>
      <c r="R9" s="31">
        <f>VLOOKUP(R$2,Amphibole!$GU$7:$GY$480,3,FALSE)</f>
        <v>806.45077756468731</v>
      </c>
      <c r="S9" s="31">
        <f>VLOOKUP(S$2,Amphibole!$GU$7:$GY$480,3,FALSE)</f>
        <v>849.88952713764502</v>
      </c>
      <c r="T9" s="31">
        <f>VLOOKUP(T$2,Amphibole!$GU$7:$GY$480,3,FALSE)</f>
        <v>848.33662061253244</v>
      </c>
      <c r="U9" s="31">
        <f>VLOOKUP(U$2,Amphibole!$GU$7:$GY$480,3,FALSE)</f>
        <v>969.62280371892575</v>
      </c>
      <c r="V9" s="31">
        <f>VLOOKUP(V$2,Amphibole!$GU$7:$GY$480,3,FALSE)</f>
        <v>919.70552046528087</v>
      </c>
      <c r="W9" s="31">
        <f>VLOOKUP(W$2,Amphibole!$GU$7:$GY$480,3,FALSE)</f>
        <v>922.11700713733035</v>
      </c>
      <c r="X9" s="31">
        <f>VLOOKUP(X$2,Amphibole!$GU$7:$GY$480,3,FALSE)</f>
        <v>932.85905805504103</v>
      </c>
      <c r="Y9" s="31">
        <f>VLOOKUP(Y$2,Amphibole!$GU$7:$GY$480,3,FALSE)</f>
        <v>947.16987141450954</v>
      </c>
      <c r="Z9" s="31">
        <f>VLOOKUP(Z$2,Amphibole!$GU$7:$GY$480,3,FALSE)</f>
        <v>942.68165351298921</v>
      </c>
      <c r="AA9" s="31">
        <f>VLOOKUP(AA$2,Amphibole!$GU$7:$GY$480,3,FALSE)</f>
        <v>925.63020449617102</v>
      </c>
      <c r="AB9" s="31">
        <f>VLOOKUP(AB$2,Amphibole!$GU$7:$GY$480,3,FALSE)</f>
        <v>809.3273463261271</v>
      </c>
      <c r="AC9" s="31">
        <f>VLOOKUP(AC$2,Amphibole!$GU$7:$GY$480,3,FALSE)</f>
        <v>824.15212900513484</v>
      </c>
      <c r="AD9" s="31">
        <f>VLOOKUP(AD$2,Amphibole!$GU$7:$GY$480,3,FALSE)</f>
        <v>806.38757273986744</v>
      </c>
      <c r="AE9" s="31">
        <f>VLOOKUP(AE$2,Amphibole!$GU$7:$GY$480,3,FALSE)</f>
        <v>828.81908039239556</v>
      </c>
      <c r="AF9" s="31">
        <f>VLOOKUP(AF$2,Amphibole!$GU$7:$GY$480,3,FALSE)</f>
        <v>836.61126557763191</v>
      </c>
      <c r="AG9" s="31">
        <f>VLOOKUP(AG$2,Amphibole!$GU$7:$GY$480,3,FALSE)</f>
        <v>804.30525959185093</v>
      </c>
      <c r="AH9" s="31">
        <f>VLOOKUP(AH$2,Amphibole!$GU$7:$GY$480,3,FALSE)</f>
        <v>785.85402573492024</v>
      </c>
      <c r="AI9" s="31">
        <f>VLOOKUP(AI$2,Amphibole!$GU$7:$GY$480,3,FALSE)</f>
        <v>804.84233006912336</v>
      </c>
      <c r="AJ9" s="31">
        <f>VLOOKUP(AJ$2,Amphibole!$GU$7:$GY$480,3,FALSE)</f>
        <v>822.1019215146157</v>
      </c>
    </row>
    <row r="10" spans="1:36">
      <c r="A10" s="7" t="s">
        <v>141</v>
      </c>
      <c r="B10" s="1"/>
      <c r="C10" s="1"/>
      <c r="D10" s="1"/>
      <c r="E10" s="1"/>
      <c r="F10" s="6" t="s">
        <v>116</v>
      </c>
      <c r="G10" s="31">
        <f>VLOOKUP(G$2,Amphibole!$GU$7:$GY$480,5,FALSE)</f>
        <v>955.833045405843</v>
      </c>
      <c r="H10" s="31">
        <f>VLOOKUP(H$2,Amphibole!$GU$7:$GY$480,5,FALSE)</f>
        <v>943.38689239685141</v>
      </c>
      <c r="I10" s="31">
        <f>VLOOKUP(I$2,Amphibole!$GU$7:$GY$480,5,FALSE)</f>
        <v>963.53070936775157</v>
      </c>
      <c r="J10" s="31">
        <f>VLOOKUP(J$2,Amphibole!$GU$7:$GY$480,5,FALSE)</f>
        <v>763.17742643315023</v>
      </c>
      <c r="K10" s="31">
        <f>VLOOKUP(K$2,Amphibole!$GU$7:$GY$480,5,FALSE)</f>
        <v>963.97529717234011</v>
      </c>
      <c r="L10" s="31">
        <f>VLOOKUP(L$2,Amphibole!$GU$7:$GY$480,5,FALSE)</f>
        <v>945.154335636881</v>
      </c>
      <c r="M10" s="31">
        <f>VLOOKUP(M$2,Amphibole!$GU$7:$GY$480,5,FALSE)</f>
        <v>950.56468649160922</v>
      </c>
      <c r="N10" s="31">
        <f>VLOOKUP(N$2,Amphibole!$GU$7:$GY$480,5,FALSE)</f>
        <v>960.44861206229916</v>
      </c>
      <c r="O10" s="31">
        <f>VLOOKUP(O$2,Amphibole!$GU$7:$GY$480,5,FALSE)</f>
        <v>940.63485248672725</v>
      </c>
      <c r="P10" s="31">
        <f>VLOOKUP(P$2,Amphibole!$GU$7:$GY$480,5,FALSE)</f>
        <v>951.92406340426464</v>
      </c>
      <c r="Q10" s="31">
        <f>VLOOKUP(Q$2,Amphibole!$GU$7:$GY$480,5,FALSE)</f>
        <v>789.1147253235099</v>
      </c>
      <c r="R10" s="31">
        <f>VLOOKUP(R$2,Amphibole!$GU$7:$GY$480,5,FALSE)</f>
        <v>775.2875733401105</v>
      </c>
      <c r="S10" s="31">
        <f>VLOOKUP(S$2,Amphibole!$GU$7:$GY$480,5,FALSE)</f>
        <v>820.98569179608933</v>
      </c>
      <c r="T10" s="31">
        <f>VLOOKUP(T$2,Amphibole!$GU$7:$GY$480,5,FALSE)</f>
        <v>810.54427926505832</v>
      </c>
      <c r="U10" s="31">
        <f>VLOOKUP(U$2,Amphibole!$GU$7:$GY$480,5,FALSE)</f>
        <v>925.16588793034839</v>
      </c>
      <c r="V10" s="31">
        <f>VLOOKUP(V$2,Amphibole!$GU$7:$GY$480,5,FALSE)</f>
        <v>915.44493802705642</v>
      </c>
      <c r="W10" s="31">
        <f>VLOOKUP(W$2,Amphibole!$GU$7:$GY$480,5,FALSE)</f>
        <v>903.65714297939621</v>
      </c>
      <c r="X10" s="31">
        <f>VLOOKUP(X$2,Amphibole!$GU$7:$GY$480,5,FALSE)</f>
        <v>929.61944412314756</v>
      </c>
      <c r="Y10" s="31">
        <f>VLOOKUP(Y$2,Amphibole!$GU$7:$GY$480,5,FALSE)</f>
        <v>950.84690501994237</v>
      </c>
      <c r="Z10" s="31">
        <f>VLOOKUP(Z$2,Amphibole!$GU$7:$GY$480,5,FALSE)</f>
        <v>933.94003623942422</v>
      </c>
      <c r="AA10" s="31">
        <f>VLOOKUP(AA$2,Amphibole!$GU$7:$GY$480,5,FALSE)</f>
        <v>906.38256115025433</v>
      </c>
      <c r="AB10" s="31">
        <f>VLOOKUP(AB$2,Amphibole!$GU$7:$GY$480,5,FALSE)</f>
        <v>776.52198386828366</v>
      </c>
      <c r="AC10" s="31">
        <f>VLOOKUP(AC$2,Amphibole!$GU$7:$GY$480,5,FALSE)</f>
        <v>782.60410845215836</v>
      </c>
      <c r="AD10" s="31">
        <f>VLOOKUP(AD$2,Amphibole!$GU$7:$GY$480,5,FALSE)</f>
        <v>769.35963950016742</v>
      </c>
      <c r="AE10" s="31">
        <f>VLOOKUP(AE$2,Amphibole!$GU$7:$GY$480,5,FALSE)</f>
        <v>800.02220711889549</v>
      </c>
      <c r="AF10" s="31">
        <f>VLOOKUP(AF$2,Amphibole!$GU$7:$GY$480,5,FALSE)</f>
        <v>795.50501098336895</v>
      </c>
      <c r="AG10" s="31">
        <f>VLOOKUP(AG$2,Amphibole!$GU$7:$GY$480,5,FALSE)</f>
        <v>759.8988882404459</v>
      </c>
      <c r="AH10" s="31">
        <f>VLOOKUP(AH$2,Amphibole!$GU$7:$GY$480,5,FALSE)</f>
        <v>743.39589428611225</v>
      </c>
      <c r="AI10" s="31">
        <f>VLOOKUP(AI$2,Amphibole!$GU$7:$GY$480,5,FALSE)</f>
        <v>773.32714427578992</v>
      </c>
      <c r="AJ10" s="31">
        <f>VLOOKUP(AJ$2,Amphibole!$GU$7:$GY$480,5,FALSE)</f>
        <v>783.58721842454077</v>
      </c>
    </row>
    <row r="11" spans="1:36">
      <c r="A11" s="1"/>
      <c r="B11" s="1"/>
      <c r="C11" s="1"/>
      <c r="D11" s="1"/>
      <c r="E11" s="1"/>
      <c r="F11" s="6" t="s">
        <v>77</v>
      </c>
      <c r="G11" s="46">
        <f>VLOOKUP(G$2,Amphibole!$GU$7:$GY$480,4,FALSE)/100</f>
        <v>4.2352345021869011</v>
      </c>
      <c r="H11" s="46">
        <f>VLOOKUP(H$2,Amphibole!$GU$7:$GY$480,4,FALSE)/100</f>
        <v>4.2182532048132169</v>
      </c>
      <c r="I11" s="46">
        <f>VLOOKUP(I$2,Amphibole!$GU$7:$GY$480,4,FALSE)/100</f>
        <v>4.6799850993812298</v>
      </c>
      <c r="J11" s="46">
        <f>VLOOKUP(J$2,Amphibole!$GU$7:$GY$480,4,FALSE)/100</f>
        <v>0.98982873895354029</v>
      </c>
      <c r="K11" s="46">
        <f>VLOOKUP(K$2,Amphibole!$GU$7:$GY$480,4,FALSE)/100</f>
        <v>4.1473136772309678</v>
      </c>
      <c r="L11" s="46">
        <f>VLOOKUP(L$2,Amphibole!$GU$7:$GY$480,4,FALSE)/100</f>
        <v>3.5768587185590572</v>
      </c>
      <c r="M11" s="46">
        <f>VLOOKUP(M$2,Amphibole!$GU$7:$GY$480,4,FALSE)/100</f>
        <v>3.6565939913193155</v>
      </c>
      <c r="N11" s="46">
        <f>VLOOKUP(N$2,Amphibole!$GU$7:$GY$480,4,FALSE)/100</f>
        <v>4.2546765138894225</v>
      </c>
      <c r="O11" s="46">
        <f>VLOOKUP(O$2,Amphibole!$GU$7:$GY$480,4,FALSE)/100</f>
        <v>4.2284882570200351</v>
      </c>
      <c r="P11" s="46">
        <f>VLOOKUP(P$2,Amphibole!$GU$7:$GY$480,4,FALSE)/100</f>
        <v>3.9497009353315997</v>
      </c>
      <c r="Q11" s="46">
        <f>VLOOKUP(Q$2,Amphibole!$GU$7:$GY$480,4,FALSE)/100</f>
        <v>1.1772667795228597</v>
      </c>
      <c r="R11" s="46">
        <f>VLOOKUP(R$2,Amphibole!$GU$7:$GY$480,4,FALSE)/100</f>
        <v>1.1054414000508204</v>
      </c>
      <c r="S11" s="46">
        <f>VLOOKUP(S$2,Amphibole!$GU$7:$GY$480,4,FALSE)/100</f>
        <v>1.5769228415006376</v>
      </c>
      <c r="T11" s="46">
        <f>VLOOKUP(T$2,Amphibole!$GU$7:$GY$480,4,FALSE)/100</f>
        <v>1.4296201886815039</v>
      </c>
      <c r="U11" s="46">
        <f>VLOOKUP(U$2,Amphibole!$GU$7:$GY$480,4,FALSE)/100</f>
        <v>3.581892982759058</v>
      </c>
      <c r="V11" s="46">
        <f>VLOOKUP(V$2,Amphibole!$GU$7:$GY$480,4,FALSE)/100</f>
        <v>3.1866654779070611</v>
      </c>
      <c r="W11" s="46">
        <f>VLOOKUP(W$2,Amphibole!$GU$7:$GY$480,4,FALSE)/100</f>
        <v>2.8969280429420503</v>
      </c>
      <c r="X11" s="46">
        <f>VLOOKUP(X$2,Amphibole!$GU$7:$GY$480,4,FALSE)/100</f>
        <v>3.3278268850115693</v>
      </c>
      <c r="Y11" s="46">
        <f>VLOOKUP(Y$2,Amphibole!$GU$7:$GY$480,4,FALSE)/100</f>
        <v>3.7882324795116862</v>
      </c>
      <c r="Z11" s="46">
        <f>VLOOKUP(Z$2,Amphibole!$GU$7:$GY$480,4,FALSE)/100</f>
        <v>3.4671761178603218</v>
      </c>
      <c r="AA11" s="46">
        <f>VLOOKUP(AA$2,Amphibole!$GU$7:$GY$480,4,FALSE)/100</f>
        <v>3.0001315454775757</v>
      </c>
      <c r="AB11" s="46">
        <f>VLOOKUP(AB$2,Amphibole!$GU$7:$GY$480,4,FALSE)/100</f>
        <v>1.1299344179040196</v>
      </c>
      <c r="AC11" s="46">
        <f>VLOOKUP(AC$2,Amphibole!$GU$7:$GY$480,4,FALSE)/100</f>
        <v>1.2412278056347212</v>
      </c>
      <c r="AD11" s="46">
        <f>VLOOKUP(AD$2,Amphibole!$GU$7:$GY$480,4,FALSE)/100</f>
        <v>1.1451674632036066</v>
      </c>
      <c r="AE11" s="46">
        <f>VLOOKUP(AE$2,Amphibole!$GU$7:$GY$480,4,FALSE)/100</f>
        <v>1.3815456456278332</v>
      </c>
      <c r="AF11" s="46">
        <f>VLOOKUP(AF$2,Amphibole!$GU$7:$GY$480,4,FALSE)/100</f>
        <v>1.4553810903015931</v>
      </c>
      <c r="AG11" s="46">
        <f>VLOOKUP(AG$2,Amphibole!$GU$7:$GY$480,4,FALSE)/100</f>
        <v>1.0375509441314534</v>
      </c>
      <c r="AH11" s="46">
        <f>VLOOKUP(AH$2,Amphibole!$GU$7:$GY$480,4,FALSE)/100</f>
        <v>0.92831973966870363</v>
      </c>
      <c r="AI11" s="46">
        <f>VLOOKUP(AI$2,Amphibole!$GU$7:$GY$480,4,FALSE)/100</f>
        <v>1.0687701310096103</v>
      </c>
      <c r="AJ11" s="46">
        <f>VLOOKUP(AJ$2,Amphibole!$GU$7:$GY$480,4,FALSE)/100</f>
        <v>1.2597494389872743</v>
      </c>
    </row>
    <row r="12" spans="1:36">
      <c r="A12" s="1"/>
      <c r="B12" s="6" t="s">
        <v>6</v>
      </c>
      <c r="C12" s="1" t="s">
        <v>80</v>
      </c>
      <c r="D12" s="1" t="s">
        <v>73</v>
      </c>
      <c r="E12" s="1" t="s">
        <v>81</v>
      </c>
      <c r="F12" s="29" t="s">
        <v>84</v>
      </c>
      <c r="G12" s="30" t="str">
        <f>VLOOKUP(G$2,Amphibole!$CN$7:$CW$63,10,FALSE)</f>
        <v>26dHP01.1</v>
      </c>
      <c r="H12" s="30" t="str">
        <f>VLOOKUP(H$2,Amphibole!$CN$7:$CW$63,10,FALSE)</f>
        <v>26dHP01.2</v>
      </c>
      <c r="I12" s="30" t="str">
        <f>VLOOKUP(I$2,Amphibole!$CN$7:$CW$63,10,FALSE)</f>
        <v>26dHP01.5</v>
      </c>
      <c r="J12" s="30" t="str">
        <f>VLOOKUP(J$2,Amphibole!$CN$7:$CW$63,10,FALSE)</f>
        <v>26dHP02.1</v>
      </c>
      <c r="K12" s="30" t="str">
        <f>VLOOKUP(K$2,Amphibole!$CN$7:$CW$63,10,FALSE)</f>
        <v>26eHP01.7</v>
      </c>
      <c r="L12" s="30" t="str">
        <f>VLOOKUP(L$2,Amphibole!$CN$7:$CW$63,10,FALSE)</f>
        <v>26eHP01.8</v>
      </c>
      <c r="M12" s="30" t="str">
        <f>VLOOKUP(M$2,Amphibole!$CN$7:$CW$63,10,FALSE)</f>
        <v>26eHP01.9</v>
      </c>
      <c r="N12" s="30" t="str">
        <f>VLOOKUP(N$2,Amphibole!$CN$7:$CW$63,10,FALSE)</f>
        <v>26eHP01.10</v>
      </c>
      <c r="O12" s="30" t="str">
        <f>VLOOKUP(O$2,Amphibole!$CN$7:$CW$63,10,FALSE)</f>
        <v>26eHP01.11</v>
      </c>
      <c r="P12" s="30" t="str">
        <f>VLOOKUP(P$2,Amphibole!$CN$7:$CW$63,10,FALSE)</f>
        <v>26eHP01.12</v>
      </c>
      <c r="Q12" s="30" t="str">
        <f>VLOOKUP(Q$2,Amphibole!$CN$7:$CW$63,10,FALSE)</f>
        <v>26hHP01.2</v>
      </c>
      <c r="R12" s="30" t="str">
        <f>VLOOKUP(R$2,Amphibole!$CN$7:$CW$63,10,FALSE)</f>
        <v>26hHP02.5</v>
      </c>
      <c r="S12" s="30" t="str">
        <f>VLOOKUP(S$2,Amphibole!$CN$7:$CW$63,10,FALSE)</f>
        <v>26hHP02.6</v>
      </c>
      <c r="T12" s="30" t="str">
        <f>VLOOKUP(T$2,Amphibole!$CN$7:$CW$63,10,FALSE)</f>
        <v>26hHP02.7</v>
      </c>
      <c r="U12" s="30" t="str">
        <f>VLOOKUP(U$2,Amphibole!$CN$7:$CW$63,10,FALSE)</f>
        <v>26hHP02.8</v>
      </c>
      <c r="V12" s="30" t="str">
        <f>VLOOKUP(V$2,Amphibole!$CN$7:$CW$63,10,FALSE)</f>
        <v>26hHP04.10</v>
      </c>
      <c r="W12" s="30" t="str">
        <f>VLOOKUP(W$2,Amphibole!$CN$7:$CW$63,10,FALSE)</f>
        <v>26hHP04.11</v>
      </c>
      <c r="X12" s="30" t="str">
        <f>VLOOKUP(X$2,Amphibole!$CN$7:$CW$63,10,FALSE)</f>
        <v>26hHP04.12</v>
      </c>
      <c r="Y12" s="30" t="str">
        <f>VLOOKUP(Y$2,Amphibole!$CN$7:$CW$63,10,FALSE)</f>
        <v>26hHP04.7</v>
      </c>
      <c r="Z12" s="30" t="str">
        <f>VLOOKUP(Z$2,Amphibole!$CN$7:$CW$63,10,FALSE)</f>
        <v>26hHP04.8</v>
      </c>
      <c r="AA12" s="30" t="str">
        <f>VLOOKUP(AA$2,Amphibole!$CN$7:$CW$63,10,FALSE)</f>
        <v>26hHP04.9</v>
      </c>
      <c r="AB12" s="30" t="str">
        <f>VLOOKUP(AB$2,Amphibole!$CN$7:$CW$63,10,FALSE)</f>
        <v>26hHP06.10</v>
      </c>
      <c r="AC12" s="30" t="str">
        <f>VLOOKUP(AC$2,Amphibole!$CN$7:$CW$63,10,FALSE)</f>
        <v>26hHP06.6</v>
      </c>
      <c r="AD12" s="30" t="str">
        <f>VLOOKUP(AD$2,Amphibole!$CN$7:$CW$63,10,FALSE)</f>
        <v>26hHP06.7</v>
      </c>
      <c r="AE12" s="30" t="str">
        <f>VLOOKUP(AE$2,Amphibole!$CN$7:$CW$63,10,FALSE)</f>
        <v>26hHP06.8</v>
      </c>
      <c r="AF12" s="30" t="str">
        <f>VLOOKUP(AF$2,Amphibole!$CN$7:$CW$63,10,FALSE)</f>
        <v>26hHP06.9</v>
      </c>
      <c r="AG12" s="30" t="str">
        <f>VLOOKUP(AG$2,Amphibole!$CN$7:$CW$63,10,FALSE)</f>
        <v>26hHP08.6</v>
      </c>
      <c r="AH12" s="30" t="str">
        <f>VLOOKUP(AH$2,Amphibole!$CN$7:$CW$63,10,FALSE)</f>
        <v>26hHP08.7</v>
      </c>
      <c r="AI12" s="30" t="str">
        <f>VLOOKUP(AI$2,Amphibole!$CN$7:$CW$63,10,FALSE)</f>
        <v>26hHP08.8</v>
      </c>
      <c r="AJ12" s="30" t="str">
        <f>VLOOKUP(AJ$2,Amphibole!$CN$7:$CW$63,10,FALSE)</f>
        <v>26hHP08.9</v>
      </c>
    </row>
    <row r="13" spans="1:36" ht="14" customHeight="1">
      <c r="A13" s="54" t="s">
        <v>72</v>
      </c>
      <c r="B13" s="37">
        <v>16164.000000000002</v>
      </c>
      <c r="C13" s="34">
        <f>VLOOKUP($B13,Plagioclase!$AV$7:$BA$478,2,FALSE)</f>
        <v>0.53719986642812845</v>
      </c>
      <c r="D13" s="34">
        <f>VLOOKUP($B13,Plagioclase!$AV$7:$BA$478,3,FALSE)</f>
        <v>0.44506709050230248</v>
      </c>
      <c r="E13" s="34">
        <f>VLOOKUP($B13,Plagioclase!$AV$7:$BA$478,5,FALSE)</f>
        <v>1.6816101720552594</v>
      </c>
      <c r="F13" s="29" t="str">
        <f>VLOOKUP($B13,Plagioclase!$AV$7:$BA$478,6,FALSE)</f>
        <v>26dHP01.3</v>
      </c>
      <c r="G13" s="31">
        <f t="shared" ref="G13:J17" si="0">(78.44+$E13-33.6*G$7-(66.8-2.92*G$11)*G$5+78.5*G$4+9.4*G$6)/(0.0721-$C$6*LN((27*G$7*G$3*$C13)/(64*G$8*G$4*$D13)))-273.15</f>
        <v>897.05074489140623</v>
      </c>
      <c r="H13" s="31">
        <f t="shared" si="0"/>
        <v>887.10841209041098</v>
      </c>
      <c r="I13" s="31">
        <f t="shared" si="0"/>
        <v>903.08157640882348</v>
      </c>
      <c r="J13" s="31">
        <f t="shared" si="0"/>
        <v>806.91582919994619</v>
      </c>
      <c r="K13" s="31">
        <f t="shared" ref="K13:X17" si="1">(78.44+$E13-33.6*K$7-(66.8-2.92*K$11)*K$5+78.5*K$4+9.4*K$6)/(0.0721-$C$6*LN((27*K$7*K$3*$C13)/(64*K$8*K$4*$D13)))-273.15</f>
        <v>913.36322146394957</v>
      </c>
      <c r="L13" s="31">
        <f t="shared" si="1"/>
        <v>890.79453050010432</v>
      </c>
      <c r="M13" s="31">
        <f t="shared" si="1"/>
        <v>897.4826973435014</v>
      </c>
      <c r="N13" s="31">
        <f t="shared" ref="N13:P38" si="2">(78.44+$E13-33.6*N$7-(66.8-2.92*N$11)*N$5+78.5*N$4+9.4*N$6)/(0.0721-$C$6*LN((27*N$7*N$3*$C13)/(64*N$8*N$4*$D13)))-273.15</f>
        <v>905.90459700725989</v>
      </c>
      <c r="O13" s="31">
        <f t="shared" si="2"/>
        <v>895.38713816894563</v>
      </c>
      <c r="P13" s="31">
        <f t="shared" si="2"/>
        <v>902.97711854310785</v>
      </c>
      <c r="Q13" s="31">
        <f t="shared" si="1"/>
        <v>812.95619944697626</v>
      </c>
      <c r="R13" s="31">
        <f t="shared" si="1"/>
        <v>823.14087693322324</v>
      </c>
      <c r="S13" s="31">
        <f t="shared" si="1"/>
        <v>842.88245682969443</v>
      </c>
      <c r="T13" s="31">
        <f t="shared" si="1"/>
        <v>829.57118485577723</v>
      </c>
      <c r="U13" s="31">
        <f t="shared" si="1"/>
        <v>878.86334385803468</v>
      </c>
      <c r="V13" s="31">
        <f t="shared" si="1"/>
        <v>868.88708622664888</v>
      </c>
      <c r="W13" s="31">
        <f t="shared" si="1"/>
        <v>863.38051221524881</v>
      </c>
      <c r="X13" s="31">
        <f t="shared" si="1"/>
        <v>879.46445502145264</v>
      </c>
      <c r="Y13" s="31">
        <f t="shared" ref="Y13:AB17" si="3">(78.44+$E13-33.6*Y$7-(66.8-2.92*Y$11)*Y$5+78.5*Y$4+9.4*Y$6)/(0.0721-$C$6*LN((27*Y$7*Y$3*$C13)/(64*Y$8*Y$4*$D13)))-273.15</f>
        <v>896.82441361994699</v>
      </c>
      <c r="Z13" s="31">
        <f t="shared" si="3"/>
        <v>881.17647337765914</v>
      </c>
      <c r="AA13" s="31">
        <f t="shared" si="3"/>
        <v>857.29223702727211</v>
      </c>
      <c r="AB13" s="31">
        <f t="shared" si="3"/>
        <v>810.6825359160315</v>
      </c>
      <c r="AC13" s="31">
        <f t="shared" ref="AC13:AJ17" si="4">(78.44+$E13-33.6*AC$7-(66.8-2.92*AC$11)*AC$5+78.5*AC$4+9.4*AC$6)/(0.0721-$C$6*LN((27*AC$7*AC$3*$C13)/(64*AC$8*AC$4*$D13)))-273.15</f>
        <v>815.80851902097527</v>
      </c>
      <c r="AD13" s="31">
        <f t="shared" si="4"/>
        <v>808.5634658571056</v>
      </c>
      <c r="AE13" s="31">
        <f t="shared" si="4"/>
        <v>825.70585104238091</v>
      </c>
      <c r="AF13" s="31">
        <f t="shared" si="4"/>
        <v>820.96605360432284</v>
      </c>
      <c r="AG13" s="31">
        <f t="shared" si="4"/>
        <v>806.3617697135054</v>
      </c>
      <c r="AH13" s="31">
        <f t="shared" si="4"/>
        <v>805.27976298327496</v>
      </c>
      <c r="AI13" s="31">
        <f t="shared" si="4"/>
        <v>811.91410681640775</v>
      </c>
      <c r="AJ13" s="31">
        <f t="shared" si="4"/>
        <v>811.43447617878212</v>
      </c>
    </row>
    <row r="14" spans="1:36">
      <c r="A14" s="54"/>
      <c r="B14" s="37">
        <v>16165</v>
      </c>
      <c r="C14" s="34">
        <f>VLOOKUP($B14,Plagioclase!$AV$7:$BA$478,2,FALSE)</f>
        <v>0.53097306177128545</v>
      </c>
      <c r="D14" s="34">
        <f>VLOOKUP($B14,Plagioclase!$AV$7:$BA$478,3,FALSE)</f>
        <v>0.45163401861372482</v>
      </c>
      <c r="E14" s="34">
        <f>VLOOKUP($B14,Plagioclase!$AV$7:$BA$478,5,FALSE)</f>
        <v>1.8392164467293957</v>
      </c>
      <c r="F14" s="29" t="str">
        <f>VLOOKUP($B14,Plagioclase!$AV$7:$BA$478,6,FALSE)</f>
        <v>26dHP01.4</v>
      </c>
      <c r="G14" s="31">
        <f t="shared" si="0"/>
        <v>896.03243888787154</v>
      </c>
      <c r="H14" s="31">
        <f t="shared" si="0"/>
        <v>886.11925032354145</v>
      </c>
      <c r="I14" s="31">
        <f t="shared" si="0"/>
        <v>902.04347754514686</v>
      </c>
      <c r="J14" s="31">
        <f t="shared" si="0"/>
        <v>806.02535079792449</v>
      </c>
      <c r="K14" s="31">
        <f t="shared" si="1"/>
        <v>912.29331864507128</v>
      </c>
      <c r="L14" s="31">
        <f t="shared" si="1"/>
        <v>889.77265058397541</v>
      </c>
      <c r="M14" s="31">
        <f t="shared" si="1"/>
        <v>896.48104936897687</v>
      </c>
      <c r="N14" s="31">
        <f t="shared" si="2"/>
        <v>904.86797699652777</v>
      </c>
      <c r="O14" s="31">
        <f t="shared" si="2"/>
        <v>894.38464883155336</v>
      </c>
      <c r="P14" s="31">
        <f t="shared" si="2"/>
        <v>901.94199168710145</v>
      </c>
      <c r="Q14" s="31">
        <f t="shared" si="1"/>
        <v>812.0713896779406</v>
      </c>
      <c r="R14" s="31">
        <f t="shared" si="1"/>
        <v>822.21704074928982</v>
      </c>
      <c r="S14" s="31">
        <f t="shared" si="1"/>
        <v>841.93471860622628</v>
      </c>
      <c r="T14" s="31">
        <f t="shared" si="1"/>
        <v>828.66014821221881</v>
      </c>
      <c r="U14" s="31">
        <f t="shared" si="1"/>
        <v>877.91568805879103</v>
      </c>
      <c r="V14" s="31">
        <f t="shared" si="1"/>
        <v>867.91650982115732</v>
      </c>
      <c r="W14" s="31">
        <f t="shared" si="1"/>
        <v>862.4152878972842</v>
      </c>
      <c r="X14" s="31">
        <f t="shared" si="1"/>
        <v>878.45918983724494</v>
      </c>
      <c r="Y14" s="31">
        <f t="shared" si="3"/>
        <v>895.79659662014035</v>
      </c>
      <c r="Z14" s="31">
        <f t="shared" si="3"/>
        <v>880.18164987599982</v>
      </c>
      <c r="AA14" s="31">
        <f t="shared" si="3"/>
        <v>856.35772129087502</v>
      </c>
      <c r="AB14" s="31">
        <f t="shared" si="3"/>
        <v>809.81046123782392</v>
      </c>
      <c r="AC14" s="31">
        <f t="shared" si="4"/>
        <v>814.93604328515687</v>
      </c>
      <c r="AD14" s="31">
        <f t="shared" si="4"/>
        <v>807.6879264342773</v>
      </c>
      <c r="AE14" s="31">
        <f t="shared" si="4"/>
        <v>824.8136938515878</v>
      </c>
      <c r="AF14" s="31">
        <f t="shared" si="4"/>
        <v>820.09201917106554</v>
      </c>
      <c r="AG14" s="31">
        <f t="shared" si="4"/>
        <v>805.5091910493403</v>
      </c>
      <c r="AH14" s="31">
        <f t="shared" si="4"/>
        <v>804.41053807218611</v>
      </c>
      <c r="AI14" s="31">
        <f t="shared" si="4"/>
        <v>811.04108852081265</v>
      </c>
      <c r="AJ14" s="31">
        <f t="shared" si="4"/>
        <v>810.56430233316962</v>
      </c>
    </row>
    <row r="15" spans="1:36">
      <c r="A15" s="54"/>
      <c r="B15" s="37">
        <v>16167.000000000002</v>
      </c>
      <c r="C15" s="34">
        <f>VLOOKUP($B15,Plagioclase!$AV$7:$BA$478,2,FALSE)</f>
        <v>0.39846448065830131</v>
      </c>
      <c r="D15" s="34">
        <f>VLOOKUP($B15,Plagioclase!$AV$7:$BA$478,3,FALSE)</f>
        <v>0.5749237689804918</v>
      </c>
      <c r="E15" s="34">
        <f>VLOOKUP($B15,Plagioclase!$AV$7:$BA$478,5,FALSE)</f>
        <v>3</v>
      </c>
      <c r="F15" s="29" t="str">
        <f>VLOOKUP($B15,Plagioclase!$AV$7:$BA$478,6,FALSE)</f>
        <v>26dHP01.6</v>
      </c>
      <c r="G15" s="31">
        <f t="shared" si="0"/>
        <v>856.64858593811562</v>
      </c>
      <c r="H15" s="31">
        <f t="shared" si="0"/>
        <v>847.41479739492604</v>
      </c>
      <c r="I15" s="31">
        <f t="shared" si="0"/>
        <v>862.17269840465349</v>
      </c>
      <c r="J15" s="31">
        <f t="shared" si="0"/>
        <v>767.39159837499767</v>
      </c>
      <c r="K15" s="31">
        <f t="shared" si="1"/>
        <v>871.66972170746851</v>
      </c>
      <c r="L15" s="31">
        <f t="shared" si="1"/>
        <v>850.00068899159749</v>
      </c>
      <c r="M15" s="31">
        <f t="shared" si="1"/>
        <v>857.73027854664531</v>
      </c>
      <c r="N15" s="31">
        <f t="shared" si="2"/>
        <v>865.16331265087672</v>
      </c>
      <c r="O15" s="31">
        <f t="shared" si="2"/>
        <v>855.51929637140131</v>
      </c>
      <c r="P15" s="31">
        <f t="shared" si="2"/>
        <v>862.17608872796802</v>
      </c>
      <c r="Q15" s="31">
        <f t="shared" si="1"/>
        <v>773.99674850405825</v>
      </c>
      <c r="R15" s="31">
        <f t="shared" si="1"/>
        <v>783.09144527417618</v>
      </c>
      <c r="S15" s="31">
        <f t="shared" si="1"/>
        <v>802.84936580547389</v>
      </c>
      <c r="T15" s="31">
        <f t="shared" si="1"/>
        <v>790.37696071938933</v>
      </c>
      <c r="U15" s="31">
        <f t="shared" si="1"/>
        <v>840.43466069926205</v>
      </c>
      <c r="V15" s="31">
        <f t="shared" si="1"/>
        <v>829.14266662325406</v>
      </c>
      <c r="W15" s="31">
        <f t="shared" si="1"/>
        <v>823.60301422163081</v>
      </c>
      <c r="X15" s="31">
        <f t="shared" si="1"/>
        <v>838.82996608654514</v>
      </c>
      <c r="Y15" s="31">
        <f t="shared" si="3"/>
        <v>856.05227531719595</v>
      </c>
      <c r="Z15" s="31">
        <f t="shared" si="3"/>
        <v>841.01803414932363</v>
      </c>
      <c r="AA15" s="31">
        <f t="shared" si="3"/>
        <v>818.4577349731743</v>
      </c>
      <c r="AB15" s="31">
        <f t="shared" si="3"/>
        <v>772.13855726194072</v>
      </c>
      <c r="AC15" s="31">
        <f t="shared" si="4"/>
        <v>777.51543941550437</v>
      </c>
      <c r="AD15" s="31">
        <f t="shared" si="4"/>
        <v>769.76025196674834</v>
      </c>
      <c r="AE15" s="31">
        <f t="shared" si="4"/>
        <v>787.09620325975072</v>
      </c>
      <c r="AF15" s="31">
        <f t="shared" si="4"/>
        <v>782.87045327536487</v>
      </c>
      <c r="AG15" s="31">
        <f t="shared" si="4"/>
        <v>768.41385354047009</v>
      </c>
      <c r="AH15" s="31">
        <f t="shared" si="4"/>
        <v>766.56670988684471</v>
      </c>
      <c r="AI15" s="31">
        <f t="shared" si="4"/>
        <v>773.39537791141277</v>
      </c>
      <c r="AJ15" s="31">
        <f t="shared" si="4"/>
        <v>773.01029815516529</v>
      </c>
    </row>
    <row r="16" spans="1:36">
      <c r="A16" s="54"/>
      <c r="B16" s="37">
        <v>16169</v>
      </c>
      <c r="C16" s="34">
        <f>VLOOKUP($B16,Plagioclase!$AV$7:$BA$478,2,FALSE)</f>
        <v>0.25848703062735284</v>
      </c>
      <c r="D16" s="34">
        <f>VLOOKUP($B16,Plagioclase!$AV$7:$BA$478,3,FALSE)</f>
        <v>0.69198760076402566</v>
      </c>
      <c r="E16" s="34">
        <f>VLOOKUP($B16,Plagioclase!$AV$7:$BA$478,5,FALSE)</f>
        <v>3</v>
      </c>
      <c r="F16" s="29" t="str">
        <f>VLOOKUP($B16,Plagioclase!$AV$7:$BA$478,6,FALSE)</f>
        <v>26dHP02.2</v>
      </c>
      <c r="G16" s="31">
        <f t="shared" si="0"/>
        <v>801.92667933101109</v>
      </c>
      <c r="H16" s="31">
        <f t="shared" si="0"/>
        <v>793.46904142034271</v>
      </c>
      <c r="I16" s="31">
        <f t="shared" si="0"/>
        <v>806.88590243186752</v>
      </c>
      <c r="J16" s="31">
        <f t="shared" si="0"/>
        <v>712.72914947023617</v>
      </c>
      <c r="K16" s="31">
        <f t="shared" si="1"/>
        <v>815.5204278682196</v>
      </c>
      <c r="L16" s="31">
        <f t="shared" si="1"/>
        <v>794.72726754224698</v>
      </c>
      <c r="M16" s="31">
        <f t="shared" si="1"/>
        <v>803.81991420259635</v>
      </c>
      <c r="N16" s="31">
        <f t="shared" si="2"/>
        <v>810.1130305666494</v>
      </c>
      <c r="O16" s="31">
        <f t="shared" si="2"/>
        <v>801.44362507951007</v>
      </c>
      <c r="P16" s="31">
        <f t="shared" si="2"/>
        <v>807.02164473727623</v>
      </c>
      <c r="Q16" s="31">
        <f t="shared" si="1"/>
        <v>720.12113822606</v>
      </c>
      <c r="R16" s="31">
        <f t="shared" si="1"/>
        <v>727.97224730518576</v>
      </c>
      <c r="S16" s="31">
        <f t="shared" si="1"/>
        <v>747.98746826418164</v>
      </c>
      <c r="T16" s="31">
        <f t="shared" si="1"/>
        <v>736.40840506733207</v>
      </c>
      <c r="U16" s="31">
        <f t="shared" si="1"/>
        <v>787.98210195223089</v>
      </c>
      <c r="V16" s="31">
        <f t="shared" si="1"/>
        <v>774.93681912475051</v>
      </c>
      <c r="W16" s="31">
        <f t="shared" si="1"/>
        <v>769.29481853564437</v>
      </c>
      <c r="X16" s="31">
        <f t="shared" si="1"/>
        <v>783.63229328064051</v>
      </c>
      <c r="Y16" s="31">
        <f t="shared" si="3"/>
        <v>800.86944162522434</v>
      </c>
      <c r="Z16" s="31">
        <f t="shared" si="3"/>
        <v>786.43040427015501</v>
      </c>
      <c r="AA16" s="31">
        <f t="shared" si="3"/>
        <v>765.26144315885256</v>
      </c>
      <c r="AB16" s="31">
        <f t="shared" si="3"/>
        <v>718.75893113753625</v>
      </c>
      <c r="AC16" s="31">
        <f t="shared" si="4"/>
        <v>724.51592971626701</v>
      </c>
      <c r="AD16" s="31">
        <f t="shared" si="4"/>
        <v>716.02693511868995</v>
      </c>
      <c r="AE16" s="31">
        <f t="shared" si="4"/>
        <v>733.81694405521</v>
      </c>
      <c r="AF16" s="31">
        <f t="shared" si="4"/>
        <v>730.18310399651523</v>
      </c>
      <c r="AG16" s="31">
        <f t="shared" si="4"/>
        <v>715.73471764042552</v>
      </c>
      <c r="AH16" s="31">
        <f t="shared" si="4"/>
        <v>712.90598834334651</v>
      </c>
      <c r="AI16" s="31">
        <f t="shared" si="4"/>
        <v>720.06290163619155</v>
      </c>
      <c r="AJ16" s="31">
        <f t="shared" si="4"/>
        <v>719.79134437367884</v>
      </c>
    </row>
    <row r="17" spans="1:36">
      <c r="A17" s="54"/>
      <c r="B17" s="37">
        <v>15205</v>
      </c>
      <c r="C17" s="34">
        <f>VLOOKUP($B17,Plagioclase!$AV$7:$BA$478,2,FALSE)</f>
        <v>0.32515427018506954</v>
      </c>
      <c r="D17" s="34">
        <f>VLOOKUP($B17,Plagioclase!$AV$7:$BA$478,3,FALSE)</f>
        <v>0.63511201670339423</v>
      </c>
      <c r="E17" s="34">
        <f>VLOOKUP($B17,Plagioclase!$AV$7:$BA$478,5,FALSE)</f>
        <v>3</v>
      </c>
      <c r="F17" s="29" t="str">
        <f>VLOOKUP($B17,Plagioclase!$AV$7:$BA$478,6,FALSE)</f>
        <v>26eHP01.1</v>
      </c>
      <c r="G17" s="31">
        <f t="shared" si="0"/>
        <v>829.1546746166963</v>
      </c>
      <c r="H17" s="31">
        <f t="shared" si="0"/>
        <v>820.31500653809337</v>
      </c>
      <c r="I17" s="31">
        <f t="shared" si="0"/>
        <v>834.39116545874947</v>
      </c>
      <c r="J17" s="31">
        <f t="shared" si="0"/>
        <v>739.8685890966957</v>
      </c>
      <c r="K17" s="31">
        <f t="shared" si="1"/>
        <v>843.44962806536671</v>
      </c>
      <c r="L17" s="31">
        <f t="shared" si="1"/>
        <v>822.21838194975442</v>
      </c>
      <c r="M17" s="31">
        <f t="shared" si="1"/>
        <v>830.65492585236473</v>
      </c>
      <c r="N17" s="31">
        <f t="shared" si="2"/>
        <v>837.50548340934745</v>
      </c>
      <c r="O17" s="31">
        <f t="shared" si="2"/>
        <v>828.35751659152913</v>
      </c>
      <c r="P17" s="31">
        <f t="shared" si="2"/>
        <v>834.46275412625744</v>
      </c>
      <c r="Q17" s="31">
        <f t="shared" si="1"/>
        <v>746.88530210286865</v>
      </c>
      <c r="R17" s="31">
        <f t="shared" si="1"/>
        <v>755.34352500031162</v>
      </c>
      <c r="S17" s="31">
        <f t="shared" si="1"/>
        <v>775.24828963315883</v>
      </c>
      <c r="T17" s="31">
        <f t="shared" si="1"/>
        <v>763.2287662249804</v>
      </c>
      <c r="U17" s="31">
        <f t="shared" si="1"/>
        <v>814.09928872822832</v>
      </c>
      <c r="V17" s="31">
        <f t="shared" si="1"/>
        <v>801.89748996438163</v>
      </c>
      <c r="W17" s="31">
        <f t="shared" si="1"/>
        <v>796.30151488133777</v>
      </c>
      <c r="X17" s="31">
        <f t="shared" si="1"/>
        <v>811.07954506720023</v>
      </c>
      <c r="Y17" s="31">
        <f t="shared" si="3"/>
        <v>828.32049055707455</v>
      </c>
      <c r="Z17" s="31">
        <f t="shared" si="3"/>
        <v>813.58356874597609</v>
      </c>
      <c r="AA17" s="31">
        <f t="shared" si="3"/>
        <v>791.72618699235443</v>
      </c>
      <c r="AB17" s="31">
        <f t="shared" si="3"/>
        <v>745.28208898874846</v>
      </c>
      <c r="AC17" s="31">
        <f t="shared" si="4"/>
        <v>750.85891358952256</v>
      </c>
      <c r="AD17" s="31">
        <f t="shared" si="4"/>
        <v>742.7193832992383</v>
      </c>
      <c r="AE17" s="31">
        <f t="shared" si="4"/>
        <v>760.30166773008193</v>
      </c>
      <c r="AF17" s="31">
        <f t="shared" si="4"/>
        <v>756.37857730114035</v>
      </c>
      <c r="AG17" s="31">
        <f t="shared" si="4"/>
        <v>741.91661469348401</v>
      </c>
      <c r="AH17" s="31">
        <f t="shared" si="4"/>
        <v>739.56112345992165</v>
      </c>
      <c r="AI17" s="31">
        <f t="shared" si="4"/>
        <v>746.56412633742389</v>
      </c>
      <c r="AJ17" s="31">
        <f t="shared" si="4"/>
        <v>746.23741726202809</v>
      </c>
    </row>
    <row r="18" spans="1:36">
      <c r="A18" s="1"/>
      <c r="B18" s="37">
        <v>15206</v>
      </c>
      <c r="C18" s="34">
        <f>VLOOKUP($B18,Plagioclase!$AV$7:$BA$478,2,FALSE)</f>
        <v>0.55414220631802724</v>
      </c>
      <c r="D18" s="34">
        <f>VLOOKUP($B18,Plagioclase!$AV$7:$BA$478,3,FALSE)</f>
        <v>0.42863213702991532</v>
      </c>
      <c r="E18" s="34">
        <f>VLOOKUP($B18,Plagioclase!$AV$7:$BA$478,5,FALSE)</f>
        <v>1.2871712887179676</v>
      </c>
      <c r="F18" s="29" t="str">
        <f>VLOOKUP($B18,Plagioclase!$AV$7:$BA$478,6,FALSE)</f>
        <v>26eHP01.2</v>
      </c>
      <c r="G18" s="31">
        <f t="shared" ref="G18:J24" si="5">(78.44+$E18-33.6*G$7-(66.8-2.92*G$11)*G$5+78.5*G$4+9.4*G$6)/(0.0721-$C$6*LN((27*G$7*G$3*$C18)/(64*G$8*G$4*$D18)))-273.15</f>
        <v>899.90888189448185</v>
      </c>
      <c r="H18" s="31">
        <f t="shared" si="5"/>
        <v>889.88849979162626</v>
      </c>
      <c r="I18" s="31">
        <f t="shared" si="5"/>
        <v>905.99301170519846</v>
      </c>
      <c r="J18" s="31">
        <f t="shared" si="5"/>
        <v>809.45611814332949</v>
      </c>
      <c r="K18" s="31">
        <f t="shared" ref="K18:X24" si="6">(78.44+$E18-33.6*K$7-(66.8-2.92*K$11)*K$5+78.5*K$4+9.4*K$6)/(0.0721-$C$6*LN((27*K$7*K$3*$C18)/(64*K$8*K$4*$D18)))-273.15</f>
        <v>916.35998345022438</v>
      </c>
      <c r="L18" s="31">
        <f t="shared" si="6"/>
        <v>893.66563365745367</v>
      </c>
      <c r="M18" s="31">
        <f t="shared" si="6"/>
        <v>900.29351052329741</v>
      </c>
      <c r="N18" s="31">
        <f t="shared" si="2"/>
        <v>908.8106028222893</v>
      </c>
      <c r="O18" s="31">
        <f t="shared" si="2"/>
        <v>898.20125588775738</v>
      </c>
      <c r="P18" s="31">
        <f t="shared" si="2"/>
        <v>905.88019604355634</v>
      </c>
      <c r="Q18" s="31">
        <f t="shared" si="6"/>
        <v>815.47660464527837</v>
      </c>
      <c r="R18" s="31">
        <f t="shared" si="6"/>
        <v>825.76743627950179</v>
      </c>
      <c r="S18" s="31">
        <f t="shared" si="6"/>
        <v>845.56647342520489</v>
      </c>
      <c r="T18" s="31">
        <f t="shared" si="6"/>
        <v>832.15744405840894</v>
      </c>
      <c r="U18" s="31">
        <f t="shared" si="6"/>
        <v>881.52949284470662</v>
      </c>
      <c r="V18" s="31">
        <f t="shared" si="6"/>
        <v>871.62295757698587</v>
      </c>
      <c r="W18" s="31">
        <f t="shared" si="6"/>
        <v>866.10385141020413</v>
      </c>
      <c r="X18" s="31">
        <f t="shared" si="6"/>
        <v>882.2937704257871</v>
      </c>
      <c r="Y18" s="31">
        <f t="shared" ref="Y18:AB24" si="7">(78.44+$E18-33.6*Y$7-(66.8-2.92*Y$11)*Y$5+78.5*Y$4+9.4*Y$6)/(0.0721-$C$6*LN((27*Y$7*Y$3*$C18)/(64*Y$8*Y$4*$D18)))-273.15</f>
        <v>899.70957029987733</v>
      </c>
      <c r="Z18" s="31">
        <f t="shared" si="7"/>
        <v>883.97534834929331</v>
      </c>
      <c r="AA18" s="31">
        <f t="shared" si="7"/>
        <v>859.93116410365121</v>
      </c>
      <c r="AB18" s="31">
        <f t="shared" si="7"/>
        <v>813.16765722090747</v>
      </c>
      <c r="AC18" s="31">
        <f t="shared" ref="AC18:AJ24" si="8">(78.44+$E18-33.6*AC$7-(66.8-2.92*AC$11)*AC$5+78.5*AC$4+9.4*AC$6)/(0.0721-$C$6*LN((27*AC$7*AC$3*$C18)/(64*AC$8*AC$4*$D18)))-273.15</f>
        <v>818.29186676890401</v>
      </c>
      <c r="AD18" s="31">
        <f t="shared" si="8"/>
        <v>811.05978630067091</v>
      </c>
      <c r="AE18" s="31">
        <f t="shared" si="8"/>
        <v>828.24015220516787</v>
      </c>
      <c r="AF18" s="31">
        <f t="shared" si="8"/>
        <v>823.45100785799525</v>
      </c>
      <c r="AG18" s="31">
        <f t="shared" si="8"/>
        <v>808.7933271408582</v>
      </c>
      <c r="AH18" s="31">
        <f t="shared" si="8"/>
        <v>807.75985547376774</v>
      </c>
      <c r="AI18" s="31">
        <f t="shared" si="8"/>
        <v>814.40122947778048</v>
      </c>
      <c r="AJ18" s="31">
        <f t="shared" si="8"/>
        <v>813.91370027214441</v>
      </c>
    </row>
    <row r="19" spans="1:36">
      <c r="A19" s="1"/>
      <c r="B19" s="37">
        <v>15207</v>
      </c>
      <c r="C19" s="34">
        <f>VLOOKUP($B19,Plagioclase!$AV$7:$BA$478,2,FALSE)</f>
        <v>0.57140913836662277</v>
      </c>
      <c r="D19" s="34">
        <f>VLOOKUP($B19,Plagioclase!$AV$7:$BA$478,3,FALSE)</f>
        <v>0.41377383646475097</v>
      </c>
      <c r="E19" s="34">
        <f>VLOOKUP($B19,Plagioclase!$AV$7:$BA$478,5,FALSE)</f>
        <v>0.93057207515402318</v>
      </c>
      <c r="F19" s="29" t="str">
        <f>VLOOKUP($B19,Plagioclase!$AV$7:$BA$478,6,FALSE)</f>
        <v>26eHP01.3</v>
      </c>
      <c r="G19" s="31">
        <f t="shared" si="5"/>
        <v>902.920057551789</v>
      </c>
      <c r="H19" s="31">
        <f t="shared" si="5"/>
        <v>892.8220400891322</v>
      </c>
      <c r="I19" s="31">
        <f t="shared" si="5"/>
        <v>909.05758844643458</v>
      </c>
      <c r="J19" s="31">
        <f t="shared" si="5"/>
        <v>812.1833871217915</v>
      </c>
      <c r="K19" s="31">
        <f t="shared" si="6"/>
        <v>919.50963955197096</v>
      </c>
      <c r="L19" s="31">
        <f t="shared" si="6"/>
        <v>896.69417905189778</v>
      </c>
      <c r="M19" s="31">
        <f t="shared" si="6"/>
        <v>903.25404177414532</v>
      </c>
      <c r="N19" s="31">
        <f t="shared" si="2"/>
        <v>911.86784395485677</v>
      </c>
      <c r="O19" s="31">
        <f t="shared" si="2"/>
        <v>901.16645796436876</v>
      </c>
      <c r="P19" s="31">
        <f t="shared" si="2"/>
        <v>908.93593412486723</v>
      </c>
      <c r="Q19" s="31">
        <f t="shared" si="6"/>
        <v>818.17788935457304</v>
      </c>
      <c r="R19" s="31">
        <f t="shared" si="6"/>
        <v>828.57648365737543</v>
      </c>
      <c r="S19" s="31">
        <f t="shared" si="6"/>
        <v>848.42403263218455</v>
      </c>
      <c r="T19" s="31">
        <f t="shared" si="6"/>
        <v>834.91845876589616</v>
      </c>
      <c r="U19" s="31">
        <f t="shared" si="6"/>
        <v>884.34603692639405</v>
      </c>
      <c r="V19" s="31">
        <f t="shared" si="6"/>
        <v>874.51983228463257</v>
      </c>
      <c r="W19" s="31">
        <f t="shared" si="6"/>
        <v>868.99063272356386</v>
      </c>
      <c r="X19" s="31">
        <f t="shared" si="6"/>
        <v>885.28431571690737</v>
      </c>
      <c r="Y19" s="31">
        <f t="shared" si="7"/>
        <v>902.74966268029095</v>
      </c>
      <c r="Z19" s="31">
        <f t="shared" si="7"/>
        <v>886.93235000562947</v>
      </c>
      <c r="AA19" s="31">
        <f t="shared" si="7"/>
        <v>862.73111698616674</v>
      </c>
      <c r="AB19" s="31">
        <f t="shared" si="7"/>
        <v>815.83228862733461</v>
      </c>
      <c r="AC19" s="31">
        <f t="shared" si="8"/>
        <v>820.9509804632022</v>
      </c>
      <c r="AD19" s="31">
        <f t="shared" si="8"/>
        <v>813.73809038213983</v>
      </c>
      <c r="AE19" s="31">
        <f t="shared" si="8"/>
        <v>830.9476392759467</v>
      </c>
      <c r="AF19" s="31">
        <f t="shared" si="8"/>
        <v>826.10833628324042</v>
      </c>
      <c r="AG19" s="31">
        <f t="shared" si="8"/>
        <v>811.40289295742912</v>
      </c>
      <c r="AH19" s="31">
        <f t="shared" si="8"/>
        <v>810.42291672616705</v>
      </c>
      <c r="AI19" s="31">
        <f t="shared" si="8"/>
        <v>817.06715870153209</v>
      </c>
      <c r="AJ19" s="31">
        <f t="shared" si="8"/>
        <v>816.57140194873034</v>
      </c>
    </row>
    <row r="20" spans="1:36">
      <c r="A20" s="1"/>
      <c r="B20" s="37">
        <v>15208</v>
      </c>
      <c r="C20" s="34">
        <f>VLOOKUP($B20,Plagioclase!$AV$7:$BA$478,2,FALSE)</f>
        <v>0.54682468134140139</v>
      </c>
      <c r="D20" s="34">
        <f>VLOOKUP($B20,Plagioclase!$AV$7:$BA$478,3,FALSE)</f>
        <v>0.43655017976961641</v>
      </c>
      <c r="E20" s="34">
        <f>VLOOKUP($B20,Plagioclase!$AV$7:$BA$478,5,FALSE)</f>
        <v>1.4772043144707938</v>
      </c>
      <c r="F20" s="29" t="str">
        <f>VLOOKUP($B20,Plagioclase!$AV$7:$BA$478,6,FALSE)</f>
        <v>26eHP01.4</v>
      </c>
      <c r="G20" s="31">
        <f t="shared" si="5"/>
        <v>898.67876930900582</v>
      </c>
      <c r="H20" s="31">
        <f t="shared" si="5"/>
        <v>888.69384321327277</v>
      </c>
      <c r="I20" s="31">
        <f t="shared" si="5"/>
        <v>904.73880542281529</v>
      </c>
      <c r="J20" s="31">
        <f t="shared" si="5"/>
        <v>808.38076016679008</v>
      </c>
      <c r="K20" s="31">
        <f t="shared" si="6"/>
        <v>915.06706887989947</v>
      </c>
      <c r="L20" s="31">
        <f t="shared" si="6"/>
        <v>892.43104419080862</v>
      </c>
      <c r="M20" s="31">
        <f t="shared" si="6"/>
        <v>899.08376313737483</v>
      </c>
      <c r="N20" s="31">
        <f t="shared" si="2"/>
        <v>907.5582529973434</v>
      </c>
      <c r="O20" s="31">
        <f t="shared" si="2"/>
        <v>896.99044672045522</v>
      </c>
      <c r="P20" s="31">
        <f t="shared" si="2"/>
        <v>904.62962149713655</v>
      </c>
      <c r="Q20" s="31">
        <f t="shared" si="6"/>
        <v>814.40828574285808</v>
      </c>
      <c r="R20" s="31">
        <f t="shared" si="6"/>
        <v>824.65155822984536</v>
      </c>
      <c r="S20" s="31">
        <f t="shared" si="6"/>
        <v>844.42171091929333</v>
      </c>
      <c r="T20" s="31">
        <f t="shared" si="6"/>
        <v>831.05733540880613</v>
      </c>
      <c r="U20" s="31">
        <f t="shared" si="6"/>
        <v>880.38541369386724</v>
      </c>
      <c r="V20" s="31">
        <f t="shared" si="6"/>
        <v>870.45071706887245</v>
      </c>
      <c r="W20" s="31">
        <f t="shared" si="6"/>
        <v>864.93806127236337</v>
      </c>
      <c r="X20" s="31">
        <f t="shared" si="6"/>
        <v>881.07929889715899</v>
      </c>
      <c r="Y20" s="31">
        <f t="shared" si="7"/>
        <v>898.46782656458265</v>
      </c>
      <c r="Z20" s="31">
        <f t="shared" si="7"/>
        <v>882.77367346460994</v>
      </c>
      <c r="AA20" s="31">
        <f t="shared" si="7"/>
        <v>858.80280811326622</v>
      </c>
      <c r="AB20" s="31">
        <f t="shared" si="7"/>
        <v>812.11487212643726</v>
      </c>
      <c r="AC20" s="31">
        <f t="shared" si="8"/>
        <v>817.23867397671631</v>
      </c>
      <c r="AD20" s="31">
        <f t="shared" si="8"/>
        <v>810.0027297257119</v>
      </c>
      <c r="AE20" s="31">
        <f t="shared" si="8"/>
        <v>827.16306089885313</v>
      </c>
      <c r="AF20" s="31">
        <f t="shared" si="8"/>
        <v>822.39599096357222</v>
      </c>
      <c r="AG20" s="31">
        <f t="shared" si="8"/>
        <v>807.76430449331644</v>
      </c>
      <c r="AH20" s="31">
        <f t="shared" si="8"/>
        <v>806.71046549732148</v>
      </c>
      <c r="AI20" s="31">
        <f t="shared" si="8"/>
        <v>813.34731084939165</v>
      </c>
      <c r="AJ20" s="31">
        <f t="shared" si="8"/>
        <v>812.86325120804543</v>
      </c>
    </row>
    <row r="21" spans="1:36">
      <c r="A21" s="1"/>
      <c r="B21" s="37">
        <v>15209</v>
      </c>
      <c r="C21" s="34">
        <f>VLOOKUP($B21,Plagioclase!$AV$7:$BA$478,2,FALSE)</f>
        <v>0.51297554980024096</v>
      </c>
      <c r="D21" s="34">
        <f>VLOOKUP($B21,Plagioclase!$AV$7:$BA$478,3,FALSE)</f>
        <v>0.4680237904836127</v>
      </c>
      <c r="E21" s="34">
        <f>VLOOKUP($B21,Plagioclase!$AV$7:$BA$478,5,FALSE)</f>
        <v>2.2325709716067048</v>
      </c>
      <c r="F21" s="29" t="str">
        <f>VLOOKUP($B21,Plagioclase!$AV$7:$BA$478,6,FALSE)</f>
        <v>26eHP01.5</v>
      </c>
      <c r="G21" s="31">
        <f t="shared" si="5"/>
        <v>893.06413023795915</v>
      </c>
      <c r="H21" s="31">
        <f t="shared" si="5"/>
        <v>883.22967850342013</v>
      </c>
      <c r="I21" s="31">
        <f t="shared" si="5"/>
        <v>899.02134243306011</v>
      </c>
      <c r="J21" s="31">
        <f t="shared" si="5"/>
        <v>803.37113449766014</v>
      </c>
      <c r="K21" s="31">
        <f t="shared" si="6"/>
        <v>909.18510807990208</v>
      </c>
      <c r="L21" s="31">
        <f t="shared" si="6"/>
        <v>886.79044076204616</v>
      </c>
      <c r="M21" s="31">
        <f t="shared" si="6"/>
        <v>893.56115131982835</v>
      </c>
      <c r="N21" s="31">
        <f t="shared" si="2"/>
        <v>901.85166881204748</v>
      </c>
      <c r="O21" s="31">
        <f t="shared" si="2"/>
        <v>891.46115607494687</v>
      </c>
      <c r="P21" s="31">
        <f t="shared" si="2"/>
        <v>898.92838088072529</v>
      </c>
      <c r="Q21" s="31">
        <f t="shared" si="6"/>
        <v>809.43849747907905</v>
      </c>
      <c r="R21" s="31">
        <f t="shared" si="6"/>
        <v>819.47673596688003</v>
      </c>
      <c r="S21" s="31">
        <f t="shared" si="6"/>
        <v>839.1382346405627</v>
      </c>
      <c r="T21" s="31">
        <f t="shared" si="6"/>
        <v>825.96206365629666</v>
      </c>
      <c r="U21" s="31">
        <f t="shared" si="6"/>
        <v>875.14182046538406</v>
      </c>
      <c r="V21" s="31">
        <f t="shared" si="6"/>
        <v>865.07013760139864</v>
      </c>
      <c r="W21" s="31">
        <f t="shared" si="6"/>
        <v>859.58109467605971</v>
      </c>
      <c r="X21" s="31">
        <f t="shared" si="6"/>
        <v>875.51845254205671</v>
      </c>
      <c r="Y21" s="31">
        <f t="shared" si="7"/>
        <v>892.80066145114608</v>
      </c>
      <c r="Z21" s="31">
        <f t="shared" si="7"/>
        <v>877.27222131612837</v>
      </c>
      <c r="AA21" s="31">
        <f t="shared" si="7"/>
        <v>853.60923683196381</v>
      </c>
      <c r="AB21" s="31">
        <f t="shared" si="7"/>
        <v>807.21346240182481</v>
      </c>
      <c r="AC21" s="31">
        <f t="shared" si="8"/>
        <v>812.34162457686568</v>
      </c>
      <c r="AD21" s="31">
        <f t="shared" si="8"/>
        <v>805.07910548318944</v>
      </c>
      <c r="AE21" s="31">
        <f t="shared" si="8"/>
        <v>822.16837626423137</v>
      </c>
      <c r="AF21" s="31">
        <f t="shared" si="8"/>
        <v>817.49669426510297</v>
      </c>
      <c r="AG21" s="31">
        <f t="shared" si="8"/>
        <v>802.96658013313197</v>
      </c>
      <c r="AH21" s="31">
        <f t="shared" si="8"/>
        <v>801.81788418581334</v>
      </c>
      <c r="AI21" s="31">
        <f t="shared" si="8"/>
        <v>808.44221806799885</v>
      </c>
      <c r="AJ21" s="31">
        <f t="shared" si="8"/>
        <v>807.97347354799751</v>
      </c>
    </row>
    <row r="22" spans="1:36">
      <c r="A22" s="1"/>
      <c r="B22" s="37">
        <v>15210</v>
      </c>
      <c r="C22" s="34">
        <f>VLOOKUP($B22,Plagioclase!$AV$7:$BA$478,2,FALSE)</f>
        <v>0.27275981885831463</v>
      </c>
      <c r="D22" s="34">
        <f>VLOOKUP($B22,Plagioclase!$AV$7:$BA$478,3,FALSE)</f>
        <v>0.67759226435650954</v>
      </c>
      <c r="E22" s="34">
        <f>VLOOKUP($B22,Plagioclase!$AV$7:$BA$478,5,FALSE)</f>
        <v>3</v>
      </c>
      <c r="F22" s="29" t="str">
        <f>VLOOKUP($B22,Plagioclase!$AV$7:$BA$478,6,FALSE)</f>
        <v>26eHP01.6</v>
      </c>
      <c r="G22" s="31">
        <f t="shared" si="5"/>
        <v>808.26258389890938</v>
      </c>
      <c r="H22" s="31">
        <f t="shared" si="5"/>
        <v>799.71678393428272</v>
      </c>
      <c r="I22" s="31">
        <f t="shared" si="5"/>
        <v>813.28565414865386</v>
      </c>
      <c r="J22" s="31">
        <f t="shared" si="5"/>
        <v>719.03405955453502</v>
      </c>
      <c r="K22" s="31">
        <f t="shared" si="6"/>
        <v>822.01790739527235</v>
      </c>
      <c r="L22" s="31">
        <f t="shared" si="6"/>
        <v>801.12240309702077</v>
      </c>
      <c r="M22" s="31">
        <f t="shared" si="6"/>
        <v>810.06628601724617</v>
      </c>
      <c r="N22" s="31">
        <f t="shared" si="2"/>
        <v>816.48739290846595</v>
      </c>
      <c r="O22" s="31">
        <f t="shared" si="2"/>
        <v>807.70775513657111</v>
      </c>
      <c r="P22" s="31">
        <f t="shared" si="2"/>
        <v>813.40676864285467</v>
      </c>
      <c r="Q22" s="31">
        <f t="shared" si="6"/>
        <v>726.34157393667999</v>
      </c>
      <c r="R22" s="31">
        <f t="shared" si="6"/>
        <v>734.33190814931629</v>
      </c>
      <c r="S22" s="31">
        <f t="shared" si="6"/>
        <v>754.32451459648462</v>
      </c>
      <c r="T22" s="31">
        <f t="shared" si="6"/>
        <v>742.64366851255659</v>
      </c>
      <c r="U22" s="31">
        <f t="shared" si="6"/>
        <v>794.06277241268128</v>
      </c>
      <c r="V22" s="31">
        <f t="shared" si="6"/>
        <v>781.20865380578391</v>
      </c>
      <c r="W22" s="31">
        <f t="shared" si="6"/>
        <v>775.5764983149769</v>
      </c>
      <c r="X22" s="31">
        <f t="shared" si="6"/>
        <v>790.01613268500557</v>
      </c>
      <c r="Y22" s="31">
        <f t="shared" si="7"/>
        <v>807.25613860376382</v>
      </c>
      <c r="Z22" s="31">
        <f t="shared" si="7"/>
        <v>792.74747869338455</v>
      </c>
      <c r="AA22" s="31">
        <f t="shared" si="7"/>
        <v>771.41900675150976</v>
      </c>
      <c r="AB22" s="31">
        <f t="shared" si="7"/>
        <v>724.92430220081997</v>
      </c>
      <c r="AC22" s="31">
        <f t="shared" si="8"/>
        <v>730.6409523311346</v>
      </c>
      <c r="AD22" s="31">
        <f t="shared" si="8"/>
        <v>722.23052195044045</v>
      </c>
      <c r="AE22" s="31">
        <f t="shared" si="8"/>
        <v>739.97539758985533</v>
      </c>
      <c r="AF22" s="31">
        <f t="shared" si="8"/>
        <v>736.27517796000723</v>
      </c>
      <c r="AG22" s="31">
        <f t="shared" si="8"/>
        <v>721.8219600837964</v>
      </c>
      <c r="AH22" s="31">
        <f t="shared" si="8"/>
        <v>719.10068301357603</v>
      </c>
      <c r="AI22" s="31">
        <f t="shared" si="8"/>
        <v>726.22343766176925</v>
      </c>
      <c r="AJ22" s="31">
        <f t="shared" si="8"/>
        <v>725.93928142917559</v>
      </c>
    </row>
    <row r="23" spans="1:36">
      <c r="B23" s="37">
        <v>15217</v>
      </c>
      <c r="C23" s="34">
        <f>VLOOKUP($B23,Plagioclase!$AV$7:$BA$478,2,FALSE)</f>
        <v>0.30284364453815554</v>
      </c>
      <c r="D23" s="34">
        <f>VLOOKUP($B23,Plagioclase!$AV$7:$BA$478,3,FALSE)</f>
        <v>0.65239841730816983</v>
      </c>
      <c r="E23" s="34">
        <f>VLOOKUP($B23,Plagioclase!$AV$7:$BA$478,5,FALSE)</f>
        <v>3</v>
      </c>
      <c r="F23" s="29" t="str">
        <f>VLOOKUP($B23,Plagioclase!$AV$7:$BA$478,6,FALSE)</f>
        <v>26hHP01.1</v>
      </c>
      <c r="G23" s="31">
        <f t="shared" si="5"/>
        <v>820.54857455160629</v>
      </c>
      <c r="H23" s="31">
        <f t="shared" si="5"/>
        <v>811.83054743414925</v>
      </c>
      <c r="I23" s="31">
        <f t="shared" si="5"/>
        <v>825.69661356796666</v>
      </c>
      <c r="J23" s="31">
        <f t="shared" si="5"/>
        <v>731.27789058756343</v>
      </c>
      <c r="K23" s="31">
        <f t="shared" si="6"/>
        <v>834.61996404764466</v>
      </c>
      <c r="L23" s="31">
        <f t="shared" si="6"/>
        <v>813.52669895488236</v>
      </c>
      <c r="M23" s="31">
        <f t="shared" si="6"/>
        <v>822.17535491444039</v>
      </c>
      <c r="N23" s="31">
        <f t="shared" si="2"/>
        <v>828.84763093303002</v>
      </c>
      <c r="O23" s="31">
        <f t="shared" si="2"/>
        <v>819.85229114737342</v>
      </c>
      <c r="P23" s="31">
        <f t="shared" si="2"/>
        <v>825.78884362501287</v>
      </c>
      <c r="Q23" s="31">
        <f t="shared" si="6"/>
        <v>738.41667717748624</v>
      </c>
      <c r="R23" s="31">
        <f t="shared" si="6"/>
        <v>746.68052162671518</v>
      </c>
      <c r="S23" s="31">
        <f t="shared" si="6"/>
        <v>766.6239435700785</v>
      </c>
      <c r="T23" s="31">
        <f t="shared" si="6"/>
        <v>754.74450102210915</v>
      </c>
      <c r="U23" s="31">
        <f t="shared" si="6"/>
        <v>805.84822028181372</v>
      </c>
      <c r="V23" s="31">
        <f t="shared" si="6"/>
        <v>793.37362745625444</v>
      </c>
      <c r="W23" s="31">
        <f t="shared" si="6"/>
        <v>787.76205718670451</v>
      </c>
      <c r="X23" s="31">
        <f t="shared" si="6"/>
        <v>802.40040640556924</v>
      </c>
      <c r="Y23" s="31">
        <f t="shared" si="7"/>
        <v>819.6425425568699</v>
      </c>
      <c r="Z23" s="31">
        <f t="shared" si="7"/>
        <v>804.99940487516085</v>
      </c>
      <c r="AA23" s="31">
        <f t="shared" si="7"/>
        <v>783.36044351656699</v>
      </c>
      <c r="AB23" s="31">
        <f t="shared" si="7"/>
        <v>736.89087304235272</v>
      </c>
      <c r="AC23" s="31">
        <f t="shared" si="8"/>
        <v>742.52655841979083</v>
      </c>
      <c r="AD23" s="31">
        <f t="shared" si="8"/>
        <v>734.27323100113324</v>
      </c>
      <c r="AE23" s="31">
        <f t="shared" si="8"/>
        <v>751.92505539166075</v>
      </c>
      <c r="AF23" s="31">
        <f t="shared" si="8"/>
        <v>748.09451483797613</v>
      </c>
      <c r="AG23" s="31">
        <f t="shared" si="8"/>
        <v>733.63481689712364</v>
      </c>
      <c r="AH23" s="31">
        <f t="shared" si="8"/>
        <v>731.1265108998208</v>
      </c>
      <c r="AI23" s="31">
        <f t="shared" si="8"/>
        <v>738.18016871065038</v>
      </c>
      <c r="AJ23" s="31">
        <f t="shared" si="8"/>
        <v>737.87117631246872</v>
      </c>
    </row>
    <row r="24" spans="1:36">
      <c r="B24" s="37">
        <v>15219</v>
      </c>
      <c r="C24" s="34">
        <f>VLOOKUP($B24,Plagioclase!$AV$7:$BA$478,2,FALSE)</f>
        <v>0.27651934310710996</v>
      </c>
      <c r="D24" s="34">
        <f>VLOOKUP($B24,Plagioclase!$AV$7:$BA$478,3,FALSE)</f>
        <v>0.67295363827925314</v>
      </c>
      <c r="E24" s="34">
        <f>VLOOKUP($B24,Plagioclase!$AV$7:$BA$478,5,FALSE)</f>
        <v>3</v>
      </c>
      <c r="F24" s="29" t="str">
        <f>VLOOKUP($B24,Plagioclase!$AV$7:$BA$478,6,FALSE)</f>
        <v>26hHP02.1</v>
      </c>
      <c r="G24" s="31">
        <f t="shared" si="5"/>
        <v>810.01782560179038</v>
      </c>
      <c r="H24" s="31">
        <f t="shared" si="5"/>
        <v>801.44752308146997</v>
      </c>
      <c r="I24" s="31">
        <f t="shared" si="5"/>
        <v>815.05865563831242</v>
      </c>
      <c r="J24" s="31">
        <f t="shared" si="5"/>
        <v>720.78182764047358</v>
      </c>
      <c r="K24" s="31">
        <f t="shared" si="6"/>
        <v>823.81808135914901</v>
      </c>
      <c r="L24" s="31">
        <f t="shared" si="6"/>
        <v>802.89426774266155</v>
      </c>
      <c r="M24" s="31">
        <f t="shared" si="6"/>
        <v>811.7965189859882</v>
      </c>
      <c r="N24" s="31">
        <f t="shared" si="2"/>
        <v>818.25326834825398</v>
      </c>
      <c r="O24" s="31">
        <f t="shared" si="2"/>
        <v>809.44297176571615</v>
      </c>
      <c r="P24" s="31">
        <f t="shared" si="2"/>
        <v>815.17568552719911</v>
      </c>
      <c r="Q24" s="31">
        <f t="shared" si="6"/>
        <v>728.06563484246715</v>
      </c>
      <c r="R24" s="31">
        <f t="shared" si="6"/>
        <v>736.09475805612908</v>
      </c>
      <c r="S24" s="31">
        <f t="shared" si="6"/>
        <v>756.08076898721299</v>
      </c>
      <c r="T24" s="31">
        <f t="shared" si="6"/>
        <v>744.37164969436401</v>
      </c>
      <c r="U24" s="31">
        <f t="shared" si="6"/>
        <v>795.74695761345754</v>
      </c>
      <c r="V24" s="31">
        <f t="shared" si="6"/>
        <v>782.94634609716525</v>
      </c>
      <c r="W24" s="31">
        <f t="shared" si="6"/>
        <v>777.31701074148498</v>
      </c>
      <c r="X24" s="31">
        <f t="shared" si="6"/>
        <v>791.78498474286459</v>
      </c>
      <c r="Y24" s="31">
        <f t="shared" si="7"/>
        <v>809.02557063809775</v>
      </c>
      <c r="Z24" s="31">
        <f t="shared" si="7"/>
        <v>794.49765587734703</v>
      </c>
      <c r="AA24" s="31">
        <f t="shared" si="7"/>
        <v>773.12492119966862</v>
      </c>
      <c r="AB24" s="31">
        <f t="shared" si="7"/>
        <v>726.63299959957942</v>
      </c>
      <c r="AC24" s="31">
        <f t="shared" si="8"/>
        <v>732.33830297495183</v>
      </c>
      <c r="AD24" s="31">
        <f t="shared" si="8"/>
        <v>723.94993240270992</v>
      </c>
      <c r="AE24" s="31">
        <f t="shared" si="8"/>
        <v>741.68196160211664</v>
      </c>
      <c r="AF24" s="31">
        <f t="shared" si="8"/>
        <v>737.96325327946658</v>
      </c>
      <c r="AG24" s="31">
        <f t="shared" si="8"/>
        <v>723.50887611046858</v>
      </c>
      <c r="AH24" s="31">
        <f t="shared" si="8"/>
        <v>720.81765248368583</v>
      </c>
      <c r="AI24" s="31">
        <f t="shared" si="8"/>
        <v>727.93076682382252</v>
      </c>
      <c r="AJ24" s="31">
        <f t="shared" si="8"/>
        <v>727.643095144418</v>
      </c>
    </row>
    <row r="25" spans="1:36">
      <c r="B25" s="37">
        <v>15220</v>
      </c>
      <c r="C25" s="34">
        <f>VLOOKUP($B25,Plagioclase!$AV$7:$BA$478,2,FALSE)</f>
        <v>0.22721464434751609</v>
      </c>
      <c r="D25" s="34">
        <f>VLOOKUP($B25,Plagioclase!$AV$7:$BA$478,3,FALSE)</f>
        <v>0.7118194098774826</v>
      </c>
      <c r="E25" s="34">
        <f>VLOOKUP($B25,Plagioclase!$AV$7:$BA$478,5,FALSE)</f>
        <v>3</v>
      </c>
      <c r="F25" s="29" t="str">
        <f>VLOOKUP($B25,Plagioclase!$AV$7:$BA$478,6,FALSE)</f>
        <v>26hHP02.2</v>
      </c>
      <c r="G25" s="31">
        <f t="shared" ref="G25:J25" si="9">(78.44+$E25-33.6*G$7-(66.8-2.92*G$11)*G$5+78.5*G$4+9.4*G$6)/(0.0721-$C$6*LN((27*G$7*G$3*$C25)/(64*G$8*G$4*$D25)))-273.15</f>
        <v>788.84414448483437</v>
      </c>
      <c r="H25" s="31">
        <f t="shared" si="9"/>
        <v>780.56713360163405</v>
      </c>
      <c r="I25" s="31">
        <f t="shared" si="9"/>
        <v>793.67282486457077</v>
      </c>
      <c r="J25" s="31">
        <f t="shared" si="9"/>
        <v>699.73048558824689</v>
      </c>
      <c r="K25" s="31">
        <f t="shared" ref="K25:X38" si="10">(78.44+$E25-33.6*K$7-(66.8-2.92*K$11)*K$5+78.5*K$4+9.4*K$6)/(0.0721-$C$6*LN((27*K$7*K$3*$C25)/(64*K$8*K$4*$D25)))-273.15</f>
        <v>802.10732697882361</v>
      </c>
      <c r="L25" s="31">
        <f t="shared" si="10"/>
        <v>781.52626011607674</v>
      </c>
      <c r="M25" s="31">
        <f t="shared" si="10"/>
        <v>790.91857369955653</v>
      </c>
      <c r="N25" s="31">
        <f t="shared" si="2"/>
        <v>796.95072477747442</v>
      </c>
      <c r="O25" s="31">
        <f t="shared" si="2"/>
        <v>788.50676372636565</v>
      </c>
      <c r="P25" s="31">
        <f t="shared" si="2"/>
        <v>793.83819427430979</v>
      </c>
      <c r="Q25" s="31">
        <f t="shared" si="10"/>
        <v>707.29145585280128</v>
      </c>
      <c r="R25" s="31">
        <f t="shared" si="10"/>
        <v>714.85900243422736</v>
      </c>
      <c r="S25" s="31">
        <f t="shared" si="10"/>
        <v>734.91501979654345</v>
      </c>
      <c r="T25" s="31">
        <f t="shared" si="10"/>
        <v>723.54475993641836</v>
      </c>
      <c r="U25" s="31">
        <f t="shared" si="10"/>
        <v>775.42033905793585</v>
      </c>
      <c r="V25" s="31">
        <f t="shared" si="10"/>
        <v>761.99015264978664</v>
      </c>
      <c r="W25" s="31">
        <f t="shared" si="10"/>
        <v>756.32948131796422</v>
      </c>
      <c r="X25" s="31">
        <f t="shared" si="10"/>
        <v>770.4566979703269</v>
      </c>
      <c r="Y25" s="31">
        <f t="shared" ref="Y25:AB38" si="11">(78.44+$E25-33.6*Y$7-(66.8-2.92*Y$11)*Y$5+78.5*Y$4+9.4*Y$6)/(0.0721-$C$6*LN((27*Y$7*Y$3*$C25)/(64*Y$8*Y$4*$D25)))-273.15</f>
        <v>787.68416229243951</v>
      </c>
      <c r="Z25" s="31">
        <f t="shared" si="11"/>
        <v>773.38946897331846</v>
      </c>
      <c r="AA25" s="31">
        <f t="shared" si="11"/>
        <v>752.54855913426366</v>
      </c>
      <c r="AB25" s="31">
        <f t="shared" si="11"/>
        <v>706.04100405669317</v>
      </c>
      <c r="AC25" s="31">
        <f t="shared" ref="AC25:AJ38" si="12">(78.44+$E25-33.6*AC$7-(66.8-2.92*AC$11)*AC$5+78.5*AC$4+9.4*AC$6)/(0.0721-$C$6*LN((27*AC$7*AC$3*$C25)/(64*AC$8*AC$4*$D25)))-273.15</f>
        <v>711.87829795773507</v>
      </c>
      <c r="AD25" s="31">
        <f t="shared" si="12"/>
        <v>703.23234972803016</v>
      </c>
      <c r="AE25" s="31">
        <f t="shared" si="12"/>
        <v>721.1094254897323</v>
      </c>
      <c r="AF25" s="31">
        <f t="shared" si="12"/>
        <v>717.610870162222</v>
      </c>
      <c r="AG25" s="31">
        <f t="shared" si="12"/>
        <v>703.17566065193046</v>
      </c>
      <c r="AH25" s="31">
        <f t="shared" si="12"/>
        <v>700.13016374355391</v>
      </c>
      <c r="AI25" s="31">
        <f t="shared" si="12"/>
        <v>707.35444428895539</v>
      </c>
      <c r="AJ25" s="31">
        <f t="shared" si="12"/>
        <v>707.1084528393651</v>
      </c>
    </row>
    <row r="26" spans="1:36">
      <c r="B26" s="37">
        <v>15221</v>
      </c>
      <c r="C26" s="34">
        <f>VLOOKUP($B26,Plagioclase!$AV$7:$BA$478,2,FALSE)</f>
        <v>0.23412215227294861</v>
      </c>
      <c r="D26" s="34">
        <f>VLOOKUP($B26,Plagioclase!$AV$7:$BA$478,3,FALSE)</f>
        <v>0.70782018533971969</v>
      </c>
      <c r="E26" s="34">
        <f>VLOOKUP($B26,Plagioclase!$AV$7:$BA$478,5,FALSE)</f>
        <v>3</v>
      </c>
      <c r="F26" s="29" t="str">
        <f>VLOOKUP($B26,Plagioclase!$AV$7:$BA$478,6,FALSE)</f>
        <v>26hHP02.3</v>
      </c>
      <c r="G26" s="31">
        <f t="shared" ref="G26:J38" si="13">(78.44+$E26-33.6*G$7-(66.8-2.92*G$11)*G$5+78.5*G$4+9.4*G$6)/(0.0721-$C$6*LN((27*G$7*G$3*$C26)/(64*G$8*G$4*$D26)))-273.15</f>
        <v>791.77728038841735</v>
      </c>
      <c r="H26" s="31">
        <f t="shared" si="13"/>
        <v>783.45993799078667</v>
      </c>
      <c r="I26" s="31">
        <f t="shared" si="13"/>
        <v>796.63507755166791</v>
      </c>
      <c r="J26" s="31">
        <f t="shared" si="13"/>
        <v>702.6424916772188</v>
      </c>
      <c r="K26" s="31">
        <f t="shared" si="10"/>
        <v>805.11421831110113</v>
      </c>
      <c r="L26" s="31">
        <f t="shared" si="10"/>
        <v>784.48550926746236</v>
      </c>
      <c r="M26" s="31">
        <f t="shared" si="10"/>
        <v>793.81151616292311</v>
      </c>
      <c r="N26" s="31">
        <f t="shared" si="2"/>
        <v>799.90178798336513</v>
      </c>
      <c r="O26" s="31">
        <f t="shared" si="2"/>
        <v>791.40753560738051</v>
      </c>
      <c r="P26" s="31">
        <f t="shared" si="2"/>
        <v>796.79387207199295</v>
      </c>
      <c r="Q26" s="31">
        <f t="shared" si="10"/>
        <v>710.16621233841022</v>
      </c>
      <c r="R26" s="31">
        <f t="shared" si="10"/>
        <v>717.7968767078678</v>
      </c>
      <c r="S26" s="31">
        <f t="shared" si="10"/>
        <v>737.84443726541815</v>
      </c>
      <c r="T26" s="31">
        <f t="shared" si="10"/>
        <v>726.42752239575725</v>
      </c>
      <c r="U26" s="31">
        <f t="shared" si="10"/>
        <v>778.23744838165123</v>
      </c>
      <c r="V26" s="31">
        <f t="shared" si="10"/>
        <v>764.89240767334479</v>
      </c>
      <c r="W26" s="31">
        <f t="shared" si="10"/>
        <v>759.23572822824201</v>
      </c>
      <c r="X26" s="31">
        <f t="shared" si="10"/>
        <v>773.41000519248303</v>
      </c>
      <c r="Y26" s="31">
        <f t="shared" si="11"/>
        <v>790.64008384493093</v>
      </c>
      <c r="Z26" s="31">
        <f t="shared" si="11"/>
        <v>776.31295963965238</v>
      </c>
      <c r="AA26" s="31">
        <f t="shared" si="11"/>
        <v>755.39865346422118</v>
      </c>
      <c r="AB26" s="31">
        <f t="shared" si="11"/>
        <v>708.89093209611224</v>
      </c>
      <c r="AC26" s="31">
        <f t="shared" si="12"/>
        <v>714.71057664092575</v>
      </c>
      <c r="AD26" s="31">
        <f t="shared" si="12"/>
        <v>706.09920148466108</v>
      </c>
      <c r="AE26" s="31">
        <f t="shared" si="12"/>
        <v>723.95747335909255</v>
      </c>
      <c r="AF26" s="31">
        <f t="shared" si="12"/>
        <v>720.42879494790827</v>
      </c>
      <c r="AG26" s="31">
        <f t="shared" si="12"/>
        <v>705.99025652706621</v>
      </c>
      <c r="AH26" s="31">
        <f t="shared" si="12"/>
        <v>702.99276250377363</v>
      </c>
      <c r="AI26" s="31">
        <f t="shared" si="12"/>
        <v>710.20230929966363</v>
      </c>
      <c r="AJ26" s="31">
        <f t="shared" si="12"/>
        <v>709.95063845131062</v>
      </c>
    </row>
    <row r="27" spans="1:36">
      <c r="B27" s="37">
        <v>15222</v>
      </c>
      <c r="C27" s="34">
        <f>VLOOKUP($B27,Plagioclase!$AV$7:$BA$478,2,FALSE)</f>
        <v>0.62160732671276719</v>
      </c>
      <c r="D27" s="34">
        <f>VLOOKUP($B27,Plagioclase!$AV$7:$BA$478,3,FALSE)</f>
        <v>0.36702449241594287</v>
      </c>
      <c r="E27" s="34">
        <f>VLOOKUP($B27,Plagioclase!$AV$7:$BA$478,5,FALSE)</f>
        <v>-0.19141218201737109</v>
      </c>
      <c r="F27" s="29" t="str">
        <f>VLOOKUP($B27,Plagioclase!$AV$7:$BA$478,6,FALSE)</f>
        <v>26hHP02.4</v>
      </c>
      <c r="G27" s="31">
        <f t="shared" si="13"/>
        <v>912.26097956037358</v>
      </c>
      <c r="H27" s="31">
        <f t="shared" si="13"/>
        <v>901.91686228627634</v>
      </c>
      <c r="I27" s="31">
        <f t="shared" si="13"/>
        <v>918.56787478293097</v>
      </c>
      <c r="J27" s="31">
        <f t="shared" si="13"/>
        <v>820.62510967605624</v>
      </c>
      <c r="K27" s="31">
        <f t="shared" si="10"/>
        <v>929.28980571813247</v>
      </c>
      <c r="L27" s="31">
        <f t="shared" si="10"/>
        <v>906.09059966341772</v>
      </c>
      <c r="M27" s="31">
        <f t="shared" si="10"/>
        <v>912.43414107338015</v>
      </c>
      <c r="N27" s="31">
        <f t="shared" si="2"/>
        <v>921.35466792126965</v>
      </c>
      <c r="O27" s="31">
        <f t="shared" si="2"/>
        <v>910.36146621597902</v>
      </c>
      <c r="P27" s="31">
        <f t="shared" si="2"/>
        <v>918.4181374335559</v>
      </c>
      <c r="Q27" s="31">
        <f t="shared" si="10"/>
        <v>826.537066898224</v>
      </c>
      <c r="R27" s="31">
        <f t="shared" si="10"/>
        <v>837.27781834408836</v>
      </c>
      <c r="S27" s="31">
        <f t="shared" si="10"/>
        <v>857.2790216737352</v>
      </c>
      <c r="T27" s="31">
        <f t="shared" si="10"/>
        <v>843.46710071128916</v>
      </c>
      <c r="U27" s="31">
        <f t="shared" si="10"/>
        <v>893.07000156038123</v>
      </c>
      <c r="V27" s="31">
        <f t="shared" si="10"/>
        <v>883.49888686758516</v>
      </c>
      <c r="W27" s="31">
        <f t="shared" si="10"/>
        <v>877.93781585356726</v>
      </c>
      <c r="X27" s="31">
        <f t="shared" si="10"/>
        <v>894.56051651643236</v>
      </c>
      <c r="Y27" s="31">
        <f t="shared" si="11"/>
        <v>912.18247017283159</v>
      </c>
      <c r="Z27" s="31">
        <f t="shared" si="11"/>
        <v>896.10189687831974</v>
      </c>
      <c r="AA27" s="31">
        <f t="shared" si="11"/>
        <v>871.40287898222084</v>
      </c>
      <c r="AB27" s="31">
        <f t="shared" si="11"/>
        <v>824.07515699910493</v>
      </c>
      <c r="AC27" s="31">
        <f t="shared" si="12"/>
        <v>829.17636990777021</v>
      </c>
      <c r="AD27" s="31">
        <f t="shared" si="12"/>
        <v>822.02433576113378</v>
      </c>
      <c r="AE27" s="31">
        <f t="shared" si="12"/>
        <v>839.32645298433738</v>
      </c>
      <c r="AF27" s="31">
        <f t="shared" si="12"/>
        <v>834.32808989861053</v>
      </c>
      <c r="AG27" s="31">
        <f t="shared" si="12"/>
        <v>819.47110754674202</v>
      </c>
      <c r="AH27" s="31">
        <f t="shared" si="12"/>
        <v>818.6607820868868</v>
      </c>
      <c r="AI27" s="31">
        <f t="shared" si="12"/>
        <v>825.31414851463353</v>
      </c>
      <c r="AJ27" s="31">
        <f t="shared" si="12"/>
        <v>824.79229224426615</v>
      </c>
    </row>
    <row r="28" spans="1:36">
      <c r="B28" s="37">
        <v>15229</v>
      </c>
      <c r="C28" s="34">
        <f>VLOOKUP($B28,Plagioclase!$AV$7:$BA$478,2,FALSE)</f>
        <v>0.55923759558714825</v>
      </c>
      <c r="D28" s="34">
        <f>VLOOKUP($B28,Plagioclase!$AV$7:$BA$478,3,FALSE)</f>
        <v>0.42522188259061755</v>
      </c>
      <c r="E28" s="34">
        <f>VLOOKUP($B28,Plagioclase!$AV$7:$BA$478,5,FALSE)</f>
        <v>1.2053251821748212</v>
      </c>
      <c r="F28" s="29" t="str">
        <f>VLOOKUP($B28,Plagioclase!$AV$7:$BA$478,6,FALSE)</f>
        <v>26hHP04.3</v>
      </c>
      <c r="G28" s="31">
        <f t="shared" si="13"/>
        <v>900.80114678750158</v>
      </c>
      <c r="H28" s="31">
        <f t="shared" si="13"/>
        <v>890.75993806936538</v>
      </c>
      <c r="I28" s="31">
        <f t="shared" si="13"/>
        <v>906.89975292525639</v>
      </c>
      <c r="J28" s="31">
        <f t="shared" si="13"/>
        <v>810.28535229843112</v>
      </c>
      <c r="K28" s="31">
        <f t="shared" si="10"/>
        <v>917.28961787414971</v>
      </c>
      <c r="L28" s="31">
        <f t="shared" si="10"/>
        <v>894.56435200628459</v>
      </c>
      <c r="M28" s="31">
        <f t="shared" si="10"/>
        <v>901.17075214159161</v>
      </c>
      <c r="N28" s="31">
        <f t="shared" si="2"/>
        <v>909.71460173598314</v>
      </c>
      <c r="O28" s="31">
        <f t="shared" si="2"/>
        <v>899.08030789391785</v>
      </c>
      <c r="P28" s="31">
        <f t="shared" si="2"/>
        <v>906.78435661655828</v>
      </c>
      <c r="Q28" s="31">
        <f t="shared" si="10"/>
        <v>816.29634206574167</v>
      </c>
      <c r="R28" s="31">
        <f t="shared" si="10"/>
        <v>826.61692850646102</v>
      </c>
      <c r="S28" s="31">
        <f t="shared" si="10"/>
        <v>846.42545434036526</v>
      </c>
      <c r="T28" s="31">
        <f t="shared" si="10"/>
        <v>832.99083310775961</v>
      </c>
      <c r="U28" s="31">
        <f t="shared" si="10"/>
        <v>882.36804836429121</v>
      </c>
      <c r="V28" s="31">
        <f t="shared" si="10"/>
        <v>872.48751419472171</v>
      </c>
      <c r="W28" s="31">
        <f t="shared" si="10"/>
        <v>866.96666049166527</v>
      </c>
      <c r="X28" s="31">
        <f t="shared" si="10"/>
        <v>883.18373392710566</v>
      </c>
      <c r="Y28" s="31">
        <f t="shared" si="11"/>
        <v>900.6104090915909</v>
      </c>
      <c r="Z28" s="31">
        <f t="shared" si="11"/>
        <v>884.8550038665386</v>
      </c>
      <c r="AA28" s="31">
        <f t="shared" si="11"/>
        <v>860.76952344127915</v>
      </c>
      <c r="AB28" s="31">
        <f t="shared" si="11"/>
        <v>813.97693422796954</v>
      </c>
      <c r="AC28" s="31">
        <f t="shared" si="12"/>
        <v>819.09812717846364</v>
      </c>
      <c r="AD28" s="31">
        <f t="shared" si="12"/>
        <v>811.87376482538969</v>
      </c>
      <c r="AE28" s="31">
        <f t="shared" si="12"/>
        <v>829.05843841239232</v>
      </c>
      <c r="AF28" s="31">
        <f t="shared" si="12"/>
        <v>824.25540382874817</v>
      </c>
      <c r="AG28" s="31">
        <f t="shared" si="12"/>
        <v>809.58710895889942</v>
      </c>
      <c r="AH28" s="31">
        <f t="shared" si="12"/>
        <v>808.57011743685905</v>
      </c>
      <c r="AI28" s="31">
        <f t="shared" si="12"/>
        <v>815.21057059557859</v>
      </c>
      <c r="AJ28" s="31">
        <f t="shared" si="12"/>
        <v>814.72068393242523</v>
      </c>
    </row>
    <row r="29" spans="1:36">
      <c r="B29" s="37">
        <v>15230</v>
      </c>
      <c r="C29" s="34">
        <f>VLOOKUP($B29,Plagioclase!$AV$7:$BA$478,2,FALSE)</f>
        <v>0.5755205110201751</v>
      </c>
      <c r="D29" s="34">
        <f>VLOOKUP($B29,Plagioclase!$AV$7:$BA$478,3,FALSE)</f>
        <v>0.40978993153357862</v>
      </c>
      <c r="E29" s="34">
        <f>VLOOKUP($B29,Plagioclase!$AV$7:$BA$478,5,FALSE)</f>
        <v>0.83495835680588693</v>
      </c>
      <c r="F29" s="29" t="str">
        <f>VLOOKUP($B29,Plagioclase!$AV$7:$BA$478,6,FALSE)</f>
        <v>26hHP04.4</v>
      </c>
      <c r="G29" s="31">
        <f t="shared" si="13"/>
        <v>903.64666063559696</v>
      </c>
      <c r="H29" s="31">
        <f t="shared" si="13"/>
        <v>893.52896187121803</v>
      </c>
      <c r="I29" s="31">
        <f t="shared" si="13"/>
        <v>909.79767169092804</v>
      </c>
      <c r="J29" s="31">
        <f t="shared" si="13"/>
        <v>812.83288344475943</v>
      </c>
      <c r="K29" s="31">
        <f t="shared" si="10"/>
        <v>920.27126731246869</v>
      </c>
      <c r="L29" s="31">
        <f t="shared" si="10"/>
        <v>897.42449065905691</v>
      </c>
      <c r="M29" s="31">
        <f t="shared" si="10"/>
        <v>903.96836392574903</v>
      </c>
      <c r="N29" s="31">
        <f t="shared" si="2"/>
        <v>912.60636714529176</v>
      </c>
      <c r="O29" s="31">
        <f t="shared" si="2"/>
        <v>901.88174774283505</v>
      </c>
      <c r="P29" s="31">
        <f t="shared" si="2"/>
        <v>909.67385760399623</v>
      </c>
      <c r="Q29" s="31">
        <f t="shared" si="10"/>
        <v>818.8217861542247</v>
      </c>
      <c r="R29" s="31">
        <f t="shared" si="10"/>
        <v>829.24737743704338</v>
      </c>
      <c r="S29" s="31">
        <f t="shared" si="10"/>
        <v>849.10860481260772</v>
      </c>
      <c r="T29" s="31">
        <f t="shared" si="10"/>
        <v>835.57842996505076</v>
      </c>
      <c r="U29" s="31">
        <f t="shared" si="10"/>
        <v>885.02388584692051</v>
      </c>
      <c r="V29" s="31">
        <f t="shared" si="10"/>
        <v>875.21630976644121</v>
      </c>
      <c r="W29" s="31">
        <f t="shared" si="10"/>
        <v>869.6841773996299</v>
      </c>
      <c r="X29" s="31">
        <f t="shared" si="10"/>
        <v>886.00443430300072</v>
      </c>
      <c r="Y29" s="31">
        <f t="shared" si="11"/>
        <v>903.48328050618932</v>
      </c>
      <c r="Z29" s="31">
        <f t="shared" si="11"/>
        <v>887.64447226185473</v>
      </c>
      <c r="AA29" s="31">
        <f t="shared" si="11"/>
        <v>863.40310003456136</v>
      </c>
      <c r="AB29" s="31">
        <f t="shared" si="11"/>
        <v>816.46713751237814</v>
      </c>
      <c r="AC29" s="31">
        <f t="shared" si="12"/>
        <v>821.58503328959807</v>
      </c>
      <c r="AD29" s="31">
        <f t="shared" si="12"/>
        <v>814.37600063892535</v>
      </c>
      <c r="AE29" s="31">
        <f t="shared" si="12"/>
        <v>831.59432954639885</v>
      </c>
      <c r="AF29" s="31">
        <f t="shared" si="12"/>
        <v>826.74248021158826</v>
      </c>
      <c r="AG29" s="31">
        <f t="shared" si="12"/>
        <v>812.02406407399883</v>
      </c>
      <c r="AH29" s="31">
        <f t="shared" si="12"/>
        <v>811.05681557415289</v>
      </c>
      <c r="AI29" s="31">
        <f t="shared" si="12"/>
        <v>817.70244812633757</v>
      </c>
      <c r="AJ29" s="31">
        <f t="shared" si="12"/>
        <v>817.20466423345181</v>
      </c>
    </row>
    <row r="30" spans="1:36">
      <c r="B30" s="37">
        <v>15231</v>
      </c>
      <c r="C30" s="34">
        <f>VLOOKUP($B30,Plagioclase!$AV$7:$BA$478,2,FALSE)</f>
        <v>0.43702790797569008</v>
      </c>
      <c r="D30" s="34">
        <f>VLOOKUP($B30,Plagioclase!$AV$7:$BA$478,3,FALSE)</f>
        <v>0.52957336352122686</v>
      </c>
      <c r="E30" s="34">
        <f>VLOOKUP($B30,Plagioclase!$AV$7:$BA$478,5,FALSE)</f>
        <v>3</v>
      </c>
      <c r="F30" s="29" t="str">
        <f>VLOOKUP($B30,Plagioclase!$AV$7:$BA$478,6,FALSE)</f>
        <v>26hHP04.5</v>
      </c>
      <c r="G30" s="31">
        <f t="shared" si="13"/>
        <v>873.12472209432747</v>
      </c>
      <c r="H30" s="31">
        <f t="shared" si="13"/>
        <v>863.65072743778899</v>
      </c>
      <c r="I30" s="31">
        <f t="shared" si="13"/>
        <v>878.82487913424472</v>
      </c>
      <c r="J30" s="31">
        <f t="shared" si="13"/>
        <v>783.94256250355068</v>
      </c>
      <c r="K30" s="31">
        <f t="shared" si="10"/>
        <v>888.58977034718475</v>
      </c>
      <c r="L30" s="31">
        <f t="shared" si="10"/>
        <v>866.6605960560729</v>
      </c>
      <c r="M30" s="31">
        <f t="shared" si="10"/>
        <v>873.94513132019517</v>
      </c>
      <c r="N30" s="31">
        <f t="shared" si="2"/>
        <v>881.73664593441151</v>
      </c>
      <c r="O30" s="31">
        <f t="shared" si="2"/>
        <v>871.78919929677193</v>
      </c>
      <c r="P30" s="31">
        <f t="shared" si="2"/>
        <v>878.78575375326966</v>
      </c>
      <c r="Q30" s="31">
        <f t="shared" si="10"/>
        <v>790.2852189124493</v>
      </c>
      <c r="R30" s="31">
        <f t="shared" si="10"/>
        <v>799.77271460206737</v>
      </c>
      <c r="S30" s="31">
        <f t="shared" si="10"/>
        <v>819.42548814119971</v>
      </c>
      <c r="T30" s="31">
        <f t="shared" si="10"/>
        <v>806.67775284438278</v>
      </c>
      <c r="U30" s="31">
        <f t="shared" si="10"/>
        <v>856.19879757001956</v>
      </c>
      <c r="V30" s="31">
        <f t="shared" si="10"/>
        <v>845.47996366415998</v>
      </c>
      <c r="W30" s="31">
        <f t="shared" si="10"/>
        <v>839.97881713325353</v>
      </c>
      <c r="X30" s="31">
        <f t="shared" si="10"/>
        <v>855.47675446188862</v>
      </c>
      <c r="Y30" s="31">
        <f t="shared" si="11"/>
        <v>872.677051374597</v>
      </c>
      <c r="Z30" s="31">
        <f t="shared" si="11"/>
        <v>857.46631242928663</v>
      </c>
      <c r="AA30" s="31">
        <f t="shared" si="11"/>
        <v>834.48103212065496</v>
      </c>
      <c r="AB30" s="31">
        <f t="shared" si="11"/>
        <v>788.26859171105832</v>
      </c>
      <c r="AC30" s="31">
        <f t="shared" si="12"/>
        <v>793.51692920186622</v>
      </c>
      <c r="AD30" s="31">
        <f t="shared" si="12"/>
        <v>786.00732071335608</v>
      </c>
      <c r="AE30" s="31">
        <f t="shared" si="12"/>
        <v>803.17792146465547</v>
      </c>
      <c r="AF30" s="31">
        <f t="shared" si="12"/>
        <v>798.76567934694083</v>
      </c>
      <c r="AG30" s="31">
        <f t="shared" si="12"/>
        <v>784.32152216042311</v>
      </c>
      <c r="AH30" s="31">
        <f t="shared" si="12"/>
        <v>782.79379876032101</v>
      </c>
      <c r="AI30" s="31">
        <f t="shared" si="12"/>
        <v>789.50881256597143</v>
      </c>
      <c r="AJ30" s="31">
        <f t="shared" si="12"/>
        <v>789.08745417010994</v>
      </c>
    </row>
    <row r="31" spans="1:36">
      <c r="B31" s="37">
        <v>15232</v>
      </c>
      <c r="C31" s="34">
        <f>VLOOKUP($B31,Plagioclase!$AV$7:$BA$478,2,FALSE)</f>
        <v>0.37312412298512654</v>
      </c>
      <c r="D31" s="34">
        <f>VLOOKUP($B31,Plagioclase!$AV$7:$BA$478,3,FALSE)</f>
        <v>0.59785307584769232</v>
      </c>
      <c r="E31" s="34">
        <f>VLOOKUP($B31,Plagioclase!$AV$7:$BA$478,5,FALSE)</f>
        <v>3</v>
      </c>
      <c r="F31" s="29" t="str">
        <f>VLOOKUP($B31,Plagioclase!$AV$7:$BA$478,6,FALSE)</f>
        <v>26hHP04.6</v>
      </c>
      <c r="G31" s="31">
        <f t="shared" si="13"/>
        <v>846.9802489608827</v>
      </c>
      <c r="H31" s="31">
        <f t="shared" si="13"/>
        <v>837.88601167492754</v>
      </c>
      <c r="I31" s="31">
        <f t="shared" si="13"/>
        <v>852.40234215099201</v>
      </c>
      <c r="J31" s="31">
        <f t="shared" si="13"/>
        <v>757.69940431955558</v>
      </c>
      <c r="K31" s="31">
        <f t="shared" si="10"/>
        <v>861.74394217860879</v>
      </c>
      <c r="L31" s="31">
        <f t="shared" si="10"/>
        <v>840.22833373594051</v>
      </c>
      <c r="M31" s="31">
        <f t="shared" si="10"/>
        <v>848.21161762301256</v>
      </c>
      <c r="N31" s="31">
        <f t="shared" si="2"/>
        <v>855.43757910673423</v>
      </c>
      <c r="O31" s="31">
        <f t="shared" si="2"/>
        <v>845.96946761331299</v>
      </c>
      <c r="P31" s="31">
        <f t="shared" si="2"/>
        <v>852.43010636830684</v>
      </c>
      <c r="Q31" s="31">
        <f t="shared" si="10"/>
        <v>764.45304152856841</v>
      </c>
      <c r="R31" s="31">
        <f t="shared" si="10"/>
        <v>773.32122083675733</v>
      </c>
      <c r="S31" s="31">
        <f t="shared" si="10"/>
        <v>793.13484631422045</v>
      </c>
      <c r="T31" s="31">
        <f t="shared" si="10"/>
        <v>780.82263254321504</v>
      </c>
      <c r="U31" s="31">
        <f t="shared" si="10"/>
        <v>831.1779484622997</v>
      </c>
      <c r="V31" s="31">
        <f t="shared" si="10"/>
        <v>819.55936802916438</v>
      </c>
      <c r="W31" s="31">
        <f t="shared" si="10"/>
        <v>813.99877971127091</v>
      </c>
      <c r="X31" s="31">
        <f t="shared" si="10"/>
        <v>829.06740022972178</v>
      </c>
      <c r="Y31" s="31">
        <f t="shared" si="11"/>
        <v>846.29884063047132</v>
      </c>
      <c r="Z31" s="31">
        <f t="shared" si="11"/>
        <v>831.36875459368832</v>
      </c>
      <c r="AA31" s="31">
        <f t="shared" si="11"/>
        <v>809.05653006849468</v>
      </c>
      <c r="AB31" s="31">
        <f t="shared" si="11"/>
        <v>762.68585150736942</v>
      </c>
      <c r="AC31" s="31">
        <f t="shared" si="12"/>
        <v>768.13511529376626</v>
      </c>
      <c r="AD31" s="31">
        <f t="shared" si="12"/>
        <v>760.24115214575556</v>
      </c>
      <c r="AE31" s="31">
        <f t="shared" si="12"/>
        <v>777.66793535901718</v>
      </c>
      <c r="AF31" s="31">
        <f t="shared" si="12"/>
        <v>773.54983253691864</v>
      </c>
      <c r="AG31" s="31">
        <f t="shared" si="12"/>
        <v>759.08915543292289</v>
      </c>
      <c r="AH31" s="31">
        <f t="shared" si="12"/>
        <v>757.05974129336221</v>
      </c>
      <c r="AI31" s="31">
        <f t="shared" si="12"/>
        <v>763.95189285560184</v>
      </c>
      <c r="AJ31" s="31">
        <f t="shared" si="12"/>
        <v>763.5876476759239</v>
      </c>
    </row>
    <row r="32" spans="1:36">
      <c r="B32" s="37">
        <v>15239</v>
      </c>
      <c r="C32" s="34">
        <f>VLOOKUP($B32,Plagioclase!$AV$7:$BA$478,2,FALSE)</f>
        <v>0.26229643583577283</v>
      </c>
      <c r="D32" s="34">
        <f>VLOOKUP($B32,Plagioclase!$AV$7:$BA$478,3,FALSE)</f>
        <v>0.68774648404864991</v>
      </c>
      <c r="E32" s="34">
        <f>VLOOKUP($B32,Plagioclase!$AV$7:$BA$478,5,FALSE)</f>
        <v>3</v>
      </c>
      <c r="F32" s="29" t="str">
        <f>VLOOKUP($B32,Plagioclase!$AV$7:$BA$478,6,FALSE)</f>
        <v>26hHP06.1</v>
      </c>
      <c r="G32" s="31">
        <f t="shared" si="13"/>
        <v>803.67991389821771</v>
      </c>
      <c r="H32" s="31">
        <f t="shared" si="13"/>
        <v>795.1979249572413</v>
      </c>
      <c r="I32" s="31">
        <f t="shared" si="13"/>
        <v>808.65676359344627</v>
      </c>
      <c r="J32" s="31">
        <f t="shared" si="13"/>
        <v>714.47317818264844</v>
      </c>
      <c r="K32" s="31">
        <f t="shared" si="10"/>
        <v>817.31827578534455</v>
      </c>
      <c r="L32" s="31">
        <f t="shared" si="10"/>
        <v>796.49677103616284</v>
      </c>
      <c r="M32" s="31">
        <f t="shared" si="10"/>
        <v>805.54848999505214</v>
      </c>
      <c r="N32" s="31">
        <f t="shared" si="2"/>
        <v>811.87691840495847</v>
      </c>
      <c r="O32" s="31">
        <f t="shared" si="2"/>
        <v>803.17707857277458</v>
      </c>
      <c r="P32" s="31">
        <f t="shared" si="2"/>
        <v>808.7884764195361</v>
      </c>
      <c r="Q32" s="31">
        <f t="shared" si="10"/>
        <v>721.84196417718363</v>
      </c>
      <c r="R32" s="31">
        <f t="shared" si="10"/>
        <v>729.73147483915659</v>
      </c>
      <c r="S32" s="31">
        <f t="shared" si="10"/>
        <v>749.74062492877215</v>
      </c>
      <c r="T32" s="31">
        <f t="shared" si="10"/>
        <v>738.13344004911676</v>
      </c>
      <c r="U32" s="31">
        <f t="shared" si="10"/>
        <v>789.66490695873892</v>
      </c>
      <c r="V32" s="31">
        <f t="shared" si="10"/>
        <v>776.67221154931519</v>
      </c>
      <c r="W32" s="31">
        <f t="shared" si="10"/>
        <v>771.03288278498519</v>
      </c>
      <c r="X32" s="31">
        <f t="shared" si="10"/>
        <v>785.39860491052571</v>
      </c>
      <c r="Y32" s="31">
        <f t="shared" si="11"/>
        <v>802.6366637055952</v>
      </c>
      <c r="Z32" s="31">
        <f t="shared" si="11"/>
        <v>788.17834227597984</v>
      </c>
      <c r="AA32" s="31">
        <f t="shared" si="11"/>
        <v>766.96528372052683</v>
      </c>
      <c r="AB32" s="31">
        <f t="shared" si="11"/>
        <v>720.46458148506179</v>
      </c>
      <c r="AC32" s="31">
        <f t="shared" si="12"/>
        <v>726.21051062386164</v>
      </c>
      <c r="AD32" s="31">
        <f t="shared" si="12"/>
        <v>717.74308901913389</v>
      </c>
      <c r="AE32" s="31">
        <f t="shared" si="12"/>
        <v>735.52080293184054</v>
      </c>
      <c r="AF32" s="31">
        <f t="shared" si="12"/>
        <v>731.86865097195698</v>
      </c>
      <c r="AG32" s="31">
        <f t="shared" si="12"/>
        <v>717.41882633773412</v>
      </c>
      <c r="AH32" s="31">
        <f t="shared" si="12"/>
        <v>714.61966898184744</v>
      </c>
      <c r="AI32" s="31">
        <f t="shared" si="12"/>
        <v>721.76723033284873</v>
      </c>
      <c r="AJ32" s="31">
        <f t="shared" si="12"/>
        <v>721.49220097214868</v>
      </c>
    </row>
    <row r="33" spans="2:36">
      <c r="B33" s="37">
        <v>15242</v>
      </c>
      <c r="C33" s="34">
        <f>VLOOKUP($B33,Plagioclase!$AV$7:$BA$478,2,FALSE)</f>
        <v>0.24574499274499345</v>
      </c>
      <c r="D33" s="34">
        <f>VLOOKUP($B33,Plagioclase!$AV$7:$BA$478,3,FALSE)</f>
        <v>0.70017043333162998</v>
      </c>
      <c r="E33" s="34">
        <f>VLOOKUP($B33,Plagioclase!$AV$7:$BA$478,5,FALSE)</f>
        <v>3</v>
      </c>
      <c r="F33" s="29" t="str">
        <f>VLOOKUP($B33,Plagioclase!$AV$7:$BA$478,6,FALSE)</f>
        <v>26hHP06.4</v>
      </c>
      <c r="G33" s="31">
        <f t="shared" si="13"/>
        <v>796.70320751649353</v>
      </c>
      <c r="H33" s="31">
        <f t="shared" si="13"/>
        <v>788.3179168876876</v>
      </c>
      <c r="I33" s="31">
        <f t="shared" si="13"/>
        <v>801.61010022377388</v>
      </c>
      <c r="J33" s="31">
        <f t="shared" si="13"/>
        <v>707.53595647675002</v>
      </c>
      <c r="K33" s="31">
        <f t="shared" si="10"/>
        <v>810.1644766601986</v>
      </c>
      <c r="L33" s="31">
        <f t="shared" si="10"/>
        <v>789.45587446463321</v>
      </c>
      <c r="M33" s="31">
        <f t="shared" si="10"/>
        <v>798.66938194437864</v>
      </c>
      <c r="N33" s="31">
        <f t="shared" si="2"/>
        <v>804.85776711506571</v>
      </c>
      <c r="O33" s="31">
        <f t="shared" si="2"/>
        <v>796.27872501844934</v>
      </c>
      <c r="P33" s="31">
        <f t="shared" si="2"/>
        <v>801.75776495499542</v>
      </c>
      <c r="Q33" s="31">
        <f t="shared" si="10"/>
        <v>714.9962928262828</v>
      </c>
      <c r="R33" s="31">
        <f t="shared" si="10"/>
        <v>722.73355231279413</v>
      </c>
      <c r="S33" s="31">
        <f t="shared" si="10"/>
        <v>742.7660139265347</v>
      </c>
      <c r="T33" s="31">
        <f t="shared" si="10"/>
        <v>731.27053939878544</v>
      </c>
      <c r="U33" s="31">
        <f t="shared" si="10"/>
        <v>782.96756801777713</v>
      </c>
      <c r="V33" s="31">
        <f t="shared" si="10"/>
        <v>769.76701791549442</v>
      </c>
      <c r="W33" s="31">
        <f t="shared" si="10"/>
        <v>764.11729488791605</v>
      </c>
      <c r="X33" s="31">
        <f t="shared" si="10"/>
        <v>778.37070933003167</v>
      </c>
      <c r="Y33" s="31">
        <f t="shared" si="11"/>
        <v>795.60460231677791</v>
      </c>
      <c r="Z33" s="31">
        <f t="shared" si="11"/>
        <v>781.22310268104968</v>
      </c>
      <c r="AA33" s="31">
        <f t="shared" si="11"/>
        <v>760.1853345653991</v>
      </c>
      <c r="AB33" s="31">
        <f t="shared" si="11"/>
        <v>713.67902003006429</v>
      </c>
      <c r="AC33" s="31">
        <f t="shared" si="12"/>
        <v>719.46856523018766</v>
      </c>
      <c r="AD33" s="31">
        <f t="shared" si="12"/>
        <v>710.91605337618569</v>
      </c>
      <c r="AE33" s="31">
        <f t="shared" si="12"/>
        <v>728.74181431481475</v>
      </c>
      <c r="AF33" s="31">
        <f t="shared" si="12"/>
        <v>725.16227649909229</v>
      </c>
      <c r="AG33" s="31">
        <f t="shared" si="12"/>
        <v>710.71863448769216</v>
      </c>
      <c r="AH33" s="31">
        <f t="shared" si="12"/>
        <v>707.80253268310685</v>
      </c>
      <c r="AI33" s="31">
        <f t="shared" si="12"/>
        <v>714.98685444345142</v>
      </c>
      <c r="AJ33" s="31">
        <f t="shared" si="12"/>
        <v>714.72557731354607</v>
      </c>
    </row>
    <row r="34" spans="2:36">
      <c r="B34" s="37">
        <v>15243</v>
      </c>
      <c r="C34" s="34">
        <f>VLOOKUP($B34,Plagioclase!$AV$7:$BA$478,2,FALSE)</f>
        <v>0.23427307941848391</v>
      </c>
      <c r="D34" s="34">
        <f>VLOOKUP($B34,Plagioclase!$AV$7:$BA$478,3,FALSE)</f>
        <v>0.7121005004570401</v>
      </c>
      <c r="E34" s="34">
        <f>VLOOKUP($B34,Plagioclase!$AV$7:$BA$478,5,FALSE)</f>
        <v>3</v>
      </c>
      <c r="F34" s="29" t="str">
        <f>VLOOKUP($B34,Plagioclase!$AV$7:$BA$478,6,FALSE)</f>
        <v>26hHP06.5</v>
      </c>
      <c r="G34" s="31">
        <f t="shared" si="13"/>
        <v>791.3323773498347</v>
      </c>
      <c r="H34" s="31">
        <f t="shared" si="13"/>
        <v>783.02115865961571</v>
      </c>
      <c r="I34" s="31">
        <f t="shared" si="13"/>
        <v>796.18575240723442</v>
      </c>
      <c r="J34" s="31">
        <f t="shared" si="13"/>
        <v>702.20070723094852</v>
      </c>
      <c r="K34" s="31">
        <f t="shared" si="10"/>
        <v>804.658114602404</v>
      </c>
      <c r="L34" s="31">
        <f t="shared" si="10"/>
        <v>784.0366286482498</v>
      </c>
      <c r="M34" s="31">
        <f t="shared" si="10"/>
        <v>793.37272575489067</v>
      </c>
      <c r="N34" s="31">
        <f t="shared" si="2"/>
        <v>799.45416728021758</v>
      </c>
      <c r="O34" s="31">
        <f t="shared" si="2"/>
        <v>790.96755261922056</v>
      </c>
      <c r="P34" s="31">
        <f t="shared" si="2"/>
        <v>796.34554673076707</v>
      </c>
      <c r="Q34" s="31">
        <f t="shared" si="10"/>
        <v>709.73010160935155</v>
      </c>
      <c r="R34" s="31">
        <f t="shared" si="10"/>
        <v>717.35117517098831</v>
      </c>
      <c r="S34" s="31">
        <f t="shared" si="10"/>
        <v>737.4000440912472</v>
      </c>
      <c r="T34" s="31">
        <f t="shared" si="10"/>
        <v>725.99021184744879</v>
      </c>
      <c r="U34" s="31">
        <f t="shared" si="10"/>
        <v>777.8101716703701</v>
      </c>
      <c r="V34" s="31">
        <f t="shared" si="10"/>
        <v>764.4521731254689</v>
      </c>
      <c r="W34" s="31">
        <f t="shared" si="10"/>
        <v>758.79488096755415</v>
      </c>
      <c r="X34" s="31">
        <f t="shared" si="10"/>
        <v>772.96201676785734</v>
      </c>
      <c r="Y34" s="31">
        <f t="shared" si="11"/>
        <v>790.19171534785607</v>
      </c>
      <c r="Z34" s="31">
        <f t="shared" si="11"/>
        <v>775.86950776386959</v>
      </c>
      <c r="AA34" s="31">
        <f t="shared" si="11"/>
        <v>754.96634017850363</v>
      </c>
      <c r="AB34" s="31">
        <f t="shared" si="11"/>
        <v>708.45859583325546</v>
      </c>
      <c r="AC34" s="31">
        <f t="shared" si="12"/>
        <v>714.280930578778</v>
      </c>
      <c r="AD34" s="31">
        <f t="shared" si="12"/>
        <v>705.66428842507366</v>
      </c>
      <c r="AE34" s="31">
        <f t="shared" si="12"/>
        <v>723.52543913033628</v>
      </c>
      <c r="AF34" s="31">
        <f t="shared" si="12"/>
        <v>720.00133757237427</v>
      </c>
      <c r="AG34" s="31">
        <f t="shared" si="12"/>
        <v>705.56329016542338</v>
      </c>
      <c r="AH34" s="31">
        <f t="shared" si="12"/>
        <v>702.55849280854011</v>
      </c>
      <c r="AI34" s="31">
        <f t="shared" si="12"/>
        <v>709.77028819339921</v>
      </c>
      <c r="AJ34" s="31">
        <f t="shared" si="12"/>
        <v>709.51948075694679</v>
      </c>
    </row>
    <row r="35" spans="2:36">
      <c r="B35" s="37">
        <v>15249</v>
      </c>
      <c r="C35" s="34">
        <f>VLOOKUP($B35,Plagioclase!$AV$7:$BA$478,2,FALSE)</f>
        <v>0.21133893673266174</v>
      </c>
      <c r="D35" s="34">
        <f>VLOOKUP($B35,Plagioclase!$AV$7:$BA$478,3,FALSE)</f>
        <v>0.72497148823796098</v>
      </c>
      <c r="E35" s="34">
        <f>VLOOKUP($B35,Plagioclase!$AV$7:$BA$478,5,FALSE)</f>
        <v>3</v>
      </c>
      <c r="F35" s="29" t="str">
        <f>VLOOKUP($B35,Plagioclase!$AV$7:$BA$478,6,FALSE)</f>
        <v>26hHP08.1</v>
      </c>
      <c r="G35" s="31">
        <f t="shared" si="13"/>
        <v>781.43679129499435</v>
      </c>
      <c r="H35" s="31">
        <f t="shared" si="13"/>
        <v>773.26120790427842</v>
      </c>
      <c r="I35" s="31">
        <f t="shared" si="13"/>
        <v>786.19232904810349</v>
      </c>
      <c r="J35" s="31">
        <f t="shared" si="13"/>
        <v>692.38246810554551</v>
      </c>
      <c r="K35" s="31">
        <f t="shared" si="10"/>
        <v>794.51463313941065</v>
      </c>
      <c r="L35" s="31">
        <f t="shared" si="10"/>
        <v>774.05411427446904</v>
      </c>
      <c r="M35" s="31">
        <f t="shared" si="10"/>
        <v>783.61161650382121</v>
      </c>
      <c r="N35" s="31">
        <f t="shared" si="2"/>
        <v>789.49798864473166</v>
      </c>
      <c r="O35" s="31">
        <f t="shared" si="2"/>
        <v>781.18038017848642</v>
      </c>
      <c r="P35" s="31">
        <f t="shared" si="2"/>
        <v>786.37412886047935</v>
      </c>
      <c r="Q35" s="31">
        <f t="shared" si="10"/>
        <v>700.03587557279855</v>
      </c>
      <c r="R35" s="31">
        <f t="shared" si="10"/>
        <v>707.44519865677808</v>
      </c>
      <c r="S35" s="31">
        <f t="shared" si="10"/>
        <v>727.52080230051513</v>
      </c>
      <c r="T35" s="31">
        <f t="shared" si="10"/>
        <v>716.2679562961381</v>
      </c>
      <c r="U35" s="31">
        <f t="shared" si="10"/>
        <v>768.30411611550164</v>
      </c>
      <c r="V35" s="31">
        <f t="shared" si="10"/>
        <v>754.66186355898583</v>
      </c>
      <c r="W35" s="31">
        <f t="shared" si="10"/>
        <v>748.99161025295246</v>
      </c>
      <c r="X35" s="31">
        <f t="shared" si="10"/>
        <v>763.00018642266957</v>
      </c>
      <c r="Y35" s="31">
        <f t="shared" si="11"/>
        <v>780.21990903790936</v>
      </c>
      <c r="Z35" s="31">
        <f t="shared" si="11"/>
        <v>766.00729325512668</v>
      </c>
      <c r="AA35" s="31">
        <f t="shared" si="11"/>
        <v>745.35134386997072</v>
      </c>
      <c r="AB35" s="31">
        <f t="shared" si="11"/>
        <v>698.84754190635874</v>
      </c>
      <c r="AC35" s="31">
        <f t="shared" si="12"/>
        <v>704.72850082270963</v>
      </c>
      <c r="AD35" s="31">
        <f t="shared" si="12"/>
        <v>695.99682421728608</v>
      </c>
      <c r="AE35" s="31">
        <f t="shared" si="12"/>
        <v>713.91954687611951</v>
      </c>
      <c r="AF35" s="31">
        <f t="shared" si="12"/>
        <v>710.49652979932046</v>
      </c>
      <c r="AG35" s="31">
        <f t="shared" si="12"/>
        <v>696.07068967202724</v>
      </c>
      <c r="AH35" s="31">
        <f t="shared" si="12"/>
        <v>692.90549883001484</v>
      </c>
      <c r="AI35" s="31">
        <f t="shared" si="12"/>
        <v>700.16603777419698</v>
      </c>
      <c r="AJ35" s="31">
        <f t="shared" si="12"/>
        <v>699.93425423070607</v>
      </c>
    </row>
    <row r="36" spans="2:36">
      <c r="B36" s="37">
        <v>15251</v>
      </c>
      <c r="C36" s="34">
        <f>VLOOKUP($B36,Plagioclase!$AV$7:$BA$478,2,FALSE)</f>
        <v>0.27123337928800362</v>
      </c>
      <c r="D36" s="34">
        <f>VLOOKUP($B36,Plagioclase!$AV$7:$BA$478,3,FALSE)</f>
        <v>0.68038752606387454</v>
      </c>
      <c r="E36" s="34">
        <f>VLOOKUP($B36,Plagioclase!$AV$7:$BA$478,5,FALSE)</f>
        <v>3</v>
      </c>
      <c r="F36" s="29" t="str">
        <f>VLOOKUP($B36,Plagioclase!$AV$7:$BA$478,6,FALSE)</f>
        <v>26hHP08.3</v>
      </c>
      <c r="G36" s="31">
        <f t="shared" si="13"/>
        <v>807.43393875176037</v>
      </c>
      <c r="H36" s="31">
        <f t="shared" si="13"/>
        <v>798.89969448090335</v>
      </c>
      <c r="I36" s="31">
        <f t="shared" si="13"/>
        <v>812.44863552916979</v>
      </c>
      <c r="J36" s="31">
        <f t="shared" si="13"/>
        <v>718.20911052707049</v>
      </c>
      <c r="K36" s="31">
        <f t="shared" si="10"/>
        <v>821.16807562338124</v>
      </c>
      <c r="L36" s="31">
        <f t="shared" si="10"/>
        <v>800.28594258577016</v>
      </c>
      <c r="M36" s="31">
        <f t="shared" si="10"/>
        <v>809.24941646721265</v>
      </c>
      <c r="N36" s="31">
        <f t="shared" si="2"/>
        <v>815.6537245471651</v>
      </c>
      <c r="O36" s="31">
        <f t="shared" si="2"/>
        <v>806.88854247233269</v>
      </c>
      <c r="P36" s="31">
        <f t="shared" si="2"/>
        <v>812.57167349302279</v>
      </c>
      <c r="Q36" s="31">
        <f t="shared" si="10"/>
        <v>725.52777096739703</v>
      </c>
      <c r="R36" s="31">
        <f t="shared" si="10"/>
        <v>733.49982608054984</v>
      </c>
      <c r="S36" s="31">
        <f t="shared" si="10"/>
        <v>753.49549637930465</v>
      </c>
      <c r="T36" s="31">
        <f t="shared" si="10"/>
        <v>741.82798651205712</v>
      </c>
      <c r="U36" s="31">
        <f t="shared" si="10"/>
        <v>793.26762028788642</v>
      </c>
      <c r="V36" s="31">
        <f t="shared" si="10"/>
        <v>780.38832383571582</v>
      </c>
      <c r="W36" s="31">
        <f t="shared" si="10"/>
        <v>774.75485095046145</v>
      </c>
      <c r="X36" s="31">
        <f t="shared" si="10"/>
        <v>789.18111202095281</v>
      </c>
      <c r="Y36" s="31">
        <f t="shared" si="11"/>
        <v>806.42081221823662</v>
      </c>
      <c r="Z36" s="31">
        <f t="shared" si="11"/>
        <v>791.92124741221562</v>
      </c>
      <c r="AA36" s="31">
        <f t="shared" si="11"/>
        <v>770.61366074383238</v>
      </c>
      <c r="AB36" s="31">
        <f t="shared" si="11"/>
        <v>724.11773587728783</v>
      </c>
      <c r="AC36" s="31">
        <f t="shared" si="12"/>
        <v>729.83971729260645</v>
      </c>
      <c r="AD36" s="31">
        <f t="shared" si="12"/>
        <v>721.41891704448506</v>
      </c>
      <c r="AE36" s="31">
        <f t="shared" si="12"/>
        <v>739.16980569914642</v>
      </c>
      <c r="AF36" s="31">
        <f t="shared" si="12"/>
        <v>735.4782995286746</v>
      </c>
      <c r="AG36" s="31">
        <f t="shared" si="12"/>
        <v>721.02565597685668</v>
      </c>
      <c r="AH36" s="31">
        <f t="shared" si="12"/>
        <v>718.29023387178268</v>
      </c>
      <c r="AI36" s="31">
        <f t="shared" si="12"/>
        <v>725.41751293776235</v>
      </c>
      <c r="AJ36" s="31">
        <f t="shared" si="12"/>
        <v>725.13501254623986</v>
      </c>
    </row>
    <row r="37" spans="2:36">
      <c r="B37" s="37">
        <v>15252</v>
      </c>
      <c r="C37" s="34">
        <f>VLOOKUP($B37,Plagioclase!$AV$7:$BA$478,2,FALSE)</f>
        <v>0.20912773170550106</v>
      </c>
      <c r="D37" s="34">
        <f>VLOOKUP($B37,Plagioclase!$AV$7:$BA$478,3,FALSE)</f>
        <v>0.72734905199712141</v>
      </c>
      <c r="E37" s="34">
        <f>VLOOKUP($B37,Plagioclase!$AV$7:$BA$478,5,FALSE)</f>
        <v>3</v>
      </c>
      <c r="F37" s="29" t="str">
        <f>VLOOKUP($B37,Plagioclase!$AV$7:$BA$478,6,FALSE)</f>
        <v>26hHP08.4</v>
      </c>
      <c r="G37" s="31">
        <f t="shared" si="13"/>
        <v>780.31994067011613</v>
      </c>
      <c r="H37" s="31">
        <f t="shared" si="13"/>
        <v>772.15959716811551</v>
      </c>
      <c r="I37" s="31">
        <f t="shared" si="13"/>
        <v>785.06449862398529</v>
      </c>
      <c r="J37" s="31">
        <f t="shared" si="13"/>
        <v>691.27530578063909</v>
      </c>
      <c r="K37" s="31">
        <f t="shared" si="10"/>
        <v>793.36995213755711</v>
      </c>
      <c r="L37" s="31">
        <f t="shared" si="10"/>
        <v>772.92763786695753</v>
      </c>
      <c r="M37" s="31">
        <f t="shared" si="10"/>
        <v>782.50976535523262</v>
      </c>
      <c r="N37" s="31">
        <f t="shared" si="2"/>
        <v>788.37428178344942</v>
      </c>
      <c r="O37" s="31">
        <f t="shared" si="2"/>
        <v>780.07564303212564</v>
      </c>
      <c r="P37" s="31">
        <f t="shared" si="2"/>
        <v>785.24875413948018</v>
      </c>
      <c r="Q37" s="31">
        <f t="shared" si="10"/>
        <v>698.94244788328035</v>
      </c>
      <c r="R37" s="31">
        <f t="shared" si="10"/>
        <v>706.32806043514495</v>
      </c>
      <c r="S37" s="31">
        <f t="shared" si="10"/>
        <v>726.40639745424653</v>
      </c>
      <c r="T37" s="31">
        <f t="shared" si="10"/>
        <v>715.17120386236377</v>
      </c>
      <c r="U37" s="31">
        <f t="shared" si="10"/>
        <v>767.23092672295468</v>
      </c>
      <c r="V37" s="31">
        <f t="shared" si="10"/>
        <v>753.55706778875958</v>
      </c>
      <c r="W37" s="31">
        <f t="shared" si="10"/>
        <v>747.8854317676479</v>
      </c>
      <c r="X37" s="31">
        <f t="shared" si="10"/>
        <v>761.87614537691491</v>
      </c>
      <c r="Y37" s="31">
        <f t="shared" si="11"/>
        <v>779.09455915297315</v>
      </c>
      <c r="Z37" s="31">
        <f t="shared" si="11"/>
        <v>764.89434061375107</v>
      </c>
      <c r="AA37" s="31">
        <f t="shared" si="11"/>
        <v>744.26622973444091</v>
      </c>
      <c r="AB37" s="31">
        <f t="shared" si="11"/>
        <v>697.76340767044735</v>
      </c>
      <c r="AC37" s="31">
        <f t="shared" si="12"/>
        <v>703.65083763319785</v>
      </c>
      <c r="AD37" s="31">
        <f t="shared" si="12"/>
        <v>694.90643173973069</v>
      </c>
      <c r="AE37" s="31">
        <f t="shared" si="12"/>
        <v>712.83580833524707</v>
      </c>
      <c r="AF37" s="31">
        <f t="shared" si="12"/>
        <v>709.42411419590428</v>
      </c>
      <c r="AG37" s="31">
        <f t="shared" si="12"/>
        <v>694.99980628764183</v>
      </c>
      <c r="AH37" s="31">
        <f t="shared" si="12"/>
        <v>691.81675877100542</v>
      </c>
      <c r="AI37" s="31">
        <f t="shared" si="12"/>
        <v>699.08264664406749</v>
      </c>
      <c r="AJ37" s="31">
        <f t="shared" si="12"/>
        <v>698.85298856537952</v>
      </c>
    </row>
    <row r="38" spans="2:36">
      <c r="B38" s="37">
        <v>15253</v>
      </c>
      <c r="C38" s="34">
        <f>VLOOKUP($B38,Plagioclase!$AV$7:$BA$478,2,FALSE)</f>
        <v>0.25121427856293504</v>
      </c>
      <c r="D38" s="34">
        <f>VLOOKUP($B38,Plagioclase!$AV$7:$BA$478,3,FALSE)</f>
        <v>0.7006808710680511</v>
      </c>
      <c r="E38" s="34">
        <f>VLOOKUP($B38,Plagioclase!$AV$7:$BA$478,5,FALSE)</f>
        <v>3</v>
      </c>
      <c r="F38" s="29" t="str">
        <f>VLOOKUP($B38,Plagioclase!$AV$7:$BA$478,6,FALSE)</f>
        <v>26hHP08.5</v>
      </c>
      <c r="G38" s="31">
        <f t="shared" si="13"/>
        <v>798.48175317293942</v>
      </c>
      <c r="H38" s="31">
        <f t="shared" si="13"/>
        <v>790.07186299814646</v>
      </c>
      <c r="I38" s="31">
        <f t="shared" si="13"/>
        <v>803.40643279022413</v>
      </c>
      <c r="J38" s="31">
        <f t="shared" si="13"/>
        <v>709.30371324812211</v>
      </c>
      <c r="K38" s="31">
        <f t="shared" si="10"/>
        <v>811.98805662038569</v>
      </c>
      <c r="L38" s="31">
        <f t="shared" si="10"/>
        <v>791.25064453879247</v>
      </c>
      <c r="M38" s="31">
        <f t="shared" si="10"/>
        <v>800.42318097002214</v>
      </c>
      <c r="N38" s="31">
        <f t="shared" si="2"/>
        <v>806.6471462804501</v>
      </c>
      <c r="O38" s="31">
        <f t="shared" si="2"/>
        <v>798.03738849303465</v>
      </c>
      <c r="P38" s="31">
        <f t="shared" si="2"/>
        <v>803.55005195177148</v>
      </c>
      <c r="Q38" s="31">
        <f t="shared" si="10"/>
        <v>716.740909097187</v>
      </c>
      <c r="R38" s="31">
        <f t="shared" si="10"/>
        <v>724.51683900467037</v>
      </c>
      <c r="S38" s="31">
        <f t="shared" si="10"/>
        <v>744.54357255765365</v>
      </c>
      <c r="T38" s="31">
        <f t="shared" si="10"/>
        <v>733.01966963957022</v>
      </c>
      <c r="U38" s="31">
        <f t="shared" si="10"/>
        <v>784.67512273315754</v>
      </c>
      <c r="V38" s="31">
        <f t="shared" si="10"/>
        <v>771.52720298334305</v>
      </c>
      <c r="W38" s="31">
        <f t="shared" si="10"/>
        <v>765.88006940072103</v>
      </c>
      <c r="X38" s="31">
        <f t="shared" si="10"/>
        <v>780.16208914044444</v>
      </c>
      <c r="Y38" s="31">
        <f t="shared" si="11"/>
        <v>797.39718179511794</v>
      </c>
      <c r="Z38" s="31">
        <f t="shared" si="11"/>
        <v>782.99607695437828</v>
      </c>
      <c r="AA38" s="31">
        <f t="shared" si="11"/>
        <v>761.91367040171224</v>
      </c>
      <c r="AB38" s="31">
        <f t="shared" si="11"/>
        <v>715.40838343975349</v>
      </c>
      <c r="AC38" s="31">
        <f t="shared" si="12"/>
        <v>721.18691956025305</v>
      </c>
      <c r="AD38" s="31">
        <f t="shared" si="12"/>
        <v>712.65590774381985</v>
      </c>
      <c r="AE38" s="31">
        <f t="shared" si="12"/>
        <v>730.46964315221373</v>
      </c>
      <c r="AF38" s="31">
        <f t="shared" si="12"/>
        <v>726.87165876992253</v>
      </c>
      <c r="AG38" s="31">
        <f t="shared" si="12"/>
        <v>712.42632417002255</v>
      </c>
      <c r="AH38" s="31">
        <f t="shared" si="12"/>
        <v>709.53984889020671</v>
      </c>
      <c r="AI38" s="31">
        <f t="shared" si="12"/>
        <v>716.71491461334347</v>
      </c>
      <c r="AJ38" s="31">
        <f t="shared" si="12"/>
        <v>716.45014801332309</v>
      </c>
    </row>
  </sheetData>
  <mergeCells count="1">
    <mergeCell ref="A13:A17"/>
  </mergeCells>
  <conditionalFormatting sqref="G9:AJ10 G13:AJ38">
    <cfRule type="colorScale" priority="2">
      <colorScale>
        <cfvo type="num" val="600"/>
        <cfvo type="num" val="900"/>
        <cfvo type="num" val="1200"/>
        <color rgb="FF0000FF"/>
        <color rgb="FFFF0000"/>
        <color rgb="FFFFFF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Amphibole</vt:lpstr>
      <vt:lpstr>Plagioclase</vt:lpstr>
      <vt:lpstr>Holland &amp; Blundy (1994) A</vt:lpstr>
      <vt:lpstr>Holland &amp; Blundy (1994) B</vt:lpstr>
      <vt:lpstr>Holland &amp; Blundy (1994) A 0326</vt:lpstr>
      <vt:lpstr>Holland &amp; Blundy (1994) B 0326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Hora</dc:creator>
  <cp:lastModifiedBy>John Hora</cp:lastModifiedBy>
  <cp:lastPrinted>2012-08-22T08:55:14Z</cp:lastPrinted>
  <dcterms:created xsi:type="dcterms:W3CDTF">2012-08-20T08:59:14Z</dcterms:created>
  <dcterms:modified xsi:type="dcterms:W3CDTF">2013-02-11T09:48:39Z</dcterms:modified>
</cp:coreProperties>
</file>