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defaultThemeVersion="124226"/>
  <bookViews>
    <workbookView xWindow="60" yWindow="2475" windowWidth="5880" windowHeight="1275" firstSheet="5" activeTab="11"/>
  </bookViews>
  <sheets>
    <sheet name="Anx16AMN" sheetId="4" r:id="rId1"/>
    <sheet name="Anx16AME" sheetId="5" r:id="rId2"/>
    <sheet name="Anx16Atotal" sheetId="6" r:id="rId3"/>
    <sheet name="Anx16AInd" sheetId="7" r:id="rId4"/>
    <sheet name="AnxRendInt" sheetId="26" r:id="rId5"/>
    <sheet name="Disponible" sheetId="14" r:id="rId6"/>
    <sheet name="DisponibleDolares" sheetId="15" r:id="rId7"/>
    <sheet name="Ahorro2102" sheetId="8" r:id="rId8"/>
    <sheet name="CTS210305" sheetId="12" r:id="rId9"/>
    <sheet name="DepInmov210701" sheetId="17" r:id="rId10"/>
    <sheet name="OligVista2101" sheetId="25" r:id="rId11"/>
    <sheet name="Anx16BReg" sheetId="21" r:id="rId12"/>
    <sheet name="Creditos" sheetId="20" r:id="rId13"/>
    <sheet name="Anx16BEspecifico" sheetId="23" r:id="rId14"/>
    <sheet name="Créditos-Esc Especifico" sheetId="24" r:id="rId15"/>
  </sheets>
  <externalReferences>
    <externalReference r:id="rId16"/>
  </externalReferences>
  <definedNames>
    <definedName name="_xlnm._FilterDatabase" localSheetId="14" hidden="1">'Créditos-Esc Especifico'!#REF!</definedName>
    <definedName name="_xlnm.Print_Area" localSheetId="3" xml:space="preserve">     Anx16AInd!$A$1:$C$15</definedName>
    <definedName name="_xlnm.Print_Area" localSheetId="1" xml:space="preserve">  Anx16AME!$A$1:$N$95</definedName>
    <definedName name="_xlnm.Print_Area" localSheetId="0">Anx16AMN!$A$1:$N$95</definedName>
    <definedName name="_xlnm.Print_Area" localSheetId="2">Anx16Atotal!$A$1:$N$95</definedName>
    <definedName name="_xlnm.Print_Area" localSheetId="11">Anx16BReg!$A$1:$V$61</definedName>
    <definedName name="TCCF1" localSheetId="11">[1]Parámetros!$C$9</definedName>
    <definedName name="TCCF1">[1]Parámetros!$C$9</definedName>
    <definedName name="TCCF4" localSheetId="11">[1]Parámetros!$C$12</definedName>
    <definedName name="TCCF4">[1]Parámetros!$C$12</definedName>
  </definedNames>
  <calcPr calcId="124519"/>
  <customWorkbookViews>
    <customWorkbookView name="karu - Vista personalizada" guid="{D62CAC70-1ACE-4E87-9E99-FED2C7460049}" mergeInterval="0" personalView="1" maximized="1" xWindow="1" yWindow="1" windowWidth="1440" windowHeight="680" tabRatio="750" activeSheetId="4"/>
    <customWorkbookView name="opascual - Vista personalizada" guid="{4FE66BC3-94B4-4710-8AD9-CFB3A1891FB3}" mergeInterval="0" personalView="1" maximized="1" xWindow="1" yWindow="1" windowWidth="1276" windowHeight="579" tabRatio="750" activeSheetId="2"/>
    <customWorkbookView name="RSantillan - Vista personalizada" guid="{2FDD5145-1E6D-41A8-8E6A-3079E1C158EF}" mergeInterval="0" personalView="1" maximized="1" xWindow="1" yWindow="1" windowWidth="1440" windowHeight="679" tabRatio="750" activeSheetId="1"/>
    <customWorkbookView name="paga - Vista personalizada" guid="{D5145478-5081-4F28-88BB-A95644E8496C}" mergeInterval="0" personalView="1" maximized="1" xWindow="1" yWindow="1" windowWidth="1600" windowHeight="679" tabRatio="750" activeSheetId="4"/>
    <customWorkbookView name="Marcos Alberto Paredes Calderón - Vista personalizada" guid="{E21B7D27-3E40-4AEF-B95E-08CACAE41300}" mergeInterval="0" personalView="1" maximized="1" windowWidth="1916" windowHeight="855" tabRatio="750" activeSheetId="4"/>
  </customWorkbookViews>
</workbook>
</file>

<file path=xl/calcChain.xml><?xml version="1.0" encoding="utf-8"?>
<calcChain xmlns="http://schemas.openxmlformats.org/spreadsheetml/2006/main">
  <c r="V107" i="4"/>
  <c r="V104"/>
  <c r="V104" i="5"/>
  <c r="V105"/>
  <c r="V107"/>
  <c r="V110"/>
  <c r="Q102"/>
  <c r="Q101"/>
  <c r="Q27"/>
  <c r="Q27" i="4"/>
  <c r="Q89"/>
  <c r="V110"/>
  <c r="V105"/>
  <c r="J58" i="20" l="1"/>
  <c r="H45"/>
  <c r="H46"/>
  <c r="H47"/>
  <c r="H58" l="1"/>
  <c r="D44" i="26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M42" i="5" l="1"/>
  <c r="L42"/>
  <c r="K42"/>
  <c r="J42"/>
  <c r="I42"/>
  <c r="H42"/>
  <c r="G42"/>
  <c r="F42"/>
  <c r="E42"/>
  <c r="D42"/>
  <c r="M41"/>
  <c r="L41"/>
  <c r="K41"/>
  <c r="J41"/>
  <c r="I41"/>
  <c r="H41"/>
  <c r="G41"/>
  <c r="F41"/>
  <c r="E41"/>
  <c r="D41"/>
  <c r="C42"/>
  <c r="C41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C38"/>
  <c r="C37"/>
  <c r="M30"/>
  <c r="L30"/>
  <c r="K30"/>
  <c r="J30"/>
  <c r="I30"/>
  <c r="H30"/>
  <c r="G30"/>
  <c r="F30"/>
  <c r="E30"/>
  <c r="D30"/>
  <c r="M29"/>
  <c r="L29"/>
  <c r="K29"/>
  <c r="J29"/>
  <c r="I29"/>
  <c r="H29"/>
  <c r="G29"/>
  <c r="F29"/>
  <c r="E29"/>
  <c r="D29"/>
  <c r="C30"/>
  <c r="C29"/>
  <c r="M16"/>
  <c r="M17"/>
  <c r="M18"/>
  <c r="L16"/>
  <c r="L17"/>
  <c r="L18"/>
  <c r="K16"/>
  <c r="K17"/>
  <c r="K18"/>
  <c r="J16"/>
  <c r="J17"/>
  <c r="J18"/>
  <c r="I16"/>
  <c r="I17"/>
  <c r="I18"/>
  <c r="H16"/>
  <c r="H17"/>
  <c r="H18"/>
  <c r="G16"/>
  <c r="G17"/>
  <c r="G18"/>
  <c r="F16"/>
  <c r="F17"/>
  <c r="F18"/>
  <c r="E16"/>
  <c r="E17"/>
  <c r="E18"/>
  <c r="D16"/>
  <c r="D17"/>
  <c r="D18"/>
  <c r="M15"/>
  <c r="L15"/>
  <c r="K15"/>
  <c r="J15"/>
  <c r="I15"/>
  <c r="H15"/>
  <c r="G15"/>
  <c r="F15"/>
  <c r="E15"/>
  <c r="D15"/>
  <c r="C16"/>
  <c r="C17"/>
  <c r="C18"/>
  <c r="C15"/>
  <c r="C19"/>
  <c r="M42" i="4"/>
  <c r="L42"/>
  <c r="K42"/>
  <c r="J42"/>
  <c r="I42"/>
  <c r="H42"/>
  <c r="G42"/>
  <c r="F42"/>
  <c r="E42"/>
  <c r="D42"/>
  <c r="M41"/>
  <c r="L41"/>
  <c r="K41"/>
  <c r="J41"/>
  <c r="I41"/>
  <c r="H41"/>
  <c r="G41"/>
  <c r="F41"/>
  <c r="E41"/>
  <c r="D41"/>
  <c r="C42"/>
  <c r="C41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C38"/>
  <c r="C37"/>
  <c r="M30"/>
  <c r="L30"/>
  <c r="K30"/>
  <c r="J30"/>
  <c r="I30"/>
  <c r="H30"/>
  <c r="G30"/>
  <c r="F30"/>
  <c r="E30"/>
  <c r="D30"/>
  <c r="M29"/>
  <c r="L29"/>
  <c r="K29"/>
  <c r="J29"/>
  <c r="I29"/>
  <c r="H29"/>
  <c r="G29"/>
  <c r="F29"/>
  <c r="E29"/>
  <c r="D29"/>
  <c r="C30"/>
  <c r="C29"/>
  <c r="M16"/>
  <c r="M17"/>
  <c r="M18"/>
  <c r="L16"/>
  <c r="L17"/>
  <c r="L18"/>
  <c r="K16"/>
  <c r="K17"/>
  <c r="K18"/>
  <c r="J16"/>
  <c r="J17"/>
  <c r="J18"/>
  <c r="I16"/>
  <c r="I17"/>
  <c r="I18"/>
  <c r="H16"/>
  <c r="H17"/>
  <c r="H18"/>
  <c r="G16"/>
  <c r="G17"/>
  <c r="G18"/>
  <c r="F16"/>
  <c r="F17"/>
  <c r="F18"/>
  <c r="E16"/>
  <c r="E17"/>
  <c r="E18"/>
  <c r="D16"/>
  <c r="D17"/>
  <c r="D18"/>
  <c r="M15"/>
  <c r="L15"/>
  <c r="K15"/>
  <c r="J15"/>
  <c r="I15"/>
  <c r="H15"/>
  <c r="G15"/>
  <c r="F15"/>
  <c r="E15"/>
  <c r="D15"/>
  <c r="C16"/>
  <c r="C17"/>
  <c r="C18"/>
  <c r="C15"/>
  <c r="M26" i="5"/>
  <c r="M25"/>
  <c r="L26"/>
  <c r="L25"/>
  <c r="K26"/>
  <c r="K25"/>
  <c r="J26"/>
  <c r="J25"/>
  <c r="I26"/>
  <c r="I25"/>
  <c r="H26"/>
  <c r="H25"/>
  <c r="G26"/>
  <c r="G25"/>
  <c r="F26"/>
  <c r="F25"/>
  <c r="E26"/>
  <c r="E25"/>
  <c r="D26"/>
  <c r="D25"/>
  <c r="C26"/>
  <c r="C25"/>
  <c r="M26" i="4"/>
  <c r="M25"/>
  <c r="L26"/>
  <c r="L25"/>
  <c r="K26"/>
  <c r="K25"/>
  <c r="J26"/>
  <c r="J25"/>
  <c r="I26"/>
  <c r="I25"/>
  <c r="H26"/>
  <c r="H25"/>
  <c r="G26"/>
  <c r="G25"/>
  <c r="F26"/>
  <c r="F25"/>
  <c r="E26"/>
  <c r="E25"/>
  <c r="D26"/>
  <c r="D25"/>
  <c r="C26"/>
  <c r="C25"/>
  <c r="M24" i="5"/>
  <c r="L24"/>
  <c r="K24"/>
  <c r="J24"/>
  <c r="I24"/>
  <c r="H24"/>
  <c r="G24"/>
  <c r="F24"/>
  <c r="E24"/>
  <c r="D24"/>
  <c r="C24"/>
  <c r="M24" i="4"/>
  <c r="L24"/>
  <c r="K24"/>
  <c r="J24"/>
  <c r="I24"/>
  <c r="H24"/>
  <c r="G24"/>
  <c r="F24"/>
  <c r="E24"/>
  <c r="D24"/>
  <c r="C24"/>
  <c r="M35" i="5"/>
  <c r="M34"/>
  <c r="L35"/>
  <c r="L34"/>
  <c r="K35"/>
  <c r="K34"/>
  <c r="J35"/>
  <c r="J34"/>
  <c r="I35"/>
  <c r="I34"/>
  <c r="H35"/>
  <c r="H34"/>
  <c r="G35"/>
  <c r="G34"/>
  <c r="F35"/>
  <c r="F34"/>
  <c r="E35"/>
  <c r="E34"/>
  <c r="D35"/>
  <c r="D34"/>
  <c r="C35" l="1"/>
  <c r="C34"/>
  <c r="M35" i="4"/>
  <c r="M34"/>
  <c r="L35"/>
  <c r="L34"/>
  <c r="K35"/>
  <c r="K34"/>
  <c r="J35"/>
  <c r="J34"/>
  <c r="I35"/>
  <c r="I34"/>
  <c r="H35"/>
  <c r="H34"/>
  <c r="G35"/>
  <c r="G34"/>
  <c r="F35"/>
  <c r="F34"/>
  <c r="E35"/>
  <c r="E34"/>
  <c r="D35"/>
  <c r="D34"/>
  <c r="C35"/>
  <c r="C34"/>
  <c r="M43" i="5"/>
  <c r="L43"/>
  <c r="K43"/>
  <c r="J43"/>
  <c r="I43"/>
  <c r="H43"/>
  <c r="G43"/>
  <c r="F43"/>
  <c r="E43"/>
  <c r="D43"/>
  <c r="C43"/>
  <c r="M43" i="4"/>
  <c r="L43"/>
  <c r="K43"/>
  <c r="J43"/>
  <c r="I43"/>
  <c r="H43"/>
  <c r="G43"/>
  <c r="F43"/>
  <c r="E43"/>
  <c r="D43"/>
  <c r="C43"/>
  <c r="M39" i="5"/>
  <c r="L39"/>
  <c r="K39"/>
  <c r="J39"/>
  <c r="I39"/>
  <c r="H39"/>
  <c r="G39"/>
  <c r="F39"/>
  <c r="E39"/>
  <c r="D39"/>
  <c r="C39"/>
  <c r="M39" i="4"/>
  <c r="L39"/>
  <c r="K39"/>
  <c r="K39" i="6" s="1"/>
  <c r="J39" i="4"/>
  <c r="I39"/>
  <c r="I39" i="6" s="1"/>
  <c r="H39" i="4"/>
  <c r="G39"/>
  <c r="F39"/>
  <c r="E39"/>
  <c r="D39"/>
  <c r="C39"/>
  <c r="M32" i="5"/>
  <c r="M31"/>
  <c r="L32"/>
  <c r="L31"/>
  <c r="K32"/>
  <c r="K31"/>
  <c r="J32"/>
  <c r="J31"/>
  <c r="I32"/>
  <c r="I31"/>
  <c r="H32"/>
  <c r="H31"/>
  <c r="G32"/>
  <c r="G31"/>
  <c r="G31" i="6" s="1"/>
  <c r="F32" i="5"/>
  <c r="F31"/>
  <c r="E32"/>
  <c r="E31"/>
  <c r="E31" i="6" s="1"/>
  <c r="D32" i="5"/>
  <c r="D31"/>
  <c r="C32"/>
  <c r="C31"/>
  <c r="M32" i="4"/>
  <c r="M31"/>
  <c r="L32"/>
  <c r="L31"/>
  <c r="L31" i="6" s="1"/>
  <c r="K32" i="4"/>
  <c r="K31"/>
  <c r="J32"/>
  <c r="J31"/>
  <c r="J31" i="6" s="1"/>
  <c r="I32" i="4"/>
  <c r="I31"/>
  <c r="H32"/>
  <c r="G32"/>
  <c r="F32"/>
  <c r="E32"/>
  <c r="E31"/>
  <c r="F31"/>
  <c r="G31"/>
  <c r="H31"/>
  <c r="H31" i="6" s="1"/>
  <c r="D32" i="4"/>
  <c r="D31"/>
  <c r="C32"/>
  <c r="C31"/>
  <c r="M20" i="5"/>
  <c r="M21"/>
  <c r="M22"/>
  <c r="M19"/>
  <c r="L20"/>
  <c r="L21"/>
  <c r="L22"/>
  <c r="L19"/>
  <c r="K20"/>
  <c r="K21"/>
  <c r="K22"/>
  <c r="K19"/>
  <c r="J20"/>
  <c r="J21"/>
  <c r="J22"/>
  <c r="J19"/>
  <c r="I20"/>
  <c r="I21"/>
  <c r="I22"/>
  <c r="I19"/>
  <c r="H20"/>
  <c r="H21"/>
  <c r="H22"/>
  <c r="H19"/>
  <c r="G20"/>
  <c r="G21"/>
  <c r="G22"/>
  <c r="G19"/>
  <c r="F20"/>
  <c r="F21"/>
  <c r="F22"/>
  <c r="F19"/>
  <c r="E20"/>
  <c r="E21"/>
  <c r="E22"/>
  <c r="E19"/>
  <c r="C21"/>
  <c r="D20"/>
  <c r="D21"/>
  <c r="D22"/>
  <c r="D19"/>
  <c r="C20"/>
  <c r="C22"/>
  <c r="M20" i="4"/>
  <c r="M21"/>
  <c r="M22"/>
  <c r="M19"/>
  <c r="L20"/>
  <c r="L21"/>
  <c r="L22"/>
  <c r="L19"/>
  <c r="K20"/>
  <c r="K21"/>
  <c r="K22"/>
  <c r="K19"/>
  <c r="J20"/>
  <c r="J21"/>
  <c r="J22"/>
  <c r="J19"/>
  <c r="I20"/>
  <c r="I21"/>
  <c r="I22"/>
  <c r="I19"/>
  <c r="H20"/>
  <c r="H21"/>
  <c r="H22"/>
  <c r="H19"/>
  <c r="G20"/>
  <c r="G21"/>
  <c r="G22"/>
  <c r="G19"/>
  <c r="F20"/>
  <c r="F21"/>
  <c r="F22"/>
  <c r="F19"/>
  <c r="E20"/>
  <c r="E21"/>
  <c r="E22"/>
  <c r="E19"/>
  <c r="D20"/>
  <c r="D21"/>
  <c r="D22"/>
  <c r="D19"/>
  <c r="C20"/>
  <c r="C21"/>
  <c r="C22"/>
  <c r="C19"/>
  <c r="AC52" i="26"/>
  <c r="AE52" s="1"/>
  <c r="AC53"/>
  <c r="AC51"/>
  <c r="AB52"/>
  <c r="AB53"/>
  <c r="AB51"/>
  <c r="AC46"/>
  <c r="AE46" s="1"/>
  <c r="AC47"/>
  <c r="AE47" s="1"/>
  <c r="AC45"/>
  <c r="AE45" s="1"/>
  <c r="AB46"/>
  <c r="AB47"/>
  <c r="AB45"/>
  <c r="AC41"/>
  <c r="AE41" s="1"/>
  <c r="AC40"/>
  <c r="AB41"/>
  <c r="AB40"/>
  <c r="AB34"/>
  <c r="AB35"/>
  <c r="AB36"/>
  <c r="AB33"/>
  <c r="AC34"/>
  <c r="AE34" s="1"/>
  <c r="AC35"/>
  <c r="AC36"/>
  <c r="AC33"/>
  <c r="AC26"/>
  <c r="AE26" s="1"/>
  <c r="AC27"/>
  <c r="AC25"/>
  <c r="AE25" s="1"/>
  <c r="AB26"/>
  <c r="AD26" s="1"/>
  <c r="AB27"/>
  <c r="AB25"/>
  <c r="AD25" s="1"/>
  <c r="AC16"/>
  <c r="AE16" s="1"/>
  <c r="AC17"/>
  <c r="AE17" s="1"/>
  <c r="AC18"/>
  <c r="AE18" s="1"/>
  <c r="AC19"/>
  <c r="AB16"/>
  <c r="AB17"/>
  <c r="AB18"/>
  <c r="AB19"/>
  <c r="AC13"/>
  <c r="AE13" s="1"/>
  <c r="AC14"/>
  <c r="AE14" s="1"/>
  <c r="AC15"/>
  <c r="AC12"/>
  <c r="AB13"/>
  <c r="AB14"/>
  <c r="AB15"/>
  <c r="AB12"/>
  <c r="AD53"/>
  <c r="AE35"/>
  <c r="D32"/>
  <c r="E32"/>
  <c r="F32"/>
  <c r="G32"/>
  <c r="H32"/>
  <c r="H31" s="1"/>
  <c r="I32"/>
  <c r="J32"/>
  <c r="J31" s="1"/>
  <c r="K32"/>
  <c r="L32"/>
  <c r="M32"/>
  <c r="N32"/>
  <c r="N31" s="1"/>
  <c r="O32"/>
  <c r="P32"/>
  <c r="P31" s="1"/>
  <c r="Q32"/>
  <c r="R32"/>
  <c r="R31" s="1"/>
  <c r="S32"/>
  <c r="T32"/>
  <c r="T31" s="1"/>
  <c r="U32"/>
  <c r="V32"/>
  <c r="V31" s="1"/>
  <c r="W32"/>
  <c r="X32"/>
  <c r="X31" s="1"/>
  <c r="C32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C50"/>
  <c r="C44"/>
  <c r="Y44" s="1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C39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D24"/>
  <c r="C24"/>
  <c r="E11"/>
  <c r="E10" s="1"/>
  <c r="F11"/>
  <c r="G11"/>
  <c r="G10" s="1"/>
  <c r="H11"/>
  <c r="I11"/>
  <c r="J11"/>
  <c r="J10" s="1"/>
  <c r="K11"/>
  <c r="K10" s="1"/>
  <c r="L11"/>
  <c r="L10" s="1"/>
  <c r="M11"/>
  <c r="M10" s="1"/>
  <c r="N11"/>
  <c r="O11"/>
  <c r="O10" s="1"/>
  <c r="P11"/>
  <c r="Q11"/>
  <c r="R11"/>
  <c r="S11"/>
  <c r="S10" s="1"/>
  <c r="T11"/>
  <c r="U11"/>
  <c r="V11"/>
  <c r="V10" s="1"/>
  <c r="W11"/>
  <c r="X11"/>
  <c r="X10" s="1"/>
  <c r="D11"/>
  <c r="D10" s="1"/>
  <c r="C11"/>
  <c r="C10" s="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3"/>
  <c r="Z34"/>
  <c r="Z35"/>
  <c r="Z36"/>
  <c r="Z37"/>
  <c r="Z38"/>
  <c r="Z40"/>
  <c r="Z41"/>
  <c r="Z42"/>
  <c r="Z43"/>
  <c r="Z44"/>
  <c r="Z45"/>
  <c r="Z46"/>
  <c r="Z47"/>
  <c r="Z48"/>
  <c r="Z49"/>
  <c r="Z51"/>
  <c r="Z52"/>
  <c r="Z53"/>
  <c r="Z54"/>
  <c r="Z55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3"/>
  <c r="Y34"/>
  <c r="Y35"/>
  <c r="Y36"/>
  <c r="Y37"/>
  <c r="Y38"/>
  <c r="Y40"/>
  <c r="Y41"/>
  <c r="Y42"/>
  <c r="Y43"/>
  <c r="Y45"/>
  <c r="Y46"/>
  <c r="Y47"/>
  <c r="Y48"/>
  <c r="Y49"/>
  <c r="Y51"/>
  <c r="Y52"/>
  <c r="Y53"/>
  <c r="Y54"/>
  <c r="Y55"/>
  <c r="A3"/>
  <c r="T10" l="1"/>
  <c r="R10"/>
  <c r="P10"/>
  <c r="N10"/>
  <c r="H10"/>
  <c r="F10"/>
  <c r="AE53"/>
  <c r="AE36"/>
  <c r="AE19"/>
  <c r="AD35"/>
  <c r="AD36"/>
  <c r="AD47"/>
  <c r="AD16"/>
  <c r="W31"/>
  <c r="U31"/>
  <c r="S31"/>
  <c r="Q31"/>
  <c r="O31"/>
  <c r="M31"/>
  <c r="K31"/>
  <c r="I31"/>
  <c r="E31"/>
  <c r="C31"/>
  <c r="F31"/>
  <c r="Z31" s="1"/>
  <c r="X19" i="21"/>
  <c r="X19" i="23"/>
  <c r="AE51" i="26"/>
  <c r="W10"/>
  <c r="I10"/>
  <c r="L31"/>
  <c r="Z39"/>
  <c r="D31"/>
  <c r="AE40"/>
  <c r="AE27"/>
  <c r="AD46"/>
  <c r="AD52"/>
  <c r="G31"/>
  <c r="AD41"/>
  <c r="AD40"/>
  <c r="U10"/>
  <c r="Q10"/>
  <c r="AD27"/>
  <c r="X17" i="23"/>
  <c r="X17" i="21"/>
  <c r="AE33" i="26"/>
  <c r="X18" i="21"/>
  <c r="X18" i="23"/>
  <c r="X16"/>
  <c r="X16" i="21"/>
  <c r="AE15" i="26"/>
  <c r="W19" i="23"/>
  <c r="W19" i="21"/>
  <c r="AD51" i="26"/>
  <c r="AD33"/>
  <c r="W17" i="23"/>
  <c r="W17" i="21"/>
  <c r="AD34" i="26"/>
  <c r="W18" i="23"/>
  <c r="W18" i="21"/>
  <c r="AD45" i="26"/>
  <c r="AD15"/>
  <c r="W16" i="23"/>
  <c r="W16" i="21"/>
  <c r="F31" i="6"/>
  <c r="M39"/>
  <c r="N39" i="4"/>
  <c r="G39" i="6"/>
  <c r="H39"/>
  <c r="AD12" i="26"/>
  <c r="AE12"/>
  <c r="AD13"/>
  <c r="AD19"/>
  <c r="AD18"/>
  <c r="AD17"/>
  <c r="AD14"/>
  <c r="Z10"/>
  <c r="Z50"/>
  <c r="Y50"/>
  <c r="Y39"/>
  <c r="Z32"/>
  <c r="Y32"/>
  <c r="Z24"/>
  <c r="Y24"/>
  <c r="Y11"/>
  <c r="Z11"/>
  <c r="Y31" l="1"/>
  <c r="Y10"/>
  <c r="I144" i="24" l="1"/>
  <c r="H144"/>
  <c r="G144"/>
  <c r="F144"/>
  <c r="E144"/>
  <c r="I143"/>
  <c r="H143"/>
  <c r="G143"/>
  <c r="F143"/>
  <c r="E143"/>
  <c r="I142"/>
  <c r="H142"/>
  <c r="G142"/>
  <c r="F142"/>
  <c r="E142"/>
  <c r="I128"/>
  <c r="H128"/>
  <c r="G128"/>
  <c r="G138" s="1"/>
  <c r="F128"/>
  <c r="E128"/>
  <c r="E133" s="1"/>
  <c r="I127"/>
  <c r="H127"/>
  <c r="G137" s="1"/>
  <c r="G127"/>
  <c r="F127"/>
  <c r="F132" s="1"/>
  <c r="E127"/>
  <c r="I126"/>
  <c r="H126"/>
  <c r="G126"/>
  <c r="G131" s="1"/>
  <c r="F126"/>
  <c r="E126"/>
  <c r="I112"/>
  <c r="H112"/>
  <c r="G112"/>
  <c r="F112"/>
  <c r="E112"/>
  <c r="I111"/>
  <c r="H111"/>
  <c r="G111"/>
  <c r="F111"/>
  <c r="E111"/>
  <c r="I110"/>
  <c r="H110"/>
  <c r="G110"/>
  <c r="F110"/>
  <c r="E110"/>
  <c r="I96"/>
  <c r="H96"/>
  <c r="G96"/>
  <c r="F96"/>
  <c r="E96"/>
  <c r="I95"/>
  <c r="H95"/>
  <c r="G95"/>
  <c r="F95"/>
  <c r="E95"/>
  <c r="I94"/>
  <c r="H94"/>
  <c r="G94"/>
  <c r="F94"/>
  <c r="E94"/>
  <c r="I80"/>
  <c r="H80"/>
  <c r="G80"/>
  <c r="F80"/>
  <c r="E80"/>
  <c r="I79"/>
  <c r="H79"/>
  <c r="G79"/>
  <c r="F79"/>
  <c r="E79"/>
  <c r="I78"/>
  <c r="H78"/>
  <c r="G78"/>
  <c r="F78"/>
  <c r="E78"/>
  <c r="R35" i="21"/>
  <c r="R35" i="23" s="1"/>
  <c r="Q35" i="21"/>
  <c r="Q35" i="23" s="1"/>
  <c r="P35" i="21"/>
  <c r="P35" i="23" s="1"/>
  <c r="O35" i="21"/>
  <c r="O35" i="23" s="1"/>
  <c r="G147" i="24" l="1"/>
  <c r="H152"/>
  <c r="F153"/>
  <c r="G154"/>
  <c r="H149"/>
  <c r="H116"/>
  <c r="G122"/>
  <c r="E120"/>
  <c r="H115"/>
  <c r="G116"/>
  <c r="F117"/>
  <c r="H121"/>
  <c r="H131"/>
  <c r="G132"/>
  <c r="F133"/>
  <c r="H133"/>
  <c r="H136"/>
  <c r="F138"/>
  <c r="F152"/>
  <c r="G153"/>
  <c r="H148"/>
  <c r="F154"/>
  <c r="F147"/>
  <c r="G148"/>
  <c r="F148"/>
  <c r="H137"/>
  <c r="E115"/>
  <c r="G120"/>
  <c r="F121"/>
  <c r="E122"/>
  <c r="F136"/>
  <c r="E137"/>
  <c r="E152"/>
  <c r="E149"/>
  <c r="H122"/>
  <c r="G117"/>
  <c r="H117"/>
  <c r="H132"/>
  <c r="G133"/>
  <c r="H138"/>
  <c r="H147"/>
  <c r="H153"/>
  <c r="H154"/>
  <c r="G149"/>
  <c r="E147"/>
  <c r="E116"/>
  <c r="G115"/>
  <c r="F116"/>
  <c r="E117"/>
  <c r="F120"/>
  <c r="H120"/>
  <c r="G121"/>
  <c r="F122"/>
  <c r="G136"/>
  <c r="F137"/>
  <c r="E138"/>
  <c r="E148"/>
  <c r="F149"/>
  <c r="G152"/>
  <c r="F115"/>
  <c r="E131"/>
  <c r="F131"/>
  <c r="E132"/>
  <c r="E154"/>
  <c r="E153"/>
  <c r="E121"/>
  <c r="E136"/>
  <c r="H88"/>
  <c r="F90"/>
  <c r="E104"/>
  <c r="F106"/>
  <c r="H85"/>
  <c r="E89"/>
  <c r="G106"/>
  <c r="G105"/>
  <c r="E83"/>
  <c r="H89"/>
  <c r="F104"/>
  <c r="G83"/>
  <c r="E90"/>
  <c r="H104"/>
  <c r="G89"/>
  <c r="G90"/>
  <c r="H105"/>
  <c r="H90"/>
  <c r="E105"/>
  <c r="F88"/>
  <c r="F89"/>
  <c r="G104"/>
  <c r="F105"/>
  <c r="E106"/>
  <c r="F84"/>
  <c r="G88"/>
  <c r="H84"/>
  <c r="E85"/>
  <c r="F83"/>
  <c r="E84"/>
  <c r="G85"/>
  <c r="H83"/>
  <c r="G84"/>
  <c r="F85"/>
  <c r="E88"/>
  <c r="H106"/>
  <c r="C24" i="25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3"/>
  <c r="Q72" i="5" l="1"/>
  <c r="Q72" i="4"/>
  <c r="X10" l="1"/>
  <c r="X10" i="5"/>
  <c r="I36" i="24" l="1"/>
  <c r="E80" i="20"/>
  <c r="F80"/>
  <c r="G80"/>
  <c r="H80"/>
  <c r="I80"/>
  <c r="E79"/>
  <c r="F79"/>
  <c r="G79"/>
  <c r="H79"/>
  <c r="I79"/>
  <c r="E78"/>
  <c r="F78"/>
  <c r="G78"/>
  <c r="H78"/>
  <c r="I78"/>
  <c r="E64" i="24"/>
  <c r="F64"/>
  <c r="G64"/>
  <c r="H64"/>
  <c r="I64"/>
  <c r="E63"/>
  <c r="F63"/>
  <c r="G63"/>
  <c r="H63"/>
  <c r="I63"/>
  <c r="E62"/>
  <c r="F62"/>
  <c r="G62"/>
  <c r="H62"/>
  <c r="I62"/>
  <c r="M154"/>
  <c r="M153"/>
  <c r="M152"/>
  <c r="M149"/>
  <c r="M148"/>
  <c r="M147"/>
  <c r="M138"/>
  <c r="M137"/>
  <c r="M136"/>
  <c r="M133"/>
  <c r="M132"/>
  <c r="M131"/>
  <c r="M122"/>
  <c r="M121"/>
  <c r="M120"/>
  <c r="M117"/>
  <c r="M116"/>
  <c r="M115"/>
  <c r="M106"/>
  <c r="M105"/>
  <c r="M104"/>
  <c r="M101"/>
  <c r="M100"/>
  <c r="F100"/>
  <c r="M99"/>
  <c r="M90"/>
  <c r="M89"/>
  <c r="M88"/>
  <c r="M85"/>
  <c r="M84"/>
  <c r="M83"/>
  <c r="M74"/>
  <c r="M73"/>
  <c r="M72"/>
  <c r="M69"/>
  <c r="M68"/>
  <c r="M67"/>
  <c r="L14"/>
  <c r="K14"/>
  <c r="J14"/>
  <c r="I14"/>
  <c r="Q22" s="1"/>
  <c r="H14"/>
  <c r="O22" s="1"/>
  <c r="G14"/>
  <c r="M22" s="1"/>
  <c r="F14"/>
  <c r="K22" s="1"/>
  <c r="E14"/>
  <c r="I22" s="1"/>
  <c r="D14"/>
  <c r="G22" s="1"/>
  <c r="C14"/>
  <c r="E22" s="1"/>
  <c r="B14"/>
  <c r="C22" s="1"/>
  <c r="L13"/>
  <c r="K13"/>
  <c r="J13"/>
  <c r="I13"/>
  <c r="Q21" s="1"/>
  <c r="H13"/>
  <c r="O21" s="1"/>
  <c r="G13"/>
  <c r="M21" s="1"/>
  <c r="F13"/>
  <c r="K21" s="1"/>
  <c r="E13"/>
  <c r="I21" s="1"/>
  <c r="D13"/>
  <c r="G21" s="1"/>
  <c r="C13"/>
  <c r="E21" s="1"/>
  <c r="B13"/>
  <c r="C21" s="1"/>
  <c r="L12"/>
  <c r="K12"/>
  <c r="J12"/>
  <c r="I12"/>
  <c r="Q20" s="1"/>
  <c r="H12"/>
  <c r="O20" s="1"/>
  <c r="G12"/>
  <c r="M20" s="1"/>
  <c r="F12"/>
  <c r="K20" s="1"/>
  <c r="E12"/>
  <c r="I20" s="1"/>
  <c r="D12"/>
  <c r="G20" s="1"/>
  <c r="C12"/>
  <c r="E20" s="1"/>
  <c r="B12"/>
  <c r="C20" s="1"/>
  <c r="L11"/>
  <c r="K11"/>
  <c r="J11"/>
  <c r="I11"/>
  <c r="Q19" s="1"/>
  <c r="H11"/>
  <c r="O19" s="1"/>
  <c r="G11"/>
  <c r="M19" s="1"/>
  <c r="F11"/>
  <c r="K19" s="1"/>
  <c r="E11"/>
  <c r="I19" s="1"/>
  <c r="D11"/>
  <c r="G19" s="1"/>
  <c r="C11"/>
  <c r="E19" s="1"/>
  <c r="B11"/>
  <c r="C19" s="1"/>
  <c r="L7"/>
  <c r="K7"/>
  <c r="J7"/>
  <c r="I7"/>
  <c r="P22" s="1"/>
  <c r="H7"/>
  <c r="N22" s="1"/>
  <c r="G7"/>
  <c r="L22" s="1"/>
  <c r="F7"/>
  <c r="J22" s="1"/>
  <c r="E7"/>
  <c r="H22" s="1"/>
  <c r="D7"/>
  <c r="F22" s="1"/>
  <c r="C7"/>
  <c r="B7"/>
  <c r="B22" s="1"/>
  <c r="L6"/>
  <c r="K6"/>
  <c r="J6"/>
  <c r="I6"/>
  <c r="P21" s="1"/>
  <c r="H6"/>
  <c r="N21" s="1"/>
  <c r="G6"/>
  <c r="L21" s="1"/>
  <c r="F6"/>
  <c r="J21" s="1"/>
  <c r="E6"/>
  <c r="H21" s="1"/>
  <c r="D6"/>
  <c r="F21" s="1"/>
  <c r="C6"/>
  <c r="D21" s="1"/>
  <c r="B6"/>
  <c r="B21" s="1"/>
  <c r="L5"/>
  <c r="K5"/>
  <c r="J5"/>
  <c r="I5"/>
  <c r="P20" s="1"/>
  <c r="H5"/>
  <c r="N20" s="1"/>
  <c r="G5"/>
  <c r="L20" s="1"/>
  <c r="F5"/>
  <c r="J20" s="1"/>
  <c r="E5"/>
  <c r="H20" s="1"/>
  <c r="D5"/>
  <c r="F20" s="1"/>
  <c r="C5"/>
  <c r="B5"/>
  <c r="B20" s="1"/>
  <c r="L4"/>
  <c r="K4"/>
  <c r="J4"/>
  <c r="I4"/>
  <c r="P19" s="1"/>
  <c r="H4"/>
  <c r="N19" s="1"/>
  <c r="G4"/>
  <c r="L19" s="1"/>
  <c r="F4"/>
  <c r="J19" s="1"/>
  <c r="E4"/>
  <c r="H19" s="1"/>
  <c r="D4"/>
  <c r="F19" s="1"/>
  <c r="C4"/>
  <c r="D19" s="1"/>
  <c r="B4"/>
  <c r="B19" s="1"/>
  <c r="E68" l="1"/>
  <c r="E73"/>
  <c r="E67"/>
  <c r="E72"/>
  <c r="H73"/>
  <c r="H68"/>
  <c r="E69"/>
  <c r="E74"/>
  <c r="H69"/>
  <c r="H74"/>
  <c r="G74"/>
  <c r="G69"/>
  <c r="G68"/>
  <c r="G73"/>
  <c r="H72"/>
  <c r="H67"/>
  <c r="G67"/>
  <c r="G72"/>
  <c r="F67"/>
  <c r="F72"/>
  <c r="F69"/>
  <c r="F74"/>
  <c r="F68"/>
  <c r="F73"/>
  <c r="F101"/>
  <c r="R22"/>
  <c r="S19"/>
  <c r="U19" s="1"/>
  <c r="R19"/>
  <c r="T19" s="1"/>
  <c r="S20"/>
  <c r="U20" s="1"/>
  <c r="S21"/>
  <c r="U21" s="1"/>
  <c r="R20"/>
  <c r="E100"/>
  <c r="H99"/>
  <c r="H101"/>
  <c r="G99"/>
  <c r="E99"/>
  <c r="F99"/>
  <c r="G100"/>
  <c r="H100"/>
  <c r="E101"/>
  <c r="G101"/>
  <c r="R21"/>
  <c r="T21" s="1"/>
  <c r="S22"/>
  <c r="U22" s="1"/>
  <c r="M7"/>
  <c r="M5"/>
  <c r="M14"/>
  <c r="M4"/>
  <c r="M6"/>
  <c r="M11"/>
  <c r="M13"/>
  <c r="D20"/>
  <c r="D22"/>
  <c r="M12"/>
  <c r="E144" i="20"/>
  <c r="F144"/>
  <c r="G144"/>
  <c r="H144"/>
  <c r="I144"/>
  <c r="E143"/>
  <c r="F143"/>
  <c r="G143"/>
  <c r="H143"/>
  <c r="I143"/>
  <c r="E142"/>
  <c r="F142"/>
  <c r="G142"/>
  <c r="H142"/>
  <c r="I142"/>
  <c r="M154"/>
  <c r="M153"/>
  <c r="M152"/>
  <c r="M149"/>
  <c r="M148"/>
  <c r="M147"/>
  <c r="F96"/>
  <c r="G96"/>
  <c r="H96"/>
  <c r="I96"/>
  <c r="F95"/>
  <c r="G95"/>
  <c r="H95"/>
  <c r="I95"/>
  <c r="E95"/>
  <c r="E96"/>
  <c r="F94"/>
  <c r="G94"/>
  <c r="H94"/>
  <c r="I94"/>
  <c r="E94"/>
  <c r="M106"/>
  <c r="M105"/>
  <c r="M104"/>
  <c r="M101"/>
  <c r="M100"/>
  <c r="M99"/>
  <c r="I43" i="24"/>
  <c r="I44"/>
  <c r="I42"/>
  <c r="I39"/>
  <c r="I40"/>
  <c r="I38"/>
  <c r="I41" i="20"/>
  <c r="E34" s="1"/>
  <c r="T22" i="24" l="1"/>
  <c r="T20"/>
  <c r="I41"/>
  <c r="E34" s="1"/>
  <c r="D81" i="21" l="1"/>
  <c r="E81"/>
  <c r="F81"/>
  <c r="G81"/>
  <c r="H81"/>
  <c r="I81"/>
  <c r="J81"/>
  <c r="K81"/>
  <c r="L81"/>
  <c r="M81"/>
  <c r="N81"/>
  <c r="O81"/>
  <c r="P81"/>
  <c r="Q81"/>
  <c r="R81"/>
  <c r="S81"/>
  <c r="T81"/>
  <c r="C81"/>
  <c r="E56" i="24" l="1"/>
  <c r="E55"/>
  <c r="E54"/>
  <c r="E53"/>
  <c r="E52"/>
  <c r="E51"/>
  <c r="C52"/>
  <c r="C53"/>
  <c r="C54"/>
  <c r="C55"/>
  <c r="C56"/>
  <c r="C51"/>
  <c r="J56"/>
  <c r="H56"/>
  <c r="J55"/>
  <c r="H55"/>
  <c r="J54"/>
  <c r="H54"/>
  <c r="J53"/>
  <c r="H53"/>
  <c r="J52"/>
  <c r="H52"/>
  <c r="J51"/>
  <c r="H51"/>
  <c r="J56" i="20"/>
  <c r="J51"/>
  <c r="J52"/>
  <c r="J53"/>
  <c r="J54"/>
  <c r="J55"/>
  <c r="Q89" i="5"/>
  <c r="Q97" s="1"/>
  <c r="Q56"/>
  <c r="Q55"/>
  <c r="Q54"/>
  <c r="Q45"/>
  <c r="X21" i="21" s="1"/>
  <c r="K89" i="5"/>
  <c r="E89"/>
  <c r="C89"/>
  <c r="V75"/>
  <c r="V74"/>
  <c r="J72" s="1"/>
  <c r="V73"/>
  <c r="E72" s="1"/>
  <c r="V72"/>
  <c r="C72" s="1"/>
  <c r="T49"/>
  <c r="J50" i="24" s="1"/>
  <c r="T48" i="5"/>
  <c r="J49" i="24" s="1"/>
  <c r="T47" i="5"/>
  <c r="H56" i="20"/>
  <c r="H51"/>
  <c r="H52"/>
  <c r="H53"/>
  <c r="H54"/>
  <c r="H55"/>
  <c r="Q45" i="4"/>
  <c r="V75"/>
  <c r="K72" s="1"/>
  <c r="W75" s="1"/>
  <c r="V74"/>
  <c r="J72" s="1"/>
  <c r="W74" s="1"/>
  <c r="V73"/>
  <c r="E72" s="1"/>
  <c r="W73" s="1"/>
  <c r="R74" i="5" l="1"/>
  <c r="T60"/>
  <c r="Q98"/>
  <c r="Q100" s="1"/>
  <c r="Q104" s="1"/>
  <c r="Q86"/>
  <c r="J50" i="20"/>
  <c r="J48"/>
  <c r="J49"/>
  <c r="J48" i="24"/>
  <c r="J57" s="1"/>
  <c r="H89" i="5"/>
  <c r="W107" s="1"/>
  <c r="W110"/>
  <c r="K72"/>
  <c r="T21" i="21" s="1"/>
  <c r="W104" i="5"/>
  <c r="W105"/>
  <c r="W72"/>
  <c r="W73"/>
  <c r="W74"/>
  <c r="J57" i="20" l="1"/>
  <c r="W75" i="5"/>
  <c r="T48" i="4"/>
  <c r="T49"/>
  <c r="T47"/>
  <c r="V72"/>
  <c r="C72" s="1"/>
  <c r="W72" s="1"/>
  <c r="E89"/>
  <c r="W105" s="1"/>
  <c r="K89"/>
  <c r="W110" s="1"/>
  <c r="H89"/>
  <c r="W107" s="1"/>
  <c r="C89"/>
  <c r="Q54"/>
  <c r="R74"/>
  <c r="Q56"/>
  <c r="Q55"/>
  <c r="F86"/>
  <c r="I35" i="21" s="1"/>
  <c r="I35" i="23" s="1"/>
  <c r="Q86" i="4" l="1"/>
  <c r="H48" i="24"/>
  <c r="H48" i="20"/>
  <c r="T60" i="4"/>
  <c r="H50" i="24"/>
  <c r="H50" i="20"/>
  <c r="H49" i="24"/>
  <c r="H49" i="20"/>
  <c r="W104" i="4"/>
  <c r="N6" i="7"/>
  <c r="H57" i="20" l="1"/>
  <c r="H57" i="24"/>
  <c r="W6" i="5"/>
  <c r="W6" i="4"/>
  <c r="H86" i="5" l="1"/>
  <c r="N35" i="21" s="1"/>
  <c r="N35" i="23" s="1"/>
  <c r="H86" i="4"/>
  <c r="M35" i="21" s="1"/>
  <c r="M35" i="23" s="1"/>
  <c r="C89" i="6" l="1"/>
  <c r="D45"/>
  <c r="E45"/>
  <c r="F45"/>
  <c r="G45"/>
  <c r="H45"/>
  <c r="I45"/>
  <c r="J45"/>
  <c r="K45"/>
  <c r="L45"/>
  <c r="M45"/>
  <c r="C45"/>
  <c r="X13" i="21" l="1"/>
  <c r="Z44"/>
  <c r="Y44"/>
  <c r="Z43"/>
  <c r="Y43"/>
  <c r="Y41"/>
  <c r="Y40"/>
  <c r="Y36"/>
  <c r="D39"/>
  <c r="C39"/>
  <c r="D38"/>
  <c r="C38"/>
  <c r="V40" l="1"/>
  <c r="Z40" s="1"/>
  <c r="V41"/>
  <c r="Z41" s="1"/>
  <c r="V36"/>
  <c r="Z36" s="1"/>
  <c r="C9" i="7" l="1"/>
  <c r="B9"/>
  <c r="C28"/>
  <c r="C7" s="1"/>
  <c r="B28"/>
  <c r="B7" s="1"/>
  <c r="C27"/>
  <c r="B27"/>
  <c r="C26"/>
  <c r="C5" s="1"/>
  <c r="B26"/>
  <c r="B5" s="1"/>
  <c r="C25"/>
  <c r="C4" s="1"/>
  <c r="B25"/>
  <c r="B4" s="1"/>
  <c r="B6" l="1"/>
  <c r="C6"/>
  <c r="A3" i="23"/>
  <c r="A3" i="21"/>
  <c r="A2" i="7" l="1"/>
  <c r="B3" i="6"/>
  <c r="A3" i="5"/>
  <c r="D37" i="21" l="1"/>
  <c r="V37" s="1"/>
  <c r="K274" i="17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74" i="12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74" i="8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Q52" i="5"/>
  <c r="X35" i="21" s="1"/>
  <c r="Q8" i="5"/>
  <c r="X11"/>
  <c r="V10"/>
  <c r="Q9" s="1"/>
  <c r="V11" s="1"/>
  <c r="W9"/>
  <c r="W8"/>
  <c r="W7"/>
  <c r="W5"/>
  <c r="W4"/>
  <c r="W3"/>
  <c r="C37" i="21"/>
  <c r="U37" s="1"/>
  <c r="Q52" i="4"/>
  <c r="Q9"/>
  <c r="Y13"/>
  <c r="Q8" s="1"/>
  <c r="V10"/>
  <c r="W9"/>
  <c r="W8"/>
  <c r="W7"/>
  <c r="W5"/>
  <c r="W4"/>
  <c r="W3"/>
  <c r="X3" i="23"/>
  <c r="X2"/>
  <c r="X1"/>
  <c r="K23" i="25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C101" i="15"/>
  <c r="C277" i="25"/>
  <c r="C281" s="1"/>
  <c r="D281" s="1"/>
  <c r="T42" i="23"/>
  <c r="S42"/>
  <c r="R42"/>
  <c r="Q42"/>
  <c r="P42"/>
  <c r="O42"/>
  <c r="N42"/>
  <c r="M42"/>
  <c r="L42"/>
  <c r="K42"/>
  <c r="J42"/>
  <c r="I42"/>
  <c r="H42"/>
  <c r="G42"/>
  <c r="F42"/>
  <c r="E42"/>
  <c r="D42"/>
  <c r="C42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54"/>
  <c r="T54"/>
  <c r="S54"/>
  <c r="R54"/>
  <c r="Q54"/>
  <c r="P54"/>
  <c r="O54"/>
  <c r="N54"/>
  <c r="L54"/>
  <c r="K54"/>
  <c r="J54"/>
  <c r="I54"/>
  <c r="H54"/>
  <c r="G54"/>
  <c r="F54"/>
  <c r="E54"/>
  <c r="D54"/>
  <c r="C54"/>
  <c r="V53"/>
  <c r="U53"/>
  <c r="V52"/>
  <c r="Z44"/>
  <c r="Y44"/>
  <c r="Z43"/>
  <c r="Y43"/>
  <c r="Z41"/>
  <c r="Y41"/>
  <c r="Z40"/>
  <c r="Y40"/>
  <c r="Z36"/>
  <c r="Y36"/>
  <c r="B62" i="14"/>
  <c r="C61" s="1"/>
  <c r="C85" i="15"/>
  <c r="B4" i="20"/>
  <c r="B19" s="1"/>
  <c r="C4"/>
  <c r="D19" s="1"/>
  <c r="D4"/>
  <c r="F19" s="1"/>
  <c r="E4"/>
  <c r="H19" s="1"/>
  <c r="F4"/>
  <c r="J19" s="1"/>
  <c r="G4"/>
  <c r="L19" s="1"/>
  <c r="H4"/>
  <c r="N19" s="1"/>
  <c r="I4"/>
  <c r="P19" s="1"/>
  <c r="J4"/>
  <c r="K4"/>
  <c r="L4"/>
  <c r="B5"/>
  <c r="B20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B6"/>
  <c r="C6"/>
  <c r="D21" s="1"/>
  <c r="D6"/>
  <c r="F21" s="1"/>
  <c r="E6"/>
  <c r="H21" s="1"/>
  <c r="F6"/>
  <c r="J21" s="1"/>
  <c r="G6"/>
  <c r="L21" s="1"/>
  <c r="H6"/>
  <c r="N21" s="1"/>
  <c r="I6"/>
  <c r="P21" s="1"/>
  <c r="J6"/>
  <c r="K6"/>
  <c r="L6"/>
  <c r="B7"/>
  <c r="B22" s="1"/>
  <c r="C7"/>
  <c r="D22" s="1"/>
  <c r="D7"/>
  <c r="F22" s="1"/>
  <c r="E7"/>
  <c r="H22" s="1"/>
  <c r="F7"/>
  <c r="J22" s="1"/>
  <c r="G7"/>
  <c r="L22" s="1"/>
  <c r="H7"/>
  <c r="N22" s="1"/>
  <c r="I7"/>
  <c r="P22" s="1"/>
  <c r="J7"/>
  <c r="K7"/>
  <c r="L7"/>
  <c r="B11"/>
  <c r="C19" s="1"/>
  <c r="C11"/>
  <c r="E19" s="1"/>
  <c r="D11"/>
  <c r="E11"/>
  <c r="I19" s="1"/>
  <c r="F11"/>
  <c r="K19" s="1"/>
  <c r="G11"/>
  <c r="M19" s="1"/>
  <c r="H11"/>
  <c r="O19" s="1"/>
  <c r="I11"/>
  <c r="Q19" s="1"/>
  <c r="J11"/>
  <c r="K11"/>
  <c r="L11"/>
  <c r="B12"/>
  <c r="C12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B13"/>
  <c r="C13"/>
  <c r="E21" s="1"/>
  <c r="D13"/>
  <c r="G21" s="1"/>
  <c r="E13"/>
  <c r="I21" s="1"/>
  <c r="F13"/>
  <c r="K21" s="1"/>
  <c r="G13"/>
  <c r="M21" s="1"/>
  <c r="H13"/>
  <c r="O21" s="1"/>
  <c r="I13"/>
  <c r="Q21" s="1"/>
  <c r="J13"/>
  <c r="K13"/>
  <c r="L13"/>
  <c r="B14"/>
  <c r="C22" s="1"/>
  <c r="C14"/>
  <c r="E22" s="1"/>
  <c r="D14"/>
  <c r="G22" s="1"/>
  <c r="E14"/>
  <c r="I22" s="1"/>
  <c r="F14"/>
  <c r="K22" s="1"/>
  <c r="G14"/>
  <c r="M22" s="1"/>
  <c r="H14"/>
  <c r="O22" s="1"/>
  <c r="I14"/>
  <c r="Q22" s="1"/>
  <c r="J14"/>
  <c r="K14"/>
  <c r="L14"/>
  <c r="E62"/>
  <c r="F62"/>
  <c r="G62"/>
  <c r="H62"/>
  <c r="I62"/>
  <c r="E63"/>
  <c r="F63"/>
  <c r="G63"/>
  <c r="H63"/>
  <c r="I63"/>
  <c r="E64"/>
  <c r="F64"/>
  <c r="G64"/>
  <c r="H64"/>
  <c r="I64"/>
  <c r="M67"/>
  <c r="M68"/>
  <c r="M69"/>
  <c r="M72"/>
  <c r="M73"/>
  <c r="M74"/>
  <c r="M83"/>
  <c r="M84"/>
  <c r="M85"/>
  <c r="M88"/>
  <c r="M89"/>
  <c r="M90"/>
  <c r="E110"/>
  <c r="F110"/>
  <c r="G110"/>
  <c r="H110"/>
  <c r="I110"/>
  <c r="E111"/>
  <c r="F111"/>
  <c r="G111"/>
  <c r="H111"/>
  <c r="I111"/>
  <c r="E112"/>
  <c r="F112"/>
  <c r="G112"/>
  <c r="H112"/>
  <c r="I112"/>
  <c r="M115"/>
  <c r="M116"/>
  <c r="M117"/>
  <c r="M120"/>
  <c r="M121"/>
  <c r="M122"/>
  <c r="E126"/>
  <c r="F126"/>
  <c r="G126"/>
  <c r="H126"/>
  <c r="I126"/>
  <c r="E127"/>
  <c r="F127"/>
  <c r="G127"/>
  <c r="H127"/>
  <c r="I127"/>
  <c r="E128"/>
  <c r="F128"/>
  <c r="G128"/>
  <c r="H128"/>
  <c r="I128"/>
  <c r="M131"/>
  <c r="M132"/>
  <c r="M133"/>
  <c r="M136"/>
  <c r="M137"/>
  <c r="M138"/>
  <c r="X1" i="21"/>
  <c r="X2"/>
  <c r="X3"/>
  <c r="Z49" s="1"/>
  <c r="C15"/>
  <c r="C15" i="23" s="1"/>
  <c r="D15" i="21"/>
  <c r="E15"/>
  <c r="E15" i="23" s="1"/>
  <c r="F15" i="21"/>
  <c r="F15" i="23" s="1"/>
  <c r="G15" i="21"/>
  <c r="G15" i="23" s="1"/>
  <c r="H15" i="21"/>
  <c r="H15" i="23" s="1"/>
  <c r="I15" i="21"/>
  <c r="I15" i="23" s="1"/>
  <c r="J15" i="21"/>
  <c r="J15" i="23" s="1"/>
  <c r="K15" i="21"/>
  <c r="K15" i="23" s="1"/>
  <c r="L15" i="21"/>
  <c r="L15" i="23" s="1"/>
  <c r="M15" i="21"/>
  <c r="M15" i="23" s="1"/>
  <c r="N15" i="21"/>
  <c r="N15" i="23" s="1"/>
  <c r="O15" i="21"/>
  <c r="O15" i="23" s="1"/>
  <c r="P15" i="21"/>
  <c r="P15" i="23" s="1"/>
  <c r="Q15" i="21"/>
  <c r="Q15" i="23" s="1"/>
  <c r="R15" i="21"/>
  <c r="R15" i="23" s="1"/>
  <c r="S15" i="21"/>
  <c r="S15" i="23" s="1"/>
  <c r="T15" i="21"/>
  <c r="T15" i="23" s="1"/>
  <c r="C21" i="21"/>
  <c r="C21" i="23" s="1"/>
  <c r="D21" i="21"/>
  <c r="D21" i="23" s="1"/>
  <c r="E21" i="21"/>
  <c r="E21" i="23" s="1"/>
  <c r="F21" i="21"/>
  <c r="F21" i="23" s="1"/>
  <c r="G21" i="21"/>
  <c r="G21" i="23" s="1"/>
  <c r="H21" i="21"/>
  <c r="H21" i="23" s="1"/>
  <c r="I21" i="21"/>
  <c r="I21" i="23" s="1"/>
  <c r="J21" i="21"/>
  <c r="J21" i="23" s="1"/>
  <c r="K21" i="21"/>
  <c r="K21" i="23" s="1"/>
  <c r="L21" i="21"/>
  <c r="L21" i="23" s="1"/>
  <c r="M21" i="21"/>
  <c r="M21" i="23" s="1"/>
  <c r="N21" i="21"/>
  <c r="N21" i="23" s="1"/>
  <c r="O21" i="21"/>
  <c r="O21" i="23" s="1"/>
  <c r="P21" i="21"/>
  <c r="P21" i="23" s="1"/>
  <c r="Q21" i="21"/>
  <c r="Q21" i="23" s="1"/>
  <c r="R21" i="21"/>
  <c r="R21" i="23" s="1"/>
  <c r="S21" i="21"/>
  <c r="S21" i="23" s="1"/>
  <c r="T21"/>
  <c r="E38" i="21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71"/>
  <c r="U80" s="1"/>
  <c r="V71"/>
  <c r="V80" s="1"/>
  <c r="U74"/>
  <c r="V74"/>
  <c r="U75"/>
  <c r="U81" s="1"/>
  <c r="V75"/>
  <c r="V81" s="1"/>
  <c r="U76"/>
  <c r="V76"/>
  <c r="U77"/>
  <c r="V77"/>
  <c r="C78"/>
  <c r="U78" s="1"/>
  <c r="U83" s="1"/>
  <c r="D78"/>
  <c r="E78"/>
  <c r="F78"/>
  <c r="G78"/>
  <c r="H78"/>
  <c r="I78"/>
  <c r="J78"/>
  <c r="K78"/>
  <c r="L78"/>
  <c r="M78"/>
  <c r="N78"/>
  <c r="O78"/>
  <c r="P78"/>
  <c r="Q78"/>
  <c r="R78"/>
  <c r="S78"/>
  <c r="T78"/>
  <c r="C80"/>
  <c r="C13" s="1"/>
  <c r="D80"/>
  <c r="D13"/>
  <c r="E80"/>
  <c r="E13"/>
  <c r="E13" i="23" s="1"/>
  <c r="F80" i="21"/>
  <c r="F13"/>
  <c r="F13" i="23" s="1"/>
  <c r="G80" i="21"/>
  <c r="G13" s="1"/>
  <c r="G13" i="23" s="1"/>
  <c r="H80" i="21"/>
  <c r="H13" s="1"/>
  <c r="H13" i="23" s="1"/>
  <c r="I80" i="21"/>
  <c r="I13"/>
  <c r="I13" i="23" s="1"/>
  <c r="J80" i="21"/>
  <c r="J13"/>
  <c r="J13" i="23" s="1"/>
  <c r="K80" i="21"/>
  <c r="K13" s="1"/>
  <c r="K13" i="23" s="1"/>
  <c r="L80" i="21"/>
  <c r="L13"/>
  <c r="L13" i="23" s="1"/>
  <c r="M80" i="21"/>
  <c r="M13"/>
  <c r="M13" i="23" s="1"/>
  <c r="N80" i="21"/>
  <c r="N13"/>
  <c r="N13" i="23" s="1"/>
  <c r="O80" i="21"/>
  <c r="O13" s="1"/>
  <c r="O13" i="23" s="1"/>
  <c r="P80" i="21"/>
  <c r="P13" s="1"/>
  <c r="P13" i="23" s="1"/>
  <c r="Q80" i="21"/>
  <c r="Q13"/>
  <c r="Q13" i="23" s="1"/>
  <c r="R80" i="21"/>
  <c r="R13" s="1"/>
  <c r="R13" i="23" s="1"/>
  <c r="S80" i="21"/>
  <c r="S13" s="1"/>
  <c r="S13" i="23" s="1"/>
  <c r="T80" i="21"/>
  <c r="T13"/>
  <c r="T13" i="23" s="1"/>
  <c r="C14" i="21"/>
  <c r="C14" i="23" s="1"/>
  <c r="D14" i="21"/>
  <c r="D14" i="23" s="1"/>
  <c r="E14" i="21"/>
  <c r="E14" i="23" s="1"/>
  <c r="F14" i="21"/>
  <c r="G14"/>
  <c r="G14" i="23" s="1"/>
  <c r="H14" i="21"/>
  <c r="H14" i="23" s="1"/>
  <c r="I14" i="21"/>
  <c r="I14" i="23" s="1"/>
  <c r="J14" i="21"/>
  <c r="J14" i="23" s="1"/>
  <c r="K14" i="21"/>
  <c r="K14" i="23" s="1"/>
  <c r="L14" i="21"/>
  <c r="L14" i="23" s="1"/>
  <c r="M14" i="21"/>
  <c r="M14" i="23" s="1"/>
  <c r="N14" i="21"/>
  <c r="N14" i="23" s="1"/>
  <c r="O14" i="21"/>
  <c r="O14" i="23" s="1"/>
  <c r="P14" i="21"/>
  <c r="P14" i="23" s="1"/>
  <c r="Q14" i="21"/>
  <c r="Q14" i="23" s="1"/>
  <c r="R14" i="21"/>
  <c r="R14" i="23" s="1"/>
  <c r="S14" i="21"/>
  <c r="S14" i="23" s="1"/>
  <c r="T14" i="21"/>
  <c r="T14" i="23" s="1"/>
  <c r="N38" i="15"/>
  <c r="N39"/>
  <c r="C40"/>
  <c r="C47" s="1"/>
  <c r="D40"/>
  <c r="D47" s="1"/>
  <c r="E40"/>
  <c r="E47" s="1"/>
  <c r="F40"/>
  <c r="F47" s="1"/>
  <c r="G40"/>
  <c r="G47" s="1"/>
  <c r="H40"/>
  <c r="H47" s="1"/>
  <c r="I40"/>
  <c r="I47" s="1"/>
  <c r="J40"/>
  <c r="J47" s="1"/>
  <c r="K40"/>
  <c r="K47" s="1"/>
  <c r="L40"/>
  <c r="L47" s="1"/>
  <c r="M40"/>
  <c r="M47" s="1"/>
  <c r="F45"/>
  <c r="F48" s="1"/>
  <c r="G45"/>
  <c r="G48"/>
  <c r="H45"/>
  <c r="H48" s="1"/>
  <c r="I45"/>
  <c r="I48" s="1"/>
  <c r="J45"/>
  <c r="J48"/>
  <c r="L45"/>
  <c r="L48" s="1"/>
  <c r="M45"/>
  <c r="M48" s="1"/>
  <c r="B62"/>
  <c r="C61" s="1"/>
  <c r="C74"/>
  <c r="C23" i="17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3" i="1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N38" i="14"/>
  <c r="N39"/>
  <c r="C40"/>
  <c r="C47" s="1"/>
  <c r="D40"/>
  <c r="D47" s="1"/>
  <c r="E40"/>
  <c r="E47" s="1"/>
  <c r="F40"/>
  <c r="F47" s="1"/>
  <c r="G40"/>
  <c r="G47" s="1"/>
  <c r="H40"/>
  <c r="H47" s="1"/>
  <c r="I40"/>
  <c r="I47" s="1"/>
  <c r="J40"/>
  <c r="J47" s="1"/>
  <c r="K40"/>
  <c r="K47" s="1"/>
  <c r="L40"/>
  <c r="L47" s="1"/>
  <c r="M40"/>
  <c r="M47"/>
  <c r="F45"/>
  <c r="F48" s="1"/>
  <c r="G45"/>
  <c r="G48" s="1"/>
  <c r="H45"/>
  <c r="H48"/>
  <c r="I45"/>
  <c r="I48" s="1"/>
  <c r="J45"/>
  <c r="J48" s="1"/>
  <c r="L45"/>
  <c r="L48" s="1"/>
  <c r="M45"/>
  <c r="M48" s="1"/>
  <c r="C74"/>
  <c r="C85"/>
  <c r="C101"/>
  <c r="C23" i="8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A3" i="7"/>
  <c r="F4"/>
  <c r="C40" s="1"/>
  <c r="M6"/>
  <c r="C39"/>
  <c r="C41"/>
  <c r="Q1" i="6"/>
  <c r="Q2"/>
  <c r="Q3"/>
  <c r="E4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I31"/>
  <c r="K31"/>
  <c r="M31"/>
  <c r="C32"/>
  <c r="D32"/>
  <c r="E32"/>
  <c r="F32"/>
  <c r="G32"/>
  <c r="H32"/>
  <c r="I32"/>
  <c r="J32"/>
  <c r="K32"/>
  <c r="L32"/>
  <c r="M32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C37"/>
  <c r="D37"/>
  <c r="E37"/>
  <c r="F37"/>
  <c r="G37"/>
  <c r="H37"/>
  <c r="H36" s="1"/>
  <c r="I37"/>
  <c r="J37"/>
  <c r="K37"/>
  <c r="L37"/>
  <c r="M37"/>
  <c r="C38"/>
  <c r="D38"/>
  <c r="E38"/>
  <c r="F38"/>
  <c r="G38"/>
  <c r="H38"/>
  <c r="I38"/>
  <c r="J38"/>
  <c r="K38"/>
  <c r="L38"/>
  <c r="M38"/>
  <c r="C39"/>
  <c r="D39"/>
  <c r="E39"/>
  <c r="F39"/>
  <c r="J39"/>
  <c r="L39"/>
  <c r="C41"/>
  <c r="D41"/>
  <c r="E41"/>
  <c r="F41"/>
  <c r="G41"/>
  <c r="H41"/>
  <c r="I41"/>
  <c r="J41"/>
  <c r="K41"/>
  <c r="L41"/>
  <c r="M41"/>
  <c r="C42"/>
  <c r="D42"/>
  <c r="E42"/>
  <c r="F42"/>
  <c r="G42"/>
  <c r="H42"/>
  <c r="I42"/>
  <c r="J42"/>
  <c r="K42"/>
  <c r="L42"/>
  <c r="M42"/>
  <c r="C43"/>
  <c r="D43"/>
  <c r="E43"/>
  <c r="F43"/>
  <c r="G43"/>
  <c r="H43"/>
  <c r="I43"/>
  <c r="J43"/>
  <c r="K43"/>
  <c r="L43"/>
  <c r="M43"/>
  <c r="N44"/>
  <c r="N46"/>
  <c r="P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N60"/>
  <c r="P63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F77"/>
  <c r="G77"/>
  <c r="H77"/>
  <c r="I77"/>
  <c r="J77"/>
  <c r="L77"/>
  <c r="M77"/>
  <c r="F78"/>
  <c r="G78"/>
  <c r="H78"/>
  <c r="I78"/>
  <c r="J78"/>
  <c r="L78"/>
  <c r="M78"/>
  <c r="F79"/>
  <c r="G79"/>
  <c r="H79"/>
  <c r="I79"/>
  <c r="J79"/>
  <c r="L79"/>
  <c r="M79"/>
  <c r="F80"/>
  <c r="G80"/>
  <c r="H80"/>
  <c r="I80"/>
  <c r="J80"/>
  <c r="L80"/>
  <c r="M80"/>
  <c r="F81"/>
  <c r="G81"/>
  <c r="H81"/>
  <c r="I81"/>
  <c r="J81"/>
  <c r="L81"/>
  <c r="M81"/>
  <c r="F82"/>
  <c r="G82"/>
  <c r="H82"/>
  <c r="I82"/>
  <c r="J82"/>
  <c r="L82"/>
  <c r="M82"/>
  <c r="F83"/>
  <c r="G83"/>
  <c r="H83"/>
  <c r="I83"/>
  <c r="J83"/>
  <c r="L83"/>
  <c r="M83"/>
  <c r="F84"/>
  <c r="G84"/>
  <c r="H84"/>
  <c r="I84"/>
  <c r="J84"/>
  <c r="L84"/>
  <c r="M84"/>
  <c r="F85"/>
  <c r="G85"/>
  <c r="H85"/>
  <c r="I85"/>
  <c r="J85"/>
  <c r="L85"/>
  <c r="M85"/>
  <c r="H86"/>
  <c r="I86"/>
  <c r="J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F91"/>
  <c r="G91"/>
  <c r="H91"/>
  <c r="I91"/>
  <c r="J91"/>
  <c r="K91"/>
  <c r="L91"/>
  <c r="M91"/>
  <c r="R1" i="5"/>
  <c r="R2"/>
  <c r="R3"/>
  <c r="N9"/>
  <c r="N10"/>
  <c r="N11"/>
  <c r="X14" i="21" s="1"/>
  <c r="N12" i="5"/>
  <c r="X15" i="21" s="1"/>
  <c r="C14" i="5"/>
  <c r="D14"/>
  <c r="E14"/>
  <c r="F14"/>
  <c r="G14"/>
  <c r="H14"/>
  <c r="I14"/>
  <c r="J14"/>
  <c r="K14"/>
  <c r="L14"/>
  <c r="M14"/>
  <c r="N15"/>
  <c r="R15" s="1"/>
  <c r="N16"/>
  <c r="R16" s="1"/>
  <c r="N17"/>
  <c r="N18"/>
  <c r="R18" s="1"/>
  <c r="N19"/>
  <c r="N20"/>
  <c r="N21"/>
  <c r="N22"/>
  <c r="C23"/>
  <c r="D23"/>
  <c r="E23"/>
  <c r="F23"/>
  <c r="G23"/>
  <c r="H23"/>
  <c r="I23"/>
  <c r="J23"/>
  <c r="K23"/>
  <c r="L23"/>
  <c r="M23"/>
  <c r="N24"/>
  <c r="R24" s="1"/>
  <c r="N25"/>
  <c r="R25" s="1"/>
  <c r="N26"/>
  <c r="C28"/>
  <c r="D28"/>
  <c r="E28"/>
  <c r="F28"/>
  <c r="G28"/>
  <c r="H28"/>
  <c r="I28"/>
  <c r="J28"/>
  <c r="K28"/>
  <c r="L28"/>
  <c r="M28"/>
  <c r="N29"/>
  <c r="R29" s="1"/>
  <c r="N30"/>
  <c r="N31"/>
  <c r="N32"/>
  <c r="C33"/>
  <c r="D33"/>
  <c r="E33"/>
  <c r="F33"/>
  <c r="G33"/>
  <c r="H33"/>
  <c r="I33"/>
  <c r="J33"/>
  <c r="K33"/>
  <c r="L33"/>
  <c r="M33"/>
  <c r="N34"/>
  <c r="R34" s="1"/>
  <c r="N35"/>
  <c r="C36"/>
  <c r="D36"/>
  <c r="E36"/>
  <c r="F36"/>
  <c r="G36"/>
  <c r="H36"/>
  <c r="I36"/>
  <c r="J36"/>
  <c r="K36"/>
  <c r="L36"/>
  <c r="M36"/>
  <c r="N37"/>
  <c r="N38"/>
  <c r="R38" s="1"/>
  <c r="N39"/>
  <c r="C40"/>
  <c r="D40"/>
  <c r="E40"/>
  <c r="F40"/>
  <c r="G40"/>
  <c r="H40"/>
  <c r="I40"/>
  <c r="J40"/>
  <c r="K40"/>
  <c r="L40"/>
  <c r="M40"/>
  <c r="N41"/>
  <c r="N42"/>
  <c r="N43"/>
  <c r="N44"/>
  <c r="N45"/>
  <c r="R45" s="1"/>
  <c r="N46"/>
  <c r="N49"/>
  <c r="N50"/>
  <c r="N51"/>
  <c r="N52"/>
  <c r="N53"/>
  <c r="N54"/>
  <c r="N55"/>
  <c r="N56"/>
  <c r="X39" i="21" s="1"/>
  <c r="N57" i="5"/>
  <c r="N58"/>
  <c r="N59"/>
  <c r="N60"/>
  <c r="C61"/>
  <c r="D61"/>
  <c r="E61"/>
  <c r="F61"/>
  <c r="G61"/>
  <c r="H61"/>
  <c r="I61"/>
  <c r="J61"/>
  <c r="K61"/>
  <c r="L61"/>
  <c r="M61"/>
  <c r="N65"/>
  <c r="N66"/>
  <c r="N67"/>
  <c r="N68"/>
  <c r="N69"/>
  <c r="N70"/>
  <c r="N71"/>
  <c r="N72"/>
  <c r="N73"/>
  <c r="O73" i="6" s="1"/>
  <c r="N74" i="5"/>
  <c r="F86"/>
  <c r="G86"/>
  <c r="N87"/>
  <c r="R87" s="1"/>
  <c r="N88"/>
  <c r="N89"/>
  <c r="N90"/>
  <c r="N91"/>
  <c r="H92"/>
  <c r="I92"/>
  <c r="J92"/>
  <c r="L92"/>
  <c r="M92"/>
  <c r="R4"/>
  <c r="Q4" i="6"/>
  <c r="N9" i="4"/>
  <c r="N10"/>
  <c r="N11"/>
  <c r="R11" s="1"/>
  <c r="N12"/>
  <c r="C14"/>
  <c r="D14"/>
  <c r="E14"/>
  <c r="F14"/>
  <c r="G14"/>
  <c r="H14"/>
  <c r="I14"/>
  <c r="J14"/>
  <c r="K14"/>
  <c r="L14"/>
  <c r="M14"/>
  <c r="N15"/>
  <c r="R15" s="1"/>
  <c r="N16"/>
  <c r="N17"/>
  <c r="R17" s="1"/>
  <c r="N18"/>
  <c r="R18" s="1"/>
  <c r="N19"/>
  <c r="N20"/>
  <c r="N21"/>
  <c r="N22"/>
  <c r="C23"/>
  <c r="D23"/>
  <c r="E23"/>
  <c r="F23"/>
  <c r="G23"/>
  <c r="H23"/>
  <c r="I23"/>
  <c r="J23"/>
  <c r="K23"/>
  <c r="L23"/>
  <c r="M23"/>
  <c r="N24"/>
  <c r="R24" s="1"/>
  <c r="N25"/>
  <c r="R25" s="1"/>
  <c r="N26"/>
  <c r="C28"/>
  <c r="D28"/>
  <c r="E28"/>
  <c r="F28"/>
  <c r="G28"/>
  <c r="H28"/>
  <c r="I28"/>
  <c r="J28"/>
  <c r="K28"/>
  <c r="L28"/>
  <c r="M28"/>
  <c r="N29"/>
  <c r="R29" s="1"/>
  <c r="N30"/>
  <c r="R30" s="1"/>
  <c r="N31"/>
  <c r="N32"/>
  <c r="C33"/>
  <c r="D33"/>
  <c r="E33"/>
  <c r="F33"/>
  <c r="G33"/>
  <c r="H33"/>
  <c r="I33"/>
  <c r="J33"/>
  <c r="K33"/>
  <c r="L33"/>
  <c r="M33"/>
  <c r="N34"/>
  <c r="R34" s="1"/>
  <c r="N35"/>
  <c r="C36"/>
  <c r="D36"/>
  <c r="E36"/>
  <c r="F36"/>
  <c r="G36"/>
  <c r="H36"/>
  <c r="I36"/>
  <c r="J36"/>
  <c r="K36"/>
  <c r="L36"/>
  <c r="M36"/>
  <c r="N37"/>
  <c r="N38"/>
  <c r="C40"/>
  <c r="D40"/>
  <c r="E40"/>
  <c r="F40"/>
  <c r="G40"/>
  <c r="H40"/>
  <c r="I40"/>
  <c r="J40"/>
  <c r="K40"/>
  <c r="L40"/>
  <c r="M40"/>
  <c r="N41"/>
  <c r="N42"/>
  <c r="R42" s="1"/>
  <c r="N43"/>
  <c r="N44"/>
  <c r="N45"/>
  <c r="N46"/>
  <c r="N49"/>
  <c r="N50"/>
  <c r="N51"/>
  <c r="N52"/>
  <c r="N53"/>
  <c r="N54"/>
  <c r="N55"/>
  <c r="W38" i="21" s="1"/>
  <c r="N56" i="4"/>
  <c r="N57"/>
  <c r="N58"/>
  <c r="N59"/>
  <c r="N60"/>
  <c r="C61"/>
  <c r="D61"/>
  <c r="E61"/>
  <c r="F61"/>
  <c r="G61"/>
  <c r="H61"/>
  <c r="I61"/>
  <c r="J61"/>
  <c r="K61"/>
  <c r="L61"/>
  <c r="M61"/>
  <c r="N65"/>
  <c r="W13" i="23" s="1"/>
  <c r="N66" i="4"/>
  <c r="N67"/>
  <c r="N68"/>
  <c r="N69"/>
  <c r="N70"/>
  <c r="N71"/>
  <c r="N72"/>
  <c r="W21" i="23" s="1"/>
  <c r="N73" i="4"/>
  <c r="N74"/>
  <c r="G86"/>
  <c r="K35" i="21" s="1"/>
  <c r="K35" i="23" s="1"/>
  <c r="N87" i="4"/>
  <c r="R87" s="1"/>
  <c r="N88"/>
  <c r="N89"/>
  <c r="W42" i="23" s="1"/>
  <c r="N90" i="4"/>
  <c r="N91"/>
  <c r="H92"/>
  <c r="I92"/>
  <c r="J92"/>
  <c r="L92"/>
  <c r="M92"/>
  <c r="D100" i="15" l="1"/>
  <c r="D98"/>
  <c r="D99"/>
  <c r="D99" i="14"/>
  <c r="D98"/>
  <c r="D101" s="1"/>
  <c r="D100"/>
  <c r="I27" i="4"/>
  <c r="C27"/>
  <c r="W35" i="21"/>
  <c r="Q85" i="4"/>
  <c r="S9"/>
  <c r="D84" i="15"/>
  <c r="D82"/>
  <c r="D83"/>
  <c r="D73"/>
  <c r="D71"/>
  <c r="D74" s="1"/>
  <c r="D72"/>
  <c r="N40"/>
  <c r="N40" i="14"/>
  <c r="K277" i="17"/>
  <c r="K282" s="1"/>
  <c r="L282" s="1"/>
  <c r="C277"/>
  <c r="C282" s="1"/>
  <c r="D282" s="1"/>
  <c r="K277" i="12"/>
  <c r="K280" s="1"/>
  <c r="L280" s="1"/>
  <c r="M280" s="1"/>
  <c r="C277"/>
  <c r="C280" s="1"/>
  <c r="D280" s="1"/>
  <c r="E280" s="1"/>
  <c r="K277" i="8"/>
  <c r="K280" s="1"/>
  <c r="L280" s="1"/>
  <c r="M280" s="1"/>
  <c r="C277"/>
  <c r="C281" s="1"/>
  <c r="D281" s="1"/>
  <c r="L27" i="4"/>
  <c r="D27"/>
  <c r="I27" i="5"/>
  <c r="V78" i="21"/>
  <c r="V83" s="1"/>
  <c r="I13" i="4"/>
  <c r="I47" s="1"/>
  <c r="G92" i="5"/>
  <c r="L35" i="21"/>
  <c r="L35" i="23" s="1"/>
  <c r="O60" i="6"/>
  <c r="P60" s="1"/>
  <c r="F92" i="5"/>
  <c r="J35" i="21"/>
  <c r="J35" i="23" s="1"/>
  <c r="X38" i="21"/>
  <c r="R55" i="5"/>
  <c r="O38" i="6"/>
  <c r="G36"/>
  <c r="O26"/>
  <c r="M13" i="4"/>
  <c r="E13"/>
  <c r="G13"/>
  <c r="F27" i="5"/>
  <c r="H27"/>
  <c r="L27"/>
  <c r="K27" i="4"/>
  <c r="O43" i="6"/>
  <c r="L13" i="4"/>
  <c r="M27"/>
  <c r="E27"/>
  <c r="F13"/>
  <c r="K13"/>
  <c r="O69" i="6"/>
  <c r="J13" i="4"/>
  <c r="H27"/>
  <c r="O10" i="6"/>
  <c r="W10" i="4"/>
  <c r="T10" s="1"/>
  <c r="N36"/>
  <c r="G27"/>
  <c r="H13"/>
  <c r="O16" i="6"/>
  <c r="R16" i="4"/>
  <c r="F27"/>
  <c r="D13"/>
  <c r="N14"/>
  <c r="C13"/>
  <c r="C282" i="25"/>
  <c r="D282" s="1"/>
  <c r="E282" s="1"/>
  <c r="E94" i="14" s="1"/>
  <c r="C280" i="25"/>
  <c r="D280" s="1"/>
  <c r="E280" s="1"/>
  <c r="H154" i="20"/>
  <c r="G154"/>
  <c r="E154"/>
  <c r="F154"/>
  <c r="H153"/>
  <c r="G153"/>
  <c r="F153"/>
  <c r="E153"/>
  <c r="E152"/>
  <c r="G152"/>
  <c r="F152"/>
  <c r="H152"/>
  <c r="G149"/>
  <c r="H149"/>
  <c r="F149"/>
  <c r="E149"/>
  <c r="F148"/>
  <c r="G148"/>
  <c r="E148"/>
  <c r="H148"/>
  <c r="H147"/>
  <c r="E147"/>
  <c r="F147"/>
  <c r="G147"/>
  <c r="H105"/>
  <c r="F105"/>
  <c r="E105"/>
  <c r="G105"/>
  <c r="E104"/>
  <c r="G104"/>
  <c r="F104"/>
  <c r="H104"/>
  <c r="E106"/>
  <c r="H106"/>
  <c r="F106"/>
  <c r="G106"/>
  <c r="F101"/>
  <c r="E101"/>
  <c r="G101"/>
  <c r="H101"/>
  <c r="H100"/>
  <c r="F100"/>
  <c r="E100"/>
  <c r="G100"/>
  <c r="E99"/>
  <c r="H99"/>
  <c r="F99"/>
  <c r="G99"/>
  <c r="Q30"/>
  <c r="R19" i="21" s="1"/>
  <c r="G29" i="20"/>
  <c r="H18" i="21" s="1"/>
  <c r="M28" i="20"/>
  <c r="N17" i="21" s="1"/>
  <c r="N29" i="20"/>
  <c r="O18" i="21" s="1"/>
  <c r="C27" i="20"/>
  <c r="D16" i="21" s="1"/>
  <c r="X42"/>
  <c r="R89" i="5"/>
  <c r="R72"/>
  <c r="L13"/>
  <c r="O90" i="6"/>
  <c r="D13" i="5"/>
  <c r="O88" i="6"/>
  <c r="G13" i="5"/>
  <c r="G138" i="20"/>
  <c r="G136"/>
  <c r="H132"/>
  <c r="G121"/>
  <c r="F122"/>
  <c r="H115"/>
  <c r="F133"/>
  <c r="H136"/>
  <c r="F88"/>
  <c r="N61" i="4"/>
  <c r="V11"/>
  <c r="O87" i="6"/>
  <c r="W38" i="23"/>
  <c r="R9" i="4"/>
  <c r="J27"/>
  <c r="R89"/>
  <c r="R54"/>
  <c r="E68" i="20"/>
  <c r="F89"/>
  <c r="E85"/>
  <c r="G69"/>
  <c r="G84"/>
  <c r="V14" i="21"/>
  <c r="U14" i="23"/>
  <c r="R52" i="4"/>
  <c r="O52" i="6"/>
  <c r="R52" i="5"/>
  <c r="E72" i="20"/>
  <c r="F67"/>
  <c r="F72"/>
  <c r="F14" i="23"/>
  <c r="V14" s="1"/>
  <c r="E84" i="20"/>
  <c r="R49" i="4"/>
  <c r="U14" i="21"/>
  <c r="H138" i="20"/>
  <c r="G68"/>
  <c r="O30"/>
  <c r="P19" i="21" s="1"/>
  <c r="E29" i="20"/>
  <c r="F18" i="21" s="1"/>
  <c r="K28" i="20"/>
  <c r="L17" i="21" s="1"/>
  <c r="Q27" i="20"/>
  <c r="R16" i="21" s="1"/>
  <c r="F30" i="20"/>
  <c r="G19" i="21" s="1"/>
  <c r="L29" i="20"/>
  <c r="M18" i="21" s="1"/>
  <c r="B28" i="20"/>
  <c r="C17" i="21" s="1"/>
  <c r="H27" i="20"/>
  <c r="I16" i="21" s="1"/>
  <c r="C37" i="23"/>
  <c r="U37" s="1"/>
  <c r="R55" i="4"/>
  <c r="R11" i="5"/>
  <c r="O42" i="6"/>
  <c r="O18"/>
  <c r="N40" i="4"/>
  <c r="Z14" i="21"/>
  <c r="D13" i="23"/>
  <c r="V13" s="1"/>
  <c r="V13" i="21"/>
  <c r="Z13" s="1"/>
  <c r="F115" i="20"/>
  <c r="E83"/>
  <c r="H131"/>
  <c r="G73"/>
  <c r="E89"/>
  <c r="O45" i="6"/>
  <c r="R45" i="4"/>
  <c r="O39" i="6"/>
  <c r="N23" i="4"/>
  <c r="X13" i="23"/>
  <c r="R65" i="5"/>
  <c r="O46" i="6"/>
  <c r="P46" s="1"/>
  <c r="N40" i="5"/>
  <c r="O34" i="6"/>
  <c r="M27" i="5"/>
  <c r="E27"/>
  <c r="M13"/>
  <c r="E13"/>
  <c r="O17" i="6"/>
  <c r="X14" i="23"/>
  <c r="W21" i="21"/>
  <c r="R72" i="4"/>
  <c r="R41"/>
  <c r="O41" i="6"/>
  <c r="O68"/>
  <c r="O51"/>
  <c r="W39" i="21"/>
  <c r="R56" i="4"/>
  <c r="W39" i="23"/>
  <c r="N28" i="5"/>
  <c r="H40" i="6"/>
  <c r="C13" i="23"/>
  <c r="U13" s="1"/>
  <c r="U13" i="21"/>
  <c r="Y13" s="1"/>
  <c r="I30" i="20"/>
  <c r="J19" i="21" s="1"/>
  <c r="O29" i="20"/>
  <c r="P18" i="21" s="1"/>
  <c r="E28" i="20"/>
  <c r="F17" i="21" s="1"/>
  <c r="K27" i="20"/>
  <c r="L16" i="21" s="1"/>
  <c r="P30" i="20"/>
  <c r="Q19" i="21" s="1"/>
  <c r="F29" i="20"/>
  <c r="G18" i="21" s="1"/>
  <c r="L28" i="20"/>
  <c r="M17" i="21" s="1"/>
  <c r="B27" i="20"/>
  <c r="C16" i="21" s="1"/>
  <c r="O91" i="6"/>
  <c r="W15" i="21"/>
  <c r="R12" i="4"/>
  <c r="W15" i="23"/>
  <c r="O31" i="6"/>
  <c r="W14" i="21"/>
  <c r="W14" i="23"/>
  <c r="O59" i="6"/>
  <c r="I13" i="5"/>
  <c r="R37" i="4"/>
  <c r="N33"/>
  <c r="O21" i="6"/>
  <c r="F33"/>
  <c r="N7" i="7"/>
  <c r="G116" i="20"/>
  <c r="G90"/>
  <c r="F84"/>
  <c r="G30"/>
  <c r="H19" i="21" s="1"/>
  <c r="M29" i="20"/>
  <c r="N18" i="21" s="1"/>
  <c r="I27" i="20"/>
  <c r="J16" i="21" s="1"/>
  <c r="N30" i="20"/>
  <c r="O19" i="21" s="1"/>
  <c r="D29" i="20"/>
  <c r="J28"/>
  <c r="K17" i="21" s="1"/>
  <c r="P27" i="20"/>
  <c r="Q16" i="21" s="1"/>
  <c r="K277" i="25"/>
  <c r="W37" i="21"/>
  <c r="Y37" s="1"/>
  <c r="O71" i="6"/>
  <c r="O54"/>
  <c r="O44"/>
  <c r="P44" s="1"/>
  <c r="N33" i="5"/>
  <c r="K27"/>
  <c r="C27"/>
  <c r="O9" i="6"/>
  <c r="O29"/>
  <c r="I49" i="14"/>
  <c r="E131" i="20"/>
  <c r="F121"/>
  <c r="F90"/>
  <c r="E74"/>
  <c r="H67"/>
  <c r="E30"/>
  <c r="F19" i="21" s="1"/>
  <c r="K29" i="20"/>
  <c r="L18" i="21" s="1"/>
  <c r="Q28" i="20"/>
  <c r="R17" i="21" s="1"/>
  <c r="L30" i="20"/>
  <c r="M19" i="21" s="1"/>
  <c r="H28" i="20"/>
  <c r="I17" i="21" s="1"/>
  <c r="N27" i="20"/>
  <c r="O16" i="21" s="1"/>
  <c r="D37" i="23"/>
  <c r="V37" s="1"/>
  <c r="R38" i="4"/>
  <c r="N28"/>
  <c r="O70" i="6"/>
  <c r="N61" i="5"/>
  <c r="O53" i="6"/>
  <c r="J27" i="5"/>
  <c r="N23"/>
  <c r="O15" i="6"/>
  <c r="F13" i="5"/>
  <c r="C32" i="7"/>
  <c r="G49" i="14"/>
  <c r="G49" i="15"/>
  <c r="F132" i="20"/>
  <c r="H68"/>
  <c r="G72"/>
  <c r="I29"/>
  <c r="J18" i="21" s="1"/>
  <c r="O28" i="20"/>
  <c r="P17" i="21" s="1"/>
  <c r="E27" i="20"/>
  <c r="F16" i="21" s="1"/>
  <c r="J30" i="20"/>
  <c r="K19" i="21" s="1"/>
  <c r="P29" i="20"/>
  <c r="Q18" i="21" s="1"/>
  <c r="F28" i="20"/>
  <c r="G17" i="21" s="1"/>
  <c r="L27" i="20"/>
  <c r="M16" i="21" s="1"/>
  <c r="X37" i="23"/>
  <c r="W10" i="5"/>
  <c r="R54"/>
  <c r="O67" i="6"/>
  <c r="O58"/>
  <c r="O50"/>
  <c r="N36" i="5"/>
  <c r="O30" i="6"/>
  <c r="G27" i="5"/>
  <c r="H13"/>
  <c r="O20" i="6"/>
  <c r="K13" i="5"/>
  <c r="N14"/>
  <c r="E117" i="20"/>
  <c r="G120"/>
  <c r="M30"/>
  <c r="N19" i="21" s="1"/>
  <c r="O27" i="20"/>
  <c r="P16" i="21" s="1"/>
  <c r="D30" i="20"/>
  <c r="J29"/>
  <c r="K18" i="21" s="1"/>
  <c r="P28" i="20"/>
  <c r="Q17" i="21" s="1"/>
  <c r="F27" i="20"/>
  <c r="G16" i="21" s="1"/>
  <c r="W42"/>
  <c r="Y13" i="23"/>
  <c r="O74" i="6"/>
  <c r="O66"/>
  <c r="O57"/>
  <c r="R49" i="5"/>
  <c r="J13"/>
  <c r="O22" i="6"/>
  <c r="B8" i="7"/>
  <c r="C8"/>
  <c r="F120" i="20"/>
  <c r="K30"/>
  <c r="L19" i="21" s="1"/>
  <c r="Q29" i="20"/>
  <c r="R18" i="21" s="1"/>
  <c r="G28" i="20"/>
  <c r="H17" i="21" s="1"/>
  <c r="M27" i="20"/>
  <c r="N16" i="21" s="1"/>
  <c r="B30" i="20"/>
  <c r="C19" i="21" s="1"/>
  <c r="H29" i="20"/>
  <c r="I18" i="21" s="1"/>
  <c r="N28" i="20"/>
  <c r="O17" i="21" s="1"/>
  <c r="D27" i="20"/>
  <c r="E16" i="21" s="1"/>
  <c r="W37" i="23"/>
  <c r="K36" i="6"/>
  <c r="H49" i="14"/>
  <c r="J49"/>
  <c r="L33" i="6"/>
  <c r="D33"/>
  <c r="M23"/>
  <c r="E23"/>
  <c r="E115" i="20"/>
  <c r="E133"/>
  <c r="F131"/>
  <c r="H116"/>
  <c r="E120"/>
  <c r="G33" i="6"/>
  <c r="G115" i="20"/>
  <c r="F36" i="6"/>
  <c r="F137" i="20"/>
  <c r="H120"/>
  <c r="X39" i="23"/>
  <c r="X21"/>
  <c r="G137" i="20"/>
  <c r="M28" i="6"/>
  <c r="E121" i="20"/>
  <c r="G132"/>
  <c r="D27" i="5"/>
  <c r="C13"/>
  <c r="O89" i="6"/>
  <c r="G122" i="20"/>
  <c r="S9" i="5"/>
  <c r="Q64" s="1"/>
  <c r="U10" s="1"/>
  <c r="R41"/>
  <c r="O72" i="6"/>
  <c r="O56"/>
  <c r="O35"/>
  <c r="O19"/>
  <c r="O12"/>
  <c r="F117" i="20"/>
  <c r="X15" i="23"/>
  <c r="R42" i="5"/>
  <c r="R56"/>
  <c r="E28" i="6"/>
  <c r="H122" i="20"/>
  <c r="X42" i="23"/>
  <c r="E116" i="20"/>
  <c r="M40" i="6"/>
  <c r="E132" i="20"/>
  <c r="R17" i="5"/>
  <c r="R30"/>
  <c r="O32" i="6"/>
  <c r="O24"/>
  <c r="F138" i="20"/>
  <c r="O25" i="6"/>
  <c r="O37"/>
  <c r="U38" i="23"/>
  <c r="X37" i="21"/>
  <c r="Z37" s="1"/>
  <c r="O65" i="6"/>
  <c r="O55"/>
  <c r="O49"/>
  <c r="O11"/>
  <c r="F136" i="20"/>
  <c r="X38" i="23"/>
  <c r="R12" i="5"/>
  <c r="R37"/>
  <c r="U21" i="23"/>
  <c r="Y21" s="1"/>
  <c r="E138" i="20"/>
  <c r="E137"/>
  <c r="G131"/>
  <c r="V42" i="23"/>
  <c r="F116" i="20"/>
  <c r="E136"/>
  <c r="K23" i="6"/>
  <c r="C23"/>
  <c r="U39" i="21"/>
  <c r="U38"/>
  <c r="Y38" s="1"/>
  <c r="H117" i="20"/>
  <c r="H121"/>
  <c r="H137"/>
  <c r="H133"/>
  <c r="E122"/>
  <c r="I61" i="6"/>
  <c r="L36"/>
  <c r="E33"/>
  <c r="I33"/>
  <c r="J23"/>
  <c r="F23"/>
  <c r="G117" i="20"/>
  <c r="R9" i="5"/>
  <c r="G133" i="20"/>
  <c r="U42" i="23"/>
  <c r="Y42" s="1"/>
  <c r="G61" i="6"/>
  <c r="F83" i="20"/>
  <c r="E67"/>
  <c r="F73"/>
  <c r="G85"/>
  <c r="E88"/>
  <c r="H74"/>
  <c r="F68"/>
  <c r="U39" i="23"/>
  <c r="K28" i="6"/>
  <c r="U42" i="21"/>
  <c r="U21"/>
  <c r="H88" i="20"/>
  <c r="V42" i="21"/>
  <c r="V21"/>
  <c r="Z21" s="1"/>
  <c r="G67" i="20"/>
  <c r="V15" i="21"/>
  <c r="Z15" s="1"/>
  <c r="F69" i="20"/>
  <c r="V38" i="23"/>
  <c r="U15" i="21"/>
  <c r="E90" i="20"/>
  <c r="H90"/>
  <c r="C33" i="6"/>
  <c r="V38" i="21"/>
  <c r="H72" i="20"/>
  <c r="V39" i="23"/>
  <c r="V21"/>
  <c r="Q64" i="4"/>
  <c r="X11" s="1"/>
  <c r="U15" i="23"/>
  <c r="C28" i="6"/>
  <c r="N69"/>
  <c r="N12"/>
  <c r="D15" i="23"/>
  <c r="V15" s="1"/>
  <c r="J61" i="6"/>
  <c r="I28"/>
  <c r="G89" i="20"/>
  <c r="G83"/>
  <c r="H89"/>
  <c r="H69"/>
  <c r="G74"/>
  <c r="N67" i="6"/>
  <c r="M61"/>
  <c r="J36"/>
  <c r="F85" i="20"/>
  <c r="D40" i="6"/>
  <c r="E69" i="20"/>
  <c r="N88" i="6"/>
  <c r="N73"/>
  <c r="P73" s="1"/>
  <c r="N71"/>
  <c r="N43"/>
  <c r="C40"/>
  <c r="N65"/>
  <c r="H83" i="20"/>
  <c r="H73"/>
  <c r="H85"/>
  <c r="H84"/>
  <c r="N70" i="6"/>
  <c r="K61"/>
  <c r="G88" i="20"/>
  <c r="E73"/>
  <c r="F74"/>
  <c r="H28" i="6"/>
  <c r="D28"/>
  <c r="L23"/>
  <c r="H23"/>
  <c r="L14"/>
  <c r="K14"/>
  <c r="C14"/>
  <c r="V39" i="21"/>
  <c r="Z39" s="1"/>
  <c r="G92" i="4"/>
  <c r="F92"/>
  <c r="F86" i="6"/>
  <c r="F92" s="1"/>
  <c r="G86"/>
  <c r="G92" s="1"/>
  <c r="L92"/>
  <c r="J92"/>
  <c r="X4" i="23"/>
  <c r="X4" i="21"/>
  <c r="J49" i="15"/>
  <c r="L49"/>
  <c r="F49" i="14"/>
  <c r="L49"/>
  <c r="K40" i="6"/>
  <c r="N74"/>
  <c r="N49"/>
  <c r="E40"/>
  <c r="F14"/>
  <c r="N89"/>
  <c r="K33"/>
  <c r="I23"/>
  <c r="N53"/>
  <c r="N51"/>
  <c r="G14"/>
  <c r="N16"/>
  <c r="N10"/>
  <c r="M36"/>
  <c r="E36"/>
  <c r="J33"/>
  <c r="N57"/>
  <c r="N55"/>
  <c r="N52"/>
  <c r="I40"/>
  <c r="N22"/>
  <c r="N19"/>
  <c r="N15"/>
  <c r="N9"/>
  <c r="J40"/>
  <c r="G40"/>
  <c r="D36"/>
  <c r="M33"/>
  <c r="I49" i="15"/>
  <c r="M49"/>
  <c r="F49"/>
  <c r="H49"/>
  <c r="N47"/>
  <c r="D84" i="14"/>
  <c r="D82"/>
  <c r="D83"/>
  <c r="D73"/>
  <c r="D72"/>
  <c r="D71"/>
  <c r="C36" i="6"/>
  <c r="N38"/>
  <c r="H33"/>
  <c r="N34"/>
  <c r="F28"/>
  <c r="J28"/>
  <c r="L40"/>
  <c r="N42"/>
  <c r="N47" i="14"/>
  <c r="N91" i="6"/>
  <c r="N87"/>
  <c r="I92"/>
  <c r="N58"/>
  <c r="N56"/>
  <c r="N54"/>
  <c r="I36"/>
  <c r="M49" i="14"/>
  <c r="L28" i="6"/>
  <c r="N29"/>
  <c r="D23"/>
  <c r="N20"/>
  <c r="N17"/>
  <c r="N11"/>
  <c r="M92"/>
  <c r="F40"/>
  <c r="N41"/>
  <c r="N39"/>
  <c r="N32"/>
  <c r="N30"/>
  <c r="G28"/>
  <c r="N26"/>
  <c r="G23"/>
  <c r="N21"/>
  <c r="H14"/>
  <c r="F61"/>
  <c r="N37"/>
  <c r="B38" i="7"/>
  <c r="N72" i="6"/>
  <c r="N68"/>
  <c r="N66"/>
  <c r="L61"/>
  <c r="N50"/>
  <c r="D61"/>
  <c r="H61"/>
  <c r="D14"/>
  <c r="N18"/>
  <c r="J14"/>
  <c r="M14"/>
  <c r="E14"/>
  <c r="N90"/>
  <c r="N59"/>
  <c r="C61"/>
  <c r="N35"/>
  <c r="N31"/>
  <c r="N25"/>
  <c r="I14"/>
  <c r="H92"/>
  <c r="E61"/>
  <c r="N24"/>
  <c r="S19" i="20"/>
  <c r="S20"/>
  <c r="S22"/>
  <c r="U22" s="1"/>
  <c r="S30" s="1"/>
  <c r="T19" i="21" s="1"/>
  <c r="R22" i="20"/>
  <c r="T22" s="1"/>
  <c r="R30" s="1"/>
  <c r="S19" i="21" s="1"/>
  <c r="M12" i="20"/>
  <c r="O29" i="24"/>
  <c r="P18" i="23" s="1"/>
  <c r="R21" i="20"/>
  <c r="S21"/>
  <c r="R20"/>
  <c r="T20" s="1"/>
  <c r="R28" s="1"/>
  <c r="S17" i="21" s="1"/>
  <c r="C20" i="20"/>
  <c r="C28" s="1"/>
  <c r="D17" i="21" s="1"/>
  <c r="R19" i="20"/>
  <c r="T19" s="1"/>
  <c r="R27" s="1"/>
  <c r="S16" i="21" s="1"/>
  <c r="H30" i="20"/>
  <c r="I28"/>
  <c r="J17" i="21" s="1"/>
  <c r="J27" i="20"/>
  <c r="K16" i="21" s="1"/>
  <c r="M6" i="20"/>
  <c r="M5"/>
  <c r="M14"/>
  <c r="M11"/>
  <c r="G19"/>
  <c r="G27" s="1"/>
  <c r="H16" i="21" s="1"/>
  <c r="D28" i="20"/>
  <c r="E17" i="21" s="1"/>
  <c r="M7" i="20"/>
  <c r="M13"/>
  <c r="C21"/>
  <c r="C30"/>
  <c r="D19" i="21" s="1"/>
  <c r="B21" i="20"/>
  <c r="M4"/>
  <c r="H160" i="24" l="1"/>
  <c r="I33" i="23" s="1"/>
  <c r="H160" i="20"/>
  <c r="I33" i="21" s="1"/>
  <c r="N160" i="24"/>
  <c r="O33" i="23" s="1"/>
  <c r="N160" i="20"/>
  <c r="O33" i="21" s="1"/>
  <c r="L161" i="24"/>
  <c r="M34" i="23" s="1"/>
  <c r="L161" i="20"/>
  <c r="M34" i="21" s="1"/>
  <c r="N167" i="24"/>
  <c r="O30" i="23" s="1"/>
  <c r="N167" i="20"/>
  <c r="O30" i="21" s="1"/>
  <c r="L167" i="24"/>
  <c r="M30" i="23" s="1"/>
  <c r="L167" i="20"/>
  <c r="M30" i="21" s="1"/>
  <c r="N168" i="24"/>
  <c r="O31" i="23" s="1"/>
  <c r="N168" i="20"/>
  <c r="O31" i="21" s="1"/>
  <c r="H166" i="24"/>
  <c r="I29" i="23" s="1"/>
  <c r="H166" i="20"/>
  <c r="I29" i="21" s="1"/>
  <c r="J160" i="24"/>
  <c r="K33" i="23" s="1"/>
  <c r="J160" i="20"/>
  <c r="K33" i="21" s="1"/>
  <c r="I161" i="24"/>
  <c r="J34" i="23" s="1"/>
  <c r="I161" i="20"/>
  <c r="J34" i="21" s="1"/>
  <c r="O167" i="24"/>
  <c r="P30" i="23" s="1"/>
  <c r="O167" i="20"/>
  <c r="P30" i="21" s="1"/>
  <c r="I168" i="24"/>
  <c r="J31" i="23" s="1"/>
  <c r="I168" i="20"/>
  <c r="J31" i="21" s="1"/>
  <c r="K168" i="24"/>
  <c r="L31" i="23" s="1"/>
  <c r="K168" i="20"/>
  <c r="L31" i="21" s="1"/>
  <c r="M161" i="24"/>
  <c r="N34" i="23" s="1"/>
  <c r="M161" i="20"/>
  <c r="N34" i="21" s="1"/>
  <c r="O159" i="24"/>
  <c r="P32" i="23" s="1"/>
  <c r="O159" i="20"/>
  <c r="P32" i="21" s="1"/>
  <c r="K159" i="24"/>
  <c r="L32" i="23" s="1"/>
  <c r="K159" i="20"/>
  <c r="L32" i="21" s="1"/>
  <c r="H161" i="24"/>
  <c r="I34" i="23" s="1"/>
  <c r="H161" i="20"/>
  <c r="I34" i="21" s="1"/>
  <c r="K160" i="24"/>
  <c r="L33" i="23" s="1"/>
  <c r="K160" i="20"/>
  <c r="L33" i="21" s="1"/>
  <c r="L160" i="24"/>
  <c r="M33" i="23" s="1"/>
  <c r="L160" i="20"/>
  <c r="M33" i="21" s="1"/>
  <c r="O168" i="24"/>
  <c r="P31" i="23" s="1"/>
  <c r="O168" i="20"/>
  <c r="P31" i="21" s="1"/>
  <c r="J167" i="24"/>
  <c r="K30" i="23" s="1"/>
  <c r="J167" i="20"/>
  <c r="K30" i="21" s="1"/>
  <c r="J166" i="24"/>
  <c r="K29" i="23" s="1"/>
  <c r="J166" i="20"/>
  <c r="K29" i="21" s="1"/>
  <c r="K161" i="24"/>
  <c r="L34" i="23" s="1"/>
  <c r="K161" i="20"/>
  <c r="L34" i="21" s="1"/>
  <c r="M168" i="24"/>
  <c r="N31" i="23" s="1"/>
  <c r="M168" i="20"/>
  <c r="N31" i="21" s="1"/>
  <c r="L175" i="24"/>
  <c r="M28" i="23" s="1"/>
  <c r="L175" i="20"/>
  <c r="N175" i="24"/>
  <c r="O28" i="23" s="1"/>
  <c r="N175" i="20"/>
  <c r="N173" i="24"/>
  <c r="O26" i="23" s="1"/>
  <c r="N173" i="20"/>
  <c r="L173" i="24"/>
  <c r="M26" i="23" s="1"/>
  <c r="L173" i="20"/>
  <c r="L174" i="24"/>
  <c r="M27" i="23" s="1"/>
  <c r="L174" i="20"/>
  <c r="J174" i="24"/>
  <c r="K27" i="23" s="1"/>
  <c r="J174" i="20"/>
  <c r="O173" i="24"/>
  <c r="P26" i="23" s="1"/>
  <c r="O173" i="20"/>
  <c r="M173"/>
  <c r="M173" i="24"/>
  <c r="N26" i="23" s="1"/>
  <c r="I174" i="24"/>
  <c r="J27" i="23" s="1"/>
  <c r="I174" i="20"/>
  <c r="M174" i="24"/>
  <c r="N27" i="23" s="1"/>
  <c r="M174" i="20"/>
  <c r="K175" i="24"/>
  <c r="L28" i="23" s="1"/>
  <c r="K175" i="20"/>
  <c r="M175" i="24"/>
  <c r="N28" i="23" s="1"/>
  <c r="M175" i="20"/>
  <c r="J161" i="24"/>
  <c r="K34" i="23" s="1"/>
  <c r="J161" i="20"/>
  <c r="K34" i="21" s="1"/>
  <c r="L166" i="24"/>
  <c r="M29" i="23" s="1"/>
  <c r="L166" i="20"/>
  <c r="M29" i="21" s="1"/>
  <c r="N159" i="24"/>
  <c r="O32" i="23" s="1"/>
  <c r="N159" i="20"/>
  <c r="O32" i="21" s="1"/>
  <c r="H168" i="24"/>
  <c r="I31" i="23" s="1"/>
  <c r="H168" i="20"/>
  <c r="I31" i="21" s="1"/>
  <c r="N166" i="24"/>
  <c r="O29" i="23" s="1"/>
  <c r="N166" i="20"/>
  <c r="O29" i="21" s="1"/>
  <c r="N161" i="24"/>
  <c r="O34" i="23" s="1"/>
  <c r="N161" i="20"/>
  <c r="O34" i="21" s="1"/>
  <c r="O160" i="24"/>
  <c r="P33" i="23" s="1"/>
  <c r="O160" i="20"/>
  <c r="P33" i="21" s="1"/>
  <c r="I166" i="24"/>
  <c r="J29" i="23" s="1"/>
  <c r="I166" i="20"/>
  <c r="J29" i="21" s="1"/>
  <c r="I167" i="24"/>
  <c r="J30" i="23" s="1"/>
  <c r="I167" i="20"/>
  <c r="J30" i="21" s="1"/>
  <c r="K166" i="24"/>
  <c r="L29" i="23" s="1"/>
  <c r="K166" i="20"/>
  <c r="L29" i="21" s="1"/>
  <c r="O161" i="24"/>
  <c r="P34" i="23" s="1"/>
  <c r="O161" i="20"/>
  <c r="P34" i="21" s="1"/>
  <c r="I160" i="24"/>
  <c r="J33" i="23" s="1"/>
  <c r="I160" i="20"/>
  <c r="J33" i="21" s="1"/>
  <c r="M167" i="24"/>
  <c r="N30" i="23" s="1"/>
  <c r="M167" i="20"/>
  <c r="N30" i="21" s="1"/>
  <c r="K167" i="24"/>
  <c r="L30" i="23" s="1"/>
  <c r="K167" i="20"/>
  <c r="L30" i="21" s="1"/>
  <c r="I159" i="24"/>
  <c r="J32" i="23" s="1"/>
  <c r="I159" i="20"/>
  <c r="J32" i="21" s="1"/>
  <c r="M159" i="24"/>
  <c r="N32" i="23" s="1"/>
  <c r="M159" i="20"/>
  <c r="N32" i="21" s="1"/>
  <c r="L159" i="24"/>
  <c r="M32" i="23" s="1"/>
  <c r="L159" i="20"/>
  <c r="M32" i="21" s="1"/>
  <c r="J168" i="24"/>
  <c r="K31" i="23" s="1"/>
  <c r="J168" i="20"/>
  <c r="K31" i="21" s="1"/>
  <c r="L168" i="24"/>
  <c r="M31" i="23" s="1"/>
  <c r="L168" i="20"/>
  <c r="M31" i="21" s="1"/>
  <c r="H167" i="24"/>
  <c r="I30" i="23" s="1"/>
  <c r="H167" i="20"/>
  <c r="I30" i="21" s="1"/>
  <c r="J159" i="24"/>
  <c r="K32" i="23" s="1"/>
  <c r="J159" i="20"/>
  <c r="K32" i="21" s="1"/>
  <c r="H159" i="24"/>
  <c r="I32" i="23" s="1"/>
  <c r="H159" i="20"/>
  <c r="I32" i="21" s="1"/>
  <c r="O166" i="24"/>
  <c r="P29" i="23" s="1"/>
  <c r="O166" i="20"/>
  <c r="P29" i="21" s="1"/>
  <c r="P45" s="1"/>
  <c r="M160" i="24"/>
  <c r="N33" i="23" s="1"/>
  <c r="M160" i="20"/>
  <c r="N33" i="21" s="1"/>
  <c r="M166" i="24"/>
  <c r="N29" i="23" s="1"/>
  <c r="M166" i="20"/>
  <c r="N29" i="21" s="1"/>
  <c r="N45" s="1"/>
  <c r="J175" i="24"/>
  <c r="K28" i="23" s="1"/>
  <c r="J175" i="20"/>
  <c r="H175" i="24"/>
  <c r="I28" i="23" s="1"/>
  <c r="H175" i="20"/>
  <c r="J173" i="24"/>
  <c r="K26" i="23" s="1"/>
  <c r="J173" i="20"/>
  <c r="H173" i="24"/>
  <c r="I26" i="23" s="1"/>
  <c r="H173" i="20"/>
  <c r="H174" i="24"/>
  <c r="I27" i="23" s="1"/>
  <c r="H174" i="20"/>
  <c r="N174" i="24"/>
  <c r="O27" i="23" s="1"/>
  <c r="N174" i="20"/>
  <c r="K173" i="24"/>
  <c r="L26" i="23" s="1"/>
  <c r="K173" i="20"/>
  <c r="I173" i="24"/>
  <c r="J26" i="23" s="1"/>
  <c r="I173" i="20"/>
  <c r="K174" i="24"/>
  <c r="L27" i="23" s="1"/>
  <c r="K174" i="20"/>
  <c r="O174" i="24"/>
  <c r="P27" i="23" s="1"/>
  <c r="O174" i="20"/>
  <c r="I175" i="24"/>
  <c r="J28" i="23" s="1"/>
  <c r="I175" i="20"/>
  <c r="O175" i="24"/>
  <c r="P28" i="23" s="1"/>
  <c r="O175" i="20"/>
  <c r="Y14" i="23"/>
  <c r="D101" i="15"/>
  <c r="I47" i="5"/>
  <c r="D47" i="4"/>
  <c r="L47"/>
  <c r="E103" i="14"/>
  <c r="E77" i="4" s="1"/>
  <c r="D94" i="24" s="1"/>
  <c r="D104" s="1"/>
  <c r="E104" i="14"/>
  <c r="E78" i="4" s="1"/>
  <c r="D95" i="24" s="1"/>
  <c r="D105" s="1"/>
  <c r="E105" i="14"/>
  <c r="E79" i="4" s="1"/>
  <c r="D96" i="24" s="1"/>
  <c r="D106" s="1"/>
  <c r="K280" i="17"/>
  <c r="L280" s="1"/>
  <c r="M280" s="1"/>
  <c r="C86" i="5" s="1"/>
  <c r="K281" i="17"/>
  <c r="L281" s="1"/>
  <c r="M282" s="1"/>
  <c r="C281"/>
  <c r="D281" s="1"/>
  <c r="E282" s="1"/>
  <c r="E86" i="4" s="1"/>
  <c r="C280" i="17"/>
  <c r="D280" s="1"/>
  <c r="E280" s="1"/>
  <c r="C86" i="4" s="1"/>
  <c r="C35" i="21" s="1"/>
  <c r="C35" i="23" s="1"/>
  <c r="K282" i="12"/>
  <c r="L282" s="1"/>
  <c r="K281"/>
  <c r="L281" s="1"/>
  <c r="C282"/>
  <c r="D282" s="1"/>
  <c r="C43" i="14"/>
  <c r="C281" i="12"/>
  <c r="D281" s="1"/>
  <c r="E281" s="1"/>
  <c r="D43" i="14" s="1"/>
  <c r="D88" s="1"/>
  <c r="D84" i="4" s="1"/>
  <c r="C63" i="24" s="1"/>
  <c r="K281" i="8"/>
  <c r="L281" s="1"/>
  <c r="M281" s="1"/>
  <c r="D42" i="15" s="1"/>
  <c r="D77" s="1"/>
  <c r="D81" i="5" s="1"/>
  <c r="C127" i="24" s="1"/>
  <c r="K282" i="8"/>
  <c r="L282" s="1"/>
  <c r="C42" i="15"/>
  <c r="C76" s="1"/>
  <c r="C280" i="8"/>
  <c r="D280" s="1"/>
  <c r="E280" s="1"/>
  <c r="C293"/>
  <c r="D293" s="1"/>
  <c r="C292"/>
  <c r="D292" s="1"/>
  <c r="E292" s="1"/>
  <c r="C282"/>
  <c r="D282" s="1"/>
  <c r="E282" s="1"/>
  <c r="E42" i="14" s="1"/>
  <c r="Z13" i="23"/>
  <c r="E19" i="21"/>
  <c r="E18"/>
  <c r="K47" i="4"/>
  <c r="E47"/>
  <c r="F47"/>
  <c r="L47" i="5"/>
  <c r="F47"/>
  <c r="P38" i="6"/>
  <c r="Z38" i="21"/>
  <c r="P26" i="6"/>
  <c r="D47" i="5"/>
  <c r="M47" i="4"/>
  <c r="G47"/>
  <c r="Z25" i="23"/>
  <c r="O23" i="6"/>
  <c r="H47" i="4"/>
  <c r="H47" i="5"/>
  <c r="J47"/>
  <c r="P43" i="6"/>
  <c r="O36"/>
  <c r="P10"/>
  <c r="P69"/>
  <c r="N27" i="4"/>
  <c r="P16" i="6"/>
  <c r="O61"/>
  <c r="P90"/>
  <c r="Y38" i="23"/>
  <c r="Z42" i="21"/>
  <c r="O40" i="6"/>
  <c r="K47" i="5"/>
  <c r="E47"/>
  <c r="O14" i="6"/>
  <c r="C94" i="14"/>
  <c r="C105" s="1"/>
  <c r="E281" i="25"/>
  <c r="D94" i="14" s="1"/>
  <c r="D103" s="1"/>
  <c r="D77" i="4" s="1"/>
  <c r="Y14" i="21"/>
  <c r="P88" i="6"/>
  <c r="M47" i="5"/>
  <c r="G47"/>
  <c r="P42" i="6"/>
  <c r="P15"/>
  <c r="P30"/>
  <c r="Z37" i="23"/>
  <c r="P18" i="6"/>
  <c r="Y39" i="23"/>
  <c r="P20" i="6"/>
  <c r="P51"/>
  <c r="P34"/>
  <c r="P87"/>
  <c r="J47" i="4"/>
  <c r="F13" i="6"/>
  <c r="F27"/>
  <c r="P31"/>
  <c r="Y37" i="23"/>
  <c r="P59" i="6"/>
  <c r="P52"/>
  <c r="P67"/>
  <c r="Y15" i="21"/>
  <c r="P41" i="6"/>
  <c r="P9"/>
  <c r="P35"/>
  <c r="P66"/>
  <c r="P74"/>
  <c r="Z42" i="23"/>
  <c r="P21" i="6"/>
  <c r="P53"/>
  <c r="P11"/>
  <c r="P54"/>
  <c r="P19"/>
  <c r="P70"/>
  <c r="Y21" i="21"/>
  <c r="C13" i="7"/>
  <c r="C35"/>
  <c r="P50" i="6"/>
  <c r="P29"/>
  <c r="P58"/>
  <c r="Y15" i="23"/>
  <c r="C47" i="4"/>
  <c r="N13"/>
  <c r="K282" i="25"/>
  <c r="L282" s="1"/>
  <c r="K281"/>
  <c r="L281" s="1"/>
  <c r="K280"/>
  <c r="L280" s="1"/>
  <c r="M280" s="1"/>
  <c r="P71" i="6"/>
  <c r="O33"/>
  <c r="P57"/>
  <c r="Y25" i="21"/>
  <c r="Y25" i="23"/>
  <c r="O28" i="6"/>
  <c r="Z14" i="23"/>
  <c r="P68" i="6"/>
  <c r="P91"/>
  <c r="N27" i="5"/>
  <c r="P39" i="6"/>
  <c r="Y42" i="21"/>
  <c r="Z25"/>
  <c r="Y39"/>
  <c r="C43" i="15"/>
  <c r="P17" i="6"/>
  <c r="P22"/>
  <c r="T9" i="4"/>
  <c r="G27" i="6"/>
  <c r="C27"/>
  <c r="L27"/>
  <c r="D27"/>
  <c r="E13"/>
  <c r="M13"/>
  <c r="P32"/>
  <c r="M27"/>
  <c r="U11" i="5"/>
  <c r="P55" i="6"/>
  <c r="I27"/>
  <c r="I13"/>
  <c r="Z15" i="23"/>
  <c r="E27" i="6"/>
  <c r="P25"/>
  <c r="P56"/>
  <c r="L45" i="23"/>
  <c r="P65" i="6"/>
  <c r="Z21" i="23"/>
  <c r="W12" i="5"/>
  <c r="J13" i="6"/>
  <c r="P12"/>
  <c r="Z39" i="23"/>
  <c r="N45"/>
  <c r="P49" i="6"/>
  <c r="P45" i="23"/>
  <c r="P37" i="6"/>
  <c r="Z38" i="23"/>
  <c r="N13" i="5"/>
  <c r="C47"/>
  <c r="J45" i="23"/>
  <c r="P72" i="6"/>
  <c r="P24"/>
  <c r="P89"/>
  <c r="C13"/>
  <c r="K13"/>
  <c r="H27"/>
  <c r="I45" i="23"/>
  <c r="O45"/>
  <c r="K27" i="6"/>
  <c r="L13"/>
  <c r="G13"/>
  <c r="H13"/>
  <c r="D85" i="15"/>
  <c r="J27" i="6"/>
  <c r="N33"/>
  <c r="N23"/>
  <c r="N40"/>
  <c r="N61"/>
  <c r="D13"/>
  <c r="N14"/>
  <c r="C88" i="14"/>
  <c r="N36" i="6"/>
  <c r="D85" i="14"/>
  <c r="D74"/>
  <c r="N28" i="6"/>
  <c r="C38" i="7"/>
  <c r="Q27" i="24"/>
  <c r="R16" i="23" s="1"/>
  <c r="U16" i="21"/>
  <c r="Y16" s="1"/>
  <c r="U17"/>
  <c r="Y17" s="1"/>
  <c r="N29" i="24"/>
  <c r="O18" i="23" s="1"/>
  <c r="S27" i="24"/>
  <c r="T16" i="23" s="1"/>
  <c r="M45"/>
  <c r="U20" i="20"/>
  <c r="S28" s="1"/>
  <c r="T17" i="21" s="1"/>
  <c r="V17" s="1"/>
  <c r="Z17" s="1"/>
  <c r="R28" i="24"/>
  <c r="S17" i="23" s="1"/>
  <c r="H28" i="24"/>
  <c r="I17" i="23" s="1"/>
  <c r="M30" i="24"/>
  <c r="N19" i="23" s="1"/>
  <c r="I28" i="24"/>
  <c r="J17" i="23" s="1"/>
  <c r="D27" i="24"/>
  <c r="E16" i="23" s="1"/>
  <c r="H29" i="24"/>
  <c r="I18" i="23" s="1"/>
  <c r="K27" i="24"/>
  <c r="L16" i="23" s="1"/>
  <c r="K29" i="24"/>
  <c r="L18" i="23" s="1"/>
  <c r="L27" i="24"/>
  <c r="M16" i="23" s="1"/>
  <c r="K30" i="24"/>
  <c r="L19" i="23" s="1"/>
  <c r="O28" i="24"/>
  <c r="P17" i="23" s="1"/>
  <c r="C27" i="24"/>
  <c r="D16" i="23" s="1"/>
  <c r="G28" i="24"/>
  <c r="H17" i="23" s="1"/>
  <c r="D29" i="24"/>
  <c r="E18" i="23" s="1"/>
  <c r="B28" i="24"/>
  <c r="C17" i="23" s="1"/>
  <c r="P29" i="24"/>
  <c r="Q18" i="23" s="1"/>
  <c r="F30" i="24"/>
  <c r="G19" i="23" s="1"/>
  <c r="G27" i="24"/>
  <c r="H16" i="23" s="1"/>
  <c r="Q30" i="24"/>
  <c r="R19" i="23" s="1"/>
  <c r="D28" i="24"/>
  <c r="E17" i="23" s="1"/>
  <c r="M29" i="24"/>
  <c r="N18" i="23" s="1"/>
  <c r="J27" i="24"/>
  <c r="K16" i="23" s="1"/>
  <c r="B30" i="24"/>
  <c r="C19" i="23" s="1"/>
  <c r="G30" i="24"/>
  <c r="H19" i="23" s="1"/>
  <c r="K28" i="24"/>
  <c r="L17" i="23" s="1"/>
  <c r="I30" i="24"/>
  <c r="J19" i="23" s="1"/>
  <c r="I29" i="24"/>
  <c r="J18" i="23" s="1"/>
  <c r="M28" i="24"/>
  <c r="N17" i="23" s="1"/>
  <c r="R30" i="24"/>
  <c r="S19" i="23" s="1"/>
  <c r="E29" i="24"/>
  <c r="F18" i="23" s="1"/>
  <c r="L29" i="24"/>
  <c r="M18" i="23" s="1"/>
  <c r="G29" i="24"/>
  <c r="H18" i="23" s="1"/>
  <c r="N27" i="24"/>
  <c r="O16" i="23" s="1"/>
  <c r="Q29" i="24"/>
  <c r="R18" i="23" s="1"/>
  <c r="P28" i="24"/>
  <c r="Q17" i="23" s="1"/>
  <c r="D30" i="24"/>
  <c r="E19" i="23" s="1"/>
  <c r="O27" i="24"/>
  <c r="P16" i="23" s="1"/>
  <c r="B29" i="24"/>
  <c r="C18" i="23" s="1"/>
  <c r="L30" i="24"/>
  <c r="M19" i="23" s="1"/>
  <c r="P27" i="24"/>
  <c r="Q16" i="23" s="1"/>
  <c r="N28" i="24"/>
  <c r="O17" i="23" s="1"/>
  <c r="J30" i="24"/>
  <c r="K19" i="23" s="1"/>
  <c r="N30" i="24"/>
  <c r="O19" i="23" s="1"/>
  <c r="F28" i="24"/>
  <c r="G17" i="23" s="1"/>
  <c r="R29" i="24"/>
  <c r="S18" i="23" s="1"/>
  <c r="J28" i="24"/>
  <c r="K17" i="23" s="1"/>
  <c r="J29" i="24"/>
  <c r="K18" i="23" s="1"/>
  <c r="L28" i="24"/>
  <c r="M17" i="23" s="1"/>
  <c r="P30" i="24"/>
  <c r="Q19" i="23" s="1"/>
  <c r="Q28" i="24"/>
  <c r="R17" i="23" s="1"/>
  <c r="C30" i="24"/>
  <c r="D19" i="23" s="1"/>
  <c r="F27" i="24"/>
  <c r="G16" i="23" s="1"/>
  <c r="C28" i="24"/>
  <c r="D17" i="23" s="1"/>
  <c r="M27" i="24"/>
  <c r="N16" i="23" s="1"/>
  <c r="E28" i="24"/>
  <c r="F17" i="23" s="1"/>
  <c r="E27" i="24"/>
  <c r="F16" i="23" s="1"/>
  <c r="O30" i="24"/>
  <c r="P19" i="23" s="1"/>
  <c r="F29" i="24"/>
  <c r="G18" i="23" s="1"/>
  <c r="I27" i="24"/>
  <c r="J16" i="23" s="1"/>
  <c r="H27" i="24"/>
  <c r="I16" i="23" s="1"/>
  <c r="H30" i="24"/>
  <c r="I19" i="23" s="1"/>
  <c r="T27" i="20"/>
  <c r="S28" i="24"/>
  <c r="T17" i="23" s="1"/>
  <c r="U19" i="20"/>
  <c r="S27" s="1"/>
  <c r="T16" i="21" s="1"/>
  <c r="V16" s="1"/>
  <c r="Z16" s="1"/>
  <c r="T28" i="20"/>
  <c r="C29"/>
  <c r="D18" i="21" s="1"/>
  <c r="U21" i="20"/>
  <c r="S29" s="1"/>
  <c r="T18" i="21" s="1"/>
  <c r="E30" i="24"/>
  <c r="F19" i="23" s="1"/>
  <c r="S30" i="24"/>
  <c r="T19" i="23" s="1"/>
  <c r="B29" i="20"/>
  <c r="C18" i="21" s="1"/>
  <c r="T21" i="20"/>
  <c r="R29" s="1"/>
  <c r="S18" i="21" s="1"/>
  <c r="U30" i="20"/>
  <c r="V19" i="21"/>
  <c r="Z19" s="1"/>
  <c r="I19"/>
  <c r="T30" i="20"/>
  <c r="S29" i="24"/>
  <c r="T18" i="23" s="1"/>
  <c r="C29" i="24"/>
  <c r="D18" i="23" s="1"/>
  <c r="B27" i="24"/>
  <c r="C16" i="23" s="1"/>
  <c r="R27" i="24"/>
  <c r="S16" i="23" s="1"/>
  <c r="K45"/>
  <c r="L45" i="21" l="1"/>
  <c r="J45"/>
  <c r="O45"/>
  <c r="M45"/>
  <c r="K45"/>
  <c r="I45"/>
  <c r="Q13" i="5"/>
  <c r="E44" i="14"/>
  <c r="E281" i="8"/>
  <c r="D42" i="14" s="1"/>
  <c r="D78" s="1"/>
  <c r="D82" i="4" s="1"/>
  <c r="C80" i="24" s="1"/>
  <c r="Q13" i="4"/>
  <c r="D95" i="20"/>
  <c r="D105" s="1"/>
  <c r="G27" i="21"/>
  <c r="D94" i="20"/>
  <c r="D99" s="1"/>
  <c r="D96"/>
  <c r="D101" s="1"/>
  <c r="G28" i="21"/>
  <c r="G26"/>
  <c r="C104" i="14"/>
  <c r="C78" i="4" s="1"/>
  <c r="B95" i="24" s="1"/>
  <c r="C44" i="15"/>
  <c r="M281" i="17"/>
  <c r="D44" i="15" s="1"/>
  <c r="D35" i="21"/>
  <c r="D35" i="23" s="1"/>
  <c r="E44" i="15"/>
  <c r="E86" i="5"/>
  <c r="H35" i="21" s="1"/>
  <c r="H35" i="23" s="1"/>
  <c r="E281" i="17"/>
  <c r="D86" i="4" s="1"/>
  <c r="C44" i="14"/>
  <c r="C86" i="6"/>
  <c r="G35" i="21"/>
  <c r="G35" i="23" s="1"/>
  <c r="M282" i="12"/>
  <c r="E43" i="15" s="1"/>
  <c r="E89" s="1"/>
  <c r="E85" i="5" s="1"/>
  <c r="D112" i="24" s="1"/>
  <c r="M281" i="12"/>
  <c r="D89" i="14"/>
  <c r="D85" i="4" s="1"/>
  <c r="C64" i="24" s="1"/>
  <c r="D87" i="14"/>
  <c r="D83" i="4" s="1"/>
  <c r="C62" i="24" s="1"/>
  <c r="C87" i="14"/>
  <c r="C83" i="4" s="1"/>
  <c r="B62" i="24" s="1"/>
  <c r="C89" i="14"/>
  <c r="E282" i="12"/>
  <c r="D78" i="15"/>
  <c r="D82" i="5" s="1"/>
  <c r="C128" i="24" s="1"/>
  <c r="D76" i="15"/>
  <c r="D80" i="5" s="1"/>
  <c r="C126" i="24" s="1"/>
  <c r="M282" i="8"/>
  <c r="E42" i="15" s="1"/>
  <c r="E77" s="1"/>
  <c r="E81" i="5" s="1"/>
  <c r="D127" i="24" s="1"/>
  <c r="C137" s="1"/>
  <c r="C78" i="15"/>
  <c r="C82" i="5" s="1"/>
  <c r="B128" i="24" s="1"/>
  <c r="C77" i="15"/>
  <c r="C81" i="5" s="1"/>
  <c r="B127" i="24" s="1"/>
  <c r="C42" i="14"/>
  <c r="C78" s="1"/>
  <c r="C82" i="4" s="1"/>
  <c r="B80" i="24" s="1"/>
  <c r="E293" i="8"/>
  <c r="E294" s="1"/>
  <c r="E76" i="14"/>
  <c r="E80" i="4" s="1"/>
  <c r="D78" i="24" s="1"/>
  <c r="D83" s="1"/>
  <c r="E77" i="14"/>
  <c r="E81" i="4" s="1"/>
  <c r="D79" i="24" s="1"/>
  <c r="D84" s="1"/>
  <c r="E78" i="14"/>
  <c r="E82" i="4" s="1"/>
  <c r="D80" i="24" s="1"/>
  <c r="D85" s="1"/>
  <c r="C89" i="15"/>
  <c r="C87"/>
  <c r="C88"/>
  <c r="U19" i="21"/>
  <c r="Y19" s="1"/>
  <c r="P23" i="6"/>
  <c r="P36"/>
  <c r="P61"/>
  <c r="O27"/>
  <c r="C94" i="20"/>
  <c r="C94" i="24"/>
  <c r="C104" s="1"/>
  <c r="P40" i="6"/>
  <c r="N47" i="5"/>
  <c r="P14" i="6"/>
  <c r="O13"/>
  <c r="C79" i="4"/>
  <c r="B96" i="24" s="1"/>
  <c r="D105" i="14"/>
  <c r="D79" i="4" s="1"/>
  <c r="E26" i="21"/>
  <c r="E283" i="25"/>
  <c r="K94" i="14" s="1"/>
  <c r="K104" s="1"/>
  <c r="K78" i="4" s="1"/>
  <c r="D104" i="14"/>
  <c r="D78" i="4" s="1"/>
  <c r="C95" i="20" s="1"/>
  <c r="C103" i="14"/>
  <c r="D100" i="24"/>
  <c r="D101"/>
  <c r="D99"/>
  <c r="F47" i="6"/>
  <c r="N47" i="4"/>
  <c r="G47" i="6"/>
  <c r="D47"/>
  <c r="P28"/>
  <c r="L47"/>
  <c r="P33"/>
  <c r="C94" i="15"/>
  <c r="M282" i="25"/>
  <c r="E94" i="15" s="1"/>
  <c r="E105" s="1"/>
  <c r="M281" i="25"/>
  <c r="D94" i="15" s="1"/>
  <c r="E47" i="6"/>
  <c r="M47"/>
  <c r="J47"/>
  <c r="C47"/>
  <c r="K47"/>
  <c r="I47"/>
  <c r="H47"/>
  <c r="N27"/>
  <c r="C80" i="5"/>
  <c r="B126" i="24" s="1"/>
  <c r="C127" i="20"/>
  <c r="C63"/>
  <c r="N13" i="6"/>
  <c r="C84" i="4"/>
  <c r="B63" i="24" s="1"/>
  <c r="U19" i="23"/>
  <c r="Y19" s="1"/>
  <c r="U27" i="20"/>
  <c r="V17" i="23"/>
  <c r="Z17" s="1"/>
  <c r="U28" i="20"/>
  <c r="V16" i="23"/>
  <c r="Z16" s="1"/>
  <c r="U28" i="24"/>
  <c r="T30"/>
  <c r="T29"/>
  <c r="U18" i="23"/>
  <c r="Y18" s="1"/>
  <c r="U27" i="24"/>
  <c r="T28"/>
  <c r="U17" i="23"/>
  <c r="Y17" s="1"/>
  <c r="U30" i="24"/>
  <c r="V18" i="21"/>
  <c r="Z18" s="1"/>
  <c r="U29" i="20"/>
  <c r="U16" i="23"/>
  <c r="Y16" s="1"/>
  <c r="T27" i="24"/>
  <c r="T29" i="20"/>
  <c r="U18" i="21"/>
  <c r="Y18" s="1"/>
  <c r="V18" i="23"/>
  <c r="Z18" s="1"/>
  <c r="U29" i="24"/>
  <c r="V19" i="23"/>
  <c r="Z19" s="1"/>
  <c r="F174" i="24" l="1"/>
  <c r="G27" i="23" s="1"/>
  <c r="F174" i="20"/>
  <c r="D100"/>
  <c r="D44" i="14"/>
  <c r="D45" s="1"/>
  <c r="D48" s="1"/>
  <c r="D49" s="1"/>
  <c r="E283" i="17"/>
  <c r="K44" i="14" s="1"/>
  <c r="E87" i="15"/>
  <c r="E83" i="5" s="1"/>
  <c r="C128" i="20"/>
  <c r="D77" i="14"/>
  <c r="D81" i="4" s="1"/>
  <c r="C79" i="24" s="1"/>
  <c r="C89" s="1"/>
  <c r="D76" i="14"/>
  <c r="D80" i="4" s="1"/>
  <c r="C78" i="24" s="1"/>
  <c r="C83" s="1"/>
  <c r="E283" i="8"/>
  <c r="K42" i="14" s="1"/>
  <c r="N42" s="1"/>
  <c r="C76"/>
  <c r="C80" i="4" s="1"/>
  <c r="B78" i="24" s="1"/>
  <c r="C126" i="20"/>
  <c r="D88" i="24"/>
  <c r="D104" i="20"/>
  <c r="D106"/>
  <c r="B96"/>
  <c r="C99"/>
  <c r="E27" i="21"/>
  <c r="C28"/>
  <c r="K103" i="14"/>
  <c r="K77" i="4" s="1"/>
  <c r="J142" i="24" s="1"/>
  <c r="M283" i="17"/>
  <c r="K44" i="15" s="1"/>
  <c r="N44" s="1"/>
  <c r="C45"/>
  <c r="C48" s="1"/>
  <c r="D86" i="5"/>
  <c r="E86" i="6"/>
  <c r="E35" i="21"/>
  <c r="D43" i="15"/>
  <c r="D87" s="1"/>
  <c r="D83" i="5" s="1"/>
  <c r="M283" i="12"/>
  <c r="K43" i="15" s="1"/>
  <c r="E88"/>
  <c r="E84" i="5" s="1"/>
  <c r="D111" i="20" s="1"/>
  <c r="D121" s="1"/>
  <c r="D122" i="24"/>
  <c r="D117"/>
  <c r="E45" i="15"/>
  <c r="E48" s="1"/>
  <c r="E49" s="1"/>
  <c r="D112" i="20"/>
  <c r="D117" s="1"/>
  <c r="C83" i="5"/>
  <c r="B110" i="24" s="1"/>
  <c r="C62" i="20"/>
  <c r="E43" i="14"/>
  <c r="E88" s="1"/>
  <c r="E283" i="12"/>
  <c r="K43" i="14" s="1"/>
  <c r="C64" i="20"/>
  <c r="C85" i="4"/>
  <c r="B64" i="24" s="1"/>
  <c r="B69" s="1"/>
  <c r="E76" i="15"/>
  <c r="E78"/>
  <c r="E82" i="5" s="1"/>
  <c r="D128" i="24" s="1"/>
  <c r="D133" s="1"/>
  <c r="M283" i="8"/>
  <c r="K42" i="15" s="1"/>
  <c r="N42" s="1"/>
  <c r="D127" i="20"/>
  <c r="C137" s="1"/>
  <c r="D132" i="24"/>
  <c r="D137"/>
  <c r="C132"/>
  <c r="C77" i="14"/>
  <c r="C45"/>
  <c r="C48" s="1"/>
  <c r="E295" i="8"/>
  <c r="D90" i="24"/>
  <c r="C85"/>
  <c r="C80" i="20"/>
  <c r="D82" i="6"/>
  <c r="D80" i="20"/>
  <c r="D90" s="1"/>
  <c r="D78"/>
  <c r="D83" s="1"/>
  <c r="C84" i="24"/>
  <c r="D79" i="20"/>
  <c r="D89" s="1"/>
  <c r="C79"/>
  <c r="D89" i="24"/>
  <c r="D81" i="6"/>
  <c r="E81"/>
  <c r="C90" i="24"/>
  <c r="K105" i="14"/>
  <c r="K79" i="4" s="1"/>
  <c r="J144" i="24" s="1"/>
  <c r="B138"/>
  <c r="B133"/>
  <c r="B132"/>
  <c r="B137"/>
  <c r="B131"/>
  <c r="B136"/>
  <c r="C104" i="20"/>
  <c r="P27" i="6"/>
  <c r="C95" i="24"/>
  <c r="C105" s="1"/>
  <c r="J95"/>
  <c r="J143"/>
  <c r="E28" i="21"/>
  <c r="C96" i="24"/>
  <c r="C106" s="1"/>
  <c r="B85"/>
  <c r="B90"/>
  <c r="B72"/>
  <c r="B67"/>
  <c r="B73"/>
  <c r="B68"/>
  <c r="O47" i="6"/>
  <c r="P13"/>
  <c r="C99" i="24"/>
  <c r="S27" i="21"/>
  <c r="J95" i="20"/>
  <c r="J100" s="1"/>
  <c r="J143"/>
  <c r="I153" s="1"/>
  <c r="N94" i="14"/>
  <c r="E284" i="25"/>
  <c r="E285" s="1"/>
  <c r="L104" i="14"/>
  <c r="C96" i="20"/>
  <c r="C106" s="1"/>
  <c r="C77" i="4"/>
  <c r="B94" i="24" s="1"/>
  <c r="B104" s="1"/>
  <c r="C104" i="15"/>
  <c r="C103"/>
  <c r="C105"/>
  <c r="D105"/>
  <c r="D79" i="5" s="1"/>
  <c r="C144" i="24" s="1"/>
  <c r="D104" i="15"/>
  <c r="D78" i="5" s="1"/>
  <c r="C143" i="24" s="1"/>
  <c r="D103" i="15"/>
  <c r="D77" i="5" s="1"/>
  <c r="C142" i="24" s="1"/>
  <c r="B95" i="20"/>
  <c r="C105"/>
  <c r="C100"/>
  <c r="B80"/>
  <c r="C84" i="5"/>
  <c r="B111" i="24" s="1"/>
  <c r="E79" i="5"/>
  <c r="D144" i="24" s="1"/>
  <c r="E103" i="15"/>
  <c r="E77" i="5" s="1"/>
  <c r="D142" i="24" s="1"/>
  <c r="E104" i="15"/>
  <c r="E78" i="5" s="1"/>
  <c r="D143" i="24" s="1"/>
  <c r="M283" i="25"/>
  <c r="K94" i="15" s="1"/>
  <c r="C85" i="5"/>
  <c r="B112" i="24" s="1"/>
  <c r="C27" i="21"/>
  <c r="N78" i="4"/>
  <c r="N47" i="6"/>
  <c r="B126" i="20"/>
  <c r="B128"/>
  <c r="B127"/>
  <c r="B63"/>
  <c r="B62"/>
  <c r="C82" i="6"/>
  <c r="D174" i="24" l="1"/>
  <c r="E27" i="23" s="1"/>
  <c r="D174" i="20"/>
  <c r="Q174" i="24"/>
  <c r="R27" i="23" s="1"/>
  <c r="Q174" i="20"/>
  <c r="D173" i="24"/>
  <c r="E26" i="23" s="1"/>
  <c r="D173" i="20"/>
  <c r="F168" i="24"/>
  <c r="G31" i="23" s="1"/>
  <c r="F168" i="20"/>
  <c r="G31" i="21" s="1"/>
  <c r="F173" i="24"/>
  <c r="G26" i="23" s="1"/>
  <c r="F173" i="20"/>
  <c r="D175" i="24"/>
  <c r="E28" i="23" s="1"/>
  <c r="D175" i="20"/>
  <c r="F167" i="24"/>
  <c r="G30" i="23" s="1"/>
  <c r="F167" i="20"/>
  <c r="G30" i="21" s="1"/>
  <c r="E167" i="24"/>
  <c r="F30" i="23" s="1"/>
  <c r="E167" i="20"/>
  <c r="F30" i="21" s="1"/>
  <c r="G160" i="24"/>
  <c r="H33" i="23" s="1"/>
  <c r="G160" i="20"/>
  <c r="H33" i="21" s="1"/>
  <c r="F175" i="24"/>
  <c r="G28" i="23" s="1"/>
  <c r="F175" i="20"/>
  <c r="N44" i="14"/>
  <c r="K86" i="4"/>
  <c r="N86" s="1"/>
  <c r="E284" i="17"/>
  <c r="E285" s="1"/>
  <c r="D110" i="24"/>
  <c r="D110" i="20"/>
  <c r="D138" i="24"/>
  <c r="C88"/>
  <c r="B88"/>
  <c r="D92" i="4"/>
  <c r="C78" i="20"/>
  <c r="C88" s="1"/>
  <c r="D80" i="6"/>
  <c r="K76" i="14"/>
  <c r="K80" i="4" s="1"/>
  <c r="J78" i="24" s="1"/>
  <c r="J88" s="1"/>
  <c r="K78" i="14"/>
  <c r="K82" i="4" s="1"/>
  <c r="J80" i="24" s="1"/>
  <c r="L80" s="1"/>
  <c r="K77" i="14"/>
  <c r="K81" i="4" s="1"/>
  <c r="J79" i="24" s="1"/>
  <c r="J89" s="1"/>
  <c r="E284" i="8"/>
  <c r="E285" s="1"/>
  <c r="K45" i="14"/>
  <c r="K48" s="1"/>
  <c r="K49" s="1"/>
  <c r="E84" i="4"/>
  <c r="E84" i="6" s="1"/>
  <c r="L77" i="14"/>
  <c r="E80" i="5"/>
  <c r="E82" i="6"/>
  <c r="C81" i="4"/>
  <c r="B79" i="24" s="1"/>
  <c r="M284" i="25"/>
  <c r="M285" s="1"/>
  <c r="L103" i="14"/>
  <c r="S26" i="21"/>
  <c r="J94" i="24"/>
  <c r="I104" s="1"/>
  <c r="S28" i="21"/>
  <c r="U28" s="1"/>
  <c r="I105" i="20"/>
  <c r="J96" i="24"/>
  <c r="I106" s="1"/>
  <c r="N79" i="4"/>
  <c r="I100" i="20"/>
  <c r="J144"/>
  <c r="I149" s="1"/>
  <c r="J96"/>
  <c r="L96" s="1"/>
  <c r="J94"/>
  <c r="J104" s="1"/>
  <c r="J142"/>
  <c r="J152" s="1"/>
  <c r="L105" i="14"/>
  <c r="M105" s="1"/>
  <c r="F35" i="21"/>
  <c r="F35" i="23" s="1"/>
  <c r="K86" i="5"/>
  <c r="T35" i="21" s="1"/>
  <c r="T35" i="23" s="1"/>
  <c r="M284" i="17"/>
  <c r="M285" s="1"/>
  <c r="C49" i="15"/>
  <c r="D86" i="6"/>
  <c r="E35" i="23"/>
  <c r="C110" i="24"/>
  <c r="B115" s="1"/>
  <c r="D83" i="6"/>
  <c r="C110" i="20"/>
  <c r="C120" s="1"/>
  <c r="D89" i="15"/>
  <c r="M284" i="12"/>
  <c r="M285" s="1"/>
  <c r="K88" i="15"/>
  <c r="K84" i="5" s="1"/>
  <c r="K87" i="15"/>
  <c r="K83" i="5" s="1"/>
  <c r="N83" s="1"/>
  <c r="K89" i="15"/>
  <c r="K85" i="5" s="1"/>
  <c r="D45" i="15"/>
  <c r="D48" s="1"/>
  <c r="D49" s="1"/>
  <c r="D88"/>
  <c r="N43"/>
  <c r="B110" i="20"/>
  <c r="D116"/>
  <c r="D111" i="24"/>
  <c r="D116" s="1"/>
  <c r="D122" i="20"/>
  <c r="C83" i="6"/>
  <c r="B74" i="24"/>
  <c r="E89" i="14"/>
  <c r="E87"/>
  <c r="K88"/>
  <c r="K84" i="4" s="1"/>
  <c r="K87" i="14"/>
  <c r="K83" i="4" s="1"/>
  <c r="K89" i="14"/>
  <c r="K85" i="4" s="1"/>
  <c r="E284" i="12"/>
  <c r="E285" s="1"/>
  <c r="N43" i="14"/>
  <c r="E45"/>
  <c r="E48" s="1"/>
  <c r="E49" s="1"/>
  <c r="B64" i="20"/>
  <c r="B69" s="1"/>
  <c r="C49" i="14"/>
  <c r="D63" i="24"/>
  <c r="C138"/>
  <c r="D128" i="20"/>
  <c r="D138" s="1"/>
  <c r="C133" i="24"/>
  <c r="M284" i="8"/>
  <c r="M285" s="1"/>
  <c r="K45" i="15"/>
  <c r="K48" s="1"/>
  <c r="K49" s="1"/>
  <c r="K77"/>
  <c r="K76"/>
  <c r="K80" i="5" s="1"/>
  <c r="K78" i="15"/>
  <c r="K82" i="5" s="1"/>
  <c r="N82" s="1"/>
  <c r="X31" i="23" s="1"/>
  <c r="D137" i="20"/>
  <c r="C132"/>
  <c r="D132"/>
  <c r="C138"/>
  <c r="D85"/>
  <c r="C90"/>
  <c r="C85"/>
  <c r="D84"/>
  <c r="B83" i="24"/>
  <c r="C80" i="6"/>
  <c r="B78" i="20"/>
  <c r="D88"/>
  <c r="C84"/>
  <c r="C89"/>
  <c r="B101"/>
  <c r="C147" i="24"/>
  <c r="C152"/>
  <c r="C84" i="6"/>
  <c r="D153" i="24"/>
  <c r="D148"/>
  <c r="C153"/>
  <c r="C148"/>
  <c r="C149"/>
  <c r="C154"/>
  <c r="D152"/>
  <c r="D147"/>
  <c r="D154"/>
  <c r="D149"/>
  <c r="U27" i="21"/>
  <c r="C100" i="24"/>
  <c r="J149"/>
  <c r="I149"/>
  <c r="I154"/>
  <c r="J154"/>
  <c r="B101"/>
  <c r="J105" i="20"/>
  <c r="I153" i="24"/>
  <c r="J148"/>
  <c r="J153"/>
  <c r="I148"/>
  <c r="J105"/>
  <c r="I105"/>
  <c r="I152"/>
  <c r="J147"/>
  <c r="J152"/>
  <c r="I147"/>
  <c r="I100"/>
  <c r="C101"/>
  <c r="J100"/>
  <c r="B106"/>
  <c r="B105"/>
  <c r="I148" i="20"/>
  <c r="J148"/>
  <c r="P47" i="6"/>
  <c r="J153" i="20"/>
  <c r="C101"/>
  <c r="B106"/>
  <c r="N77" i="4"/>
  <c r="C26" i="21"/>
  <c r="B94" i="20"/>
  <c r="K105" i="15"/>
  <c r="L105" s="1"/>
  <c r="K104"/>
  <c r="L104" s="1"/>
  <c r="K103"/>
  <c r="L103" s="1"/>
  <c r="D143" i="20"/>
  <c r="D142"/>
  <c r="D144"/>
  <c r="C142"/>
  <c r="C143"/>
  <c r="C144"/>
  <c r="L95"/>
  <c r="B100"/>
  <c r="B105"/>
  <c r="L95" i="24"/>
  <c r="B100"/>
  <c r="C115" i="20"/>
  <c r="B112"/>
  <c r="K79" i="5"/>
  <c r="E78" i="6"/>
  <c r="H27" i="21"/>
  <c r="E77" i="6"/>
  <c r="H26" i="21"/>
  <c r="E92" i="5"/>
  <c r="F27" i="21"/>
  <c r="D78" i="6"/>
  <c r="H28" i="21"/>
  <c r="E79" i="6"/>
  <c r="C77" i="5"/>
  <c r="B142" i="24" s="1"/>
  <c r="W27" i="23"/>
  <c r="W27" i="21"/>
  <c r="C78" i="5"/>
  <c r="B143" i="24" s="1"/>
  <c r="B111" i="20"/>
  <c r="C85" i="6"/>
  <c r="C79" i="5"/>
  <c r="B144" i="24" s="1"/>
  <c r="F26" i="21"/>
  <c r="D77" i="6"/>
  <c r="F28" i="21"/>
  <c r="D79" i="6"/>
  <c r="N94" i="15"/>
  <c r="B136" i="20"/>
  <c r="B131"/>
  <c r="B133"/>
  <c r="B138"/>
  <c r="B132"/>
  <c r="B137"/>
  <c r="X31" i="21"/>
  <c r="B90" i="20"/>
  <c r="B85"/>
  <c r="B68"/>
  <c r="B73"/>
  <c r="B67"/>
  <c r="B72"/>
  <c r="B160" i="24" l="1"/>
  <c r="B160" i="20"/>
  <c r="C166" i="24"/>
  <c r="C166" i="20"/>
  <c r="B174" i="24"/>
  <c r="B174" i="20"/>
  <c r="R174" i="24"/>
  <c r="S27" i="23" s="1"/>
  <c r="R174" i="20"/>
  <c r="D167" i="24"/>
  <c r="E30" i="23" s="1"/>
  <c r="D167" i="20"/>
  <c r="E30" i="21" s="1"/>
  <c r="F166" i="24"/>
  <c r="G29" i="23" s="1"/>
  <c r="F166" i="20"/>
  <c r="G29" i="21" s="1"/>
  <c r="D168" i="24"/>
  <c r="E31" i="23" s="1"/>
  <c r="D168" i="20"/>
  <c r="E31" i="21" s="1"/>
  <c r="E168" i="24"/>
  <c r="F31" i="23" s="1"/>
  <c r="E168" i="20"/>
  <c r="F31" i="21" s="1"/>
  <c r="B168" i="24"/>
  <c r="B168" i="20"/>
  <c r="C167" i="24"/>
  <c r="C167" i="20"/>
  <c r="C168" i="24"/>
  <c r="C168" i="20"/>
  <c r="B175" i="24"/>
  <c r="B175" i="20"/>
  <c r="S174" i="24"/>
  <c r="T27" i="23" s="1"/>
  <c r="S174" i="20"/>
  <c r="G167" i="24"/>
  <c r="H30" i="23" s="1"/>
  <c r="G167" i="20"/>
  <c r="H30" i="21" s="1"/>
  <c r="G161" i="24"/>
  <c r="H34" i="23" s="1"/>
  <c r="G161" i="20"/>
  <c r="H34" i="21" s="1"/>
  <c r="E159" i="24"/>
  <c r="F32" i="23" s="1"/>
  <c r="E159" i="20"/>
  <c r="F32" i="21" s="1"/>
  <c r="S173" i="24"/>
  <c r="T26" i="23" s="1"/>
  <c r="S173" i="20"/>
  <c r="D166" i="24"/>
  <c r="E29" i="23" s="1"/>
  <c r="D166" i="20"/>
  <c r="E29" i="21" s="1"/>
  <c r="B159" i="24"/>
  <c r="B159" i="20"/>
  <c r="G168" i="24"/>
  <c r="H31" i="23" s="1"/>
  <c r="G168" i="20"/>
  <c r="H31" i="21" s="1"/>
  <c r="R173" i="24"/>
  <c r="S26" i="23" s="1"/>
  <c r="R173" i="20"/>
  <c r="P174" i="24"/>
  <c r="Q27" i="23" s="1"/>
  <c r="P174" i="20"/>
  <c r="N45" i="14"/>
  <c r="K78" i="5"/>
  <c r="T27" i="21" s="1"/>
  <c r="I104" i="20"/>
  <c r="J149"/>
  <c r="J154"/>
  <c r="J99"/>
  <c r="J99" i="24"/>
  <c r="J104"/>
  <c r="S35" i="21"/>
  <c r="S35" i="23" s="1"/>
  <c r="U35" s="1"/>
  <c r="D115" i="24"/>
  <c r="D120"/>
  <c r="D120" i="20"/>
  <c r="D115"/>
  <c r="B120" i="24"/>
  <c r="B120" i="20"/>
  <c r="D63"/>
  <c r="C68" s="1"/>
  <c r="C83"/>
  <c r="L78" i="14"/>
  <c r="N82" i="4"/>
  <c r="O82" i="6" s="1"/>
  <c r="J84" i="24"/>
  <c r="I84"/>
  <c r="B79" i="20"/>
  <c r="C92" i="4"/>
  <c r="J85" i="24"/>
  <c r="J90"/>
  <c r="I83"/>
  <c r="L76" i="14"/>
  <c r="L78" i="24"/>
  <c r="N80" i="4"/>
  <c r="W29" i="21" s="1"/>
  <c r="J83" i="24"/>
  <c r="I88"/>
  <c r="K88" s="1"/>
  <c r="J78" i="20"/>
  <c r="I83" s="1"/>
  <c r="I89" i="24"/>
  <c r="J79" i="20"/>
  <c r="I84" s="1"/>
  <c r="K80" i="6"/>
  <c r="N81" i="4"/>
  <c r="W30" i="21" s="1"/>
  <c r="J80" i="20"/>
  <c r="I85" i="24"/>
  <c r="I90"/>
  <c r="K92" i="4"/>
  <c r="D85" i="5"/>
  <c r="D85" i="6" s="1"/>
  <c r="L89" i="15"/>
  <c r="L87"/>
  <c r="D84" i="5"/>
  <c r="C111" i="24" s="1"/>
  <c r="L88" i="15"/>
  <c r="E85" i="4"/>
  <c r="D64" i="20" s="1"/>
  <c r="L89" i="14"/>
  <c r="E83" i="4"/>
  <c r="D62" i="20" s="1"/>
  <c r="C67" s="1"/>
  <c r="L87" i="14"/>
  <c r="N84" i="4"/>
  <c r="L88" i="14"/>
  <c r="C81" i="6"/>
  <c r="K81" i="5"/>
  <c r="J127" i="24" s="1"/>
  <c r="L127" s="1"/>
  <c r="L77" i="15"/>
  <c r="D126" i="24"/>
  <c r="D126" i="20"/>
  <c r="N80" i="5"/>
  <c r="E80" i="6"/>
  <c r="C133" i="20"/>
  <c r="L78" i="15"/>
  <c r="L76"/>
  <c r="K83" i="24"/>
  <c r="K77" i="5"/>
  <c r="I154" i="20"/>
  <c r="I99"/>
  <c r="I99" i="24"/>
  <c r="I101" i="20"/>
  <c r="I152"/>
  <c r="I147"/>
  <c r="J101"/>
  <c r="K101" s="1"/>
  <c r="J101" i="24"/>
  <c r="J106"/>
  <c r="K106" s="1"/>
  <c r="K100" i="20"/>
  <c r="J147"/>
  <c r="J106"/>
  <c r="I106"/>
  <c r="I101" i="24"/>
  <c r="L96"/>
  <c r="W28" i="23"/>
  <c r="W28" i="21"/>
  <c r="Y28" s="1"/>
  <c r="K86" i="6"/>
  <c r="N86" s="1"/>
  <c r="V35" i="23"/>
  <c r="V35" i="21"/>
  <c r="Z35" s="1"/>
  <c r="N86" i="5"/>
  <c r="X35" i="23" s="1"/>
  <c r="N49" i="15"/>
  <c r="K51" s="1"/>
  <c r="K55" s="1"/>
  <c r="K65" s="1"/>
  <c r="K64" i="5" s="1"/>
  <c r="N48" i="15"/>
  <c r="N49" i="14"/>
  <c r="C51" s="1"/>
  <c r="C55" s="1"/>
  <c r="N48"/>
  <c r="W35" i="23"/>
  <c r="R86" i="4"/>
  <c r="C120" i="24"/>
  <c r="C115"/>
  <c r="N45" i="15"/>
  <c r="X32" i="21"/>
  <c r="B115" i="20"/>
  <c r="J112" i="24"/>
  <c r="J112" i="20"/>
  <c r="J111" i="24"/>
  <c r="J111" i="20"/>
  <c r="J110" i="24"/>
  <c r="L110" s="1"/>
  <c r="J110" i="20"/>
  <c r="L110" s="1"/>
  <c r="D121" i="24"/>
  <c r="X32" i="23"/>
  <c r="J64" i="24"/>
  <c r="K85" i="6"/>
  <c r="J64" i="20"/>
  <c r="J63" i="24"/>
  <c r="L63" s="1"/>
  <c r="J63" i="20"/>
  <c r="K84" i="6"/>
  <c r="J62" i="24"/>
  <c r="K83" i="6"/>
  <c r="J62" i="20"/>
  <c r="B74"/>
  <c r="C73"/>
  <c r="D68"/>
  <c r="D73" i="24"/>
  <c r="C68"/>
  <c r="D68"/>
  <c r="C73"/>
  <c r="D133" i="20"/>
  <c r="J126" i="24"/>
  <c r="J126" i="20"/>
  <c r="J128" i="24"/>
  <c r="L128" s="1"/>
  <c r="J128" i="20"/>
  <c r="L128" s="1"/>
  <c r="K82" i="6"/>
  <c r="N82" s="1"/>
  <c r="J88" i="20"/>
  <c r="B83"/>
  <c r="B88"/>
  <c r="Y27" i="21"/>
  <c r="B154" i="24"/>
  <c r="B149"/>
  <c r="B148"/>
  <c r="B153"/>
  <c r="B147"/>
  <c r="B152"/>
  <c r="K105"/>
  <c r="K100"/>
  <c r="B84"/>
  <c r="B89"/>
  <c r="B84" i="20"/>
  <c r="K105"/>
  <c r="K104" i="24"/>
  <c r="L94"/>
  <c r="B99"/>
  <c r="L94" i="20"/>
  <c r="B99"/>
  <c r="B104"/>
  <c r="U26" i="21"/>
  <c r="W26" i="23"/>
  <c r="R78" i="4"/>
  <c r="W26" i="21"/>
  <c r="M105" i="15"/>
  <c r="C147" i="20"/>
  <c r="C152"/>
  <c r="D149"/>
  <c r="D154"/>
  <c r="B143"/>
  <c r="C154"/>
  <c r="C149"/>
  <c r="B144"/>
  <c r="C153"/>
  <c r="C148"/>
  <c r="D153"/>
  <c r="D148"/>
  <c r="D147"/>
  <c r="D152"/>
  <c r="B142"/>
  <c r="L79" i="24"/>
  <c r="D27" i="21"/>
  <c r="N78" i="5"/>
  <c r="C78" i="6"/>
  <c r="D28" i="21"/>
  <c r="N79" i="5"/>
  <c r="C79" i="6"/>
  <c r="T26" i="21"/>
  <c r="K78" i="6"/>
  <c r="K79"/>
  <c r="T28" i="21"/>
  <c r="C92" i="5"/>
  <c r="C77" i="6"/>
  <c r="D26" i="21"/>
  <c r="G174" i="24" l="1"/>
  <c r="H27" i="23" s="1"/>
  <c r="G174" i="20"/>
  <c r="E174" i="24"/>
  <c r="F27" i="23" s="1"/>
  <c r="E174" i="20"/>
  <c r="K104"/>
  <c r="B173" i="24"/>
  <c r="B173" i="20"/>
  <c r="B161" i="24"/>
  <c r="B161" i="20"/>
  <c r="G173" i="24"/>
  <c r="H26" i="23" s="1"/>
  <c r="G173" i="20"/>
  <c r="E175" i="24"/>
  <c r="F28" i="23" s="1"/>
  <c r="E175" i="20"/>
  <c r="G175" i="24"/>
  <c r="H28" i="23" s="1"/>
  <c r="G175" i="20"/>
  <c r="E173"/>
  <c r="E173" i="24"/>
  <c r="F26" i="23" s="1"/>
  <c r="B166" i="24"/>
  <c r="B166" i="20"/>
  <c r="R166" i="24"/>
  <c r="S29" i="23" s="1"/>
  <c r="R166" i="20"/>
  <c r="S29" i="21" s="1"/>
  <c r="D160" i="24"/>
  <c r="E33" i="23" s="1"/>
  <c r="D160" i="20"/>
  <c r="E33" i="21" s="1"/>
  <c r="P175" i="24"/>
  <c r="Q28" i="23" s="1"/>
  <c r="P175" i="20"/>
  <c r="Q173" i="24"/>
  <c r="R26" i="23" s="1"/>
  <c r="Q173" i="20"/>
  <c r="C159" i="24"/>
  <c r="C159" i="20"/>
  <c r="S175" i="24"/>
  <c r="T28" i="23" s="1"/>
  <c r="S175" i="20"/>
  <c r="P173" i="24"/>
  <c r="Q26" i="23" s="1"/>
  <c r="P173" i="20"/>
  <c r="C32" i="23"/>
  <c r="C28"/>
  <c r="D31"/>
  <c r="D30"/>
  <c r="C31"/>
  <c r="C27"/>
  <c r="U27" s="1"/>
  <c r="Y27" s="1"/>
  <c r="T174" i="24"/>
  <c r="D29" i="23"/>
  <c r="C33"/>
  <c r="R175" i="24"/>
  <c r="S28" i="23" s="1"/>
  <c r="R175" i="20"/>
  <c r="Q175" i="24"/>
  <c r="R28" i="23" s="1"/>
  <c r="Q175" i="20"/>
  <c r="G159" i="24"/>
  <c r="H32" i="23" s="1"/>
  <c r="G159" i="20"/>
  <c r="H32" i="21" s="1"/>
  <c r="C32"/>
  <c r="D31"/>
  <c r="D30"/>
  <c r="C31"/>
  <c r="D29"/>
  <c r="C33"/>
  <c r="T175" i="20"/>
  <c r="T174"/>
  <c r="Z35" i="23"/>
  <c r="K92" i="5"/>
  <c r="N77"/>
  <c r="R78" s="1"/>
  <c r="K77" i="6"/>
  <c r="K99" i="24"/>
  <c r="R86" i="5"/>
  <c r="U35" i="21"/>
  <c r="Y35" s="1"/>
  <c r="Y35" i="23"/>
  <c r="D73" i="20"/>
  <c r="L63"/>
  <c r="M89" i="14"/>
  <c r="J127" i="20"/>
  <c r="L127" s="1"/>
  <c r="J89"/>
  <c r="M78" i="14"/>
  <c r="K84" i="24"/>
  <c r="W31" i="21"/>
  <c r="W31" i="23"/>
  <c r="I88" i="20"/>
  <c r="J84"/>
  <c r="K85" i="24"/>
  <c r="L79" i="20"/>
  <c r="B89"/>
  <c r="W30" i="23"/>
  <c r="I89" i="20"/>
  <c r="J83"/>
  <c r="K83" s="1"/>
  <c r="L78"/>
  <c r="K90" i="24"/>
  <c r="K51" i="14"/>
  <c r="K55" s="1"/>
  <c r="K65" s="1"/>
  <c r="K64" i="4" s="1"/>
  <c r="K75" s="1"/>
  <c r="K93" s="1"/>
  <c r="K84" i="20"/>
  <c r="K89" i="24"/>
  <c r="R80" i="4"/>
  <c r="O80" i="6"/>
  <c r="W29" i="23"/>
  <c r="P82" i="6"/>
  <c r="N80"/>
  <c r="I85" i="20"/>
  <c r="J85"/>
  <c r="J90"/>
  <c r="I90"/>
  <c r="L80"/>
  <c r="C111"/>
  <c r="B121" s="1"/>
  <c r="C116" i="24"/>
  <c r="C121"/>
  <c r="D84" i="6"/>
  <c r="D92" s="1"/>
  <c r="M89" i="15"/>
  <c r="N84" i="5"/>
  <c r="O84" i="6" s="1"/>
  <c r="D92" i="5"/>
  <c r="C112" i="24"/>
  <c r="N85" i="5"/>
  <c r="C112" i="20"/>
  <c r="L111" i="24"/>
  <c r="L64" i="20"/>
  <c r="C74"/>
  <c r="C69"/>
  <c r="D74"/>
  <c r="D69"/>
  <c r="D72"/>
  <c r="L62"/>
  <c r="W33" i="23"/>
  <c r="W33" i="21"/>
  <c r="C72" i="20"/>
  <c r="E83" i="6"/>
  <c r="N83" s="1"/>
  <c r="E92" i="4"/>
  <c r="N92" s="1"/>
  <c r="N83"/>
  <c r="D62" i="24"/>
  <c r="E85" i="6"/>
  <c r="N85" s="1"/>
  <c r="N85" i="4"/>
  <c r="D64" i="24"/>
  <c r="X29" i="21"/>
  <c r="X29" i="23"/>
  <c r="C136" i="24"/>
  <c r="D136"/>
  <c r="L126"/>
  <c r="C131"/>
  <c r="D131"/>
  <c r="N81" i="5"/>
  <c r="K81" i="6"/>
  <c r="N81" s="1"/>
  <c r="M78" i="15"/>
  <c r="C131" i="20"/>
  <c r="C136"/>
  <c r="D131"/>
  <c r="D136"/>
  <c r="L126"/>
  <c r="D51" i="14"/>
  <c r="D55" s="1"/>
  <c r="D65" s="1"/>
  <c r="D64" i="4" s="1"/>
  <c r="E11" i="23" s="1"/>
  <c r="E24" s="1"/>
  <c r="I51" i="14"/>
  <c r="I55" s="1"/>
  <c r="I65" s="1"/>
  <c r="I64" i="4" s="1"/>
  <c r="O11" i="21" s="1"/>
  <c r="O24" s="1"/>
  <c r="G51" i="14"/>
  <c r="G55" s="1"/>
  <c r="G65" s="1"/>
  <c r="G64" i="4" s="1"/>
  <c r="K11" i="21" s="1"/>
  <c r="K24" s="1"/>
  <c r="L51" i="14"/>
  <c r="L55" s="1"/>
  <c r="L65" s="1"/>
  <c r="L64" i="4" s="1"/>
  <c r="L75" s="1"/>
  <c r="L93" s="1"/>
  <c r="F51" i="14"/>
  <c r="F55" s="1"/>
  <c r="F65" s="1"/>
  <c r="F64" i="4" s="1"/>
  <c r="I11" i="21" s="1"/>
  <c r="I24" s="1"/>
  <c r="M51" i="14"/>
  <c r="M55" s="1"/>
  <c r="M65" s="1"/>
  <c r="M64" i="4" s="1"/>
  <c r="H51" i="14"/>
  <c r="H55" s="1"/>
  <c r="H65" s="1"/>
  <c r="H64" i="4" s="1"/>
  <c r="M11" i="23" s="1"/>
  <c r="M24" s="1"/>
  <c r="M46" s="1"/>
  <c r="E51" i="14"/>
  <c r="E55" s="1"/>
  <c r="E65" s="1"/>
  <c r="E64" i="4" s="1"/>
  <c r="G11" i="21" s="1"/>
  <c r="G24" s="1"/>
  <c r="J51" i="14"/>
  <c r="J55" s="1"/>
  <c r="J65" s="1"/>
  <c r="J64" i="4" s="1"/>
  <c r="K99" i="20"/>
  <c r="K101" i="24"/>
  <c r="K106" i="20"/>
  <c r="L51" i="15"/>
  <c r="L55" s="1"/>
  <c r="L65" s="1"/>
  <c r="L64" i="5" s="1"/>
  <c r="L75" s="1"/>
  <c r="L93" s="1"/>
  <c r="O86" i="6"/>
  <c r="P86" s="1"/>
  <c r="D51" i="15"/>
  <c r="D55" s="1"/>
  <c r="D65" s="1"/>
  <c r="D64" i="5" s="1"/>
  <c r="D64" i="6" s="1"/>
  <c r="D75" s="1"/>
  <c r="K75" i="5"/>
  <c r="C51" i="15"/>
  <c r="M51"/>
  <c r="M55" s="1"/>
  <c r="M65" s="1"/>
  <c r="M64" i="5" s="1"/>
  <c r="M75" s="1"/>
  <c r="M93" s="1"/>
  <c r="I51" i="15"/>
  <c r="I55" s="1"/>
  <c r="I65" s="1"/>
  <c r="I64" i="5" s="1"/>
  <c r="F51" i="15"/>
  <c r="F55" s="1"/>
  <c r="F65" s="1"/>
  <c r="F64" i="5" s="1"/>
  <c r="E51" i="15"/>
  <c r="E55" s="1"/>
  <c r="E65" s="1"/>
  <c r="E64" i="5" s="1"/>
  <c r="G51" i="15"/>
  <c r="G55" s="1"/>
  <c r="G65" s="1"/>
  <c r="G64" i="5" s="1"/>
  <c r="H51" i="15"/>
  <c r="H55" s="1"/>
  <c r="H65" s="1"/>
  <c r="H64" i="5" s="1"/>
  <c r="J51" i="15"/>
  <c r="J55" s="1"/>
  <c r="J65" s="1"/>
  <c r="J64" i="5" s="1"/>
  <c r="I115" i="20"/>
  <c r="J120"/>
  <c r="J115"/>
  <c r="I120"/>
  <c r="I121"/>
  <c r="I116"/>
  <c r="J116"/>
  <c r="J121"/>
  <c r="J122"/>
  <c r="J117"/>
  <c r="I122"/>
  <c r="I117"/>
  <c r="B121" i="24"/>
  <c r="B116"/>
  <c r="J120"/>
  <c r="J115"/>
  <c r="I120"/>
  <c r="I115"/>
  <c r="I121"/>
  <c r="J116"/>
  <c r="J121"/>
  <c r="I116"/>
  <c r="J117"/>
  <c r="I117"/>
  <c r="J122"/>
  <c r="I122"/>
  <c r="C116" i="20"/>
  <c r="D67"/>
  <c r="J72"/>
  <c r="I72"/>
  <c r="J67"/>
  <c r="I67"/>
  <c r="J67" i="24"/>
  <c r="I67"/>
  <c r="J72"/>
  <c r="I72"/>
  <c r="J73" i="20"/>
  <c r="I73"/>
  <c r="J68"/>
  <c r="I68"/>
  <c r="J74"/>
  <c r="I74"/>
  <c r="I69"/>
  <c r="J69"/>
  <c r="J69" i="24"/>
  <c r="I69"/>
  <c r="J74"/>
  <c r="I74"/>
  <c r="I68"/>
  <c r="J73"/>
  <c r="I73"/>
  <c r="J68"/>
  <c r="I137" i="20"/>
  <c r="I133" i="24"/>
  <c r="I138"/>
  <c r="J138"/>
  <c r="J133"/>
  <c r="J136"/>
  <c r="J131"/>
  <c r="I136"/>
  <c r="I131"/>
  <c r="J132"/>
  <c r="J137"/>
  <c r="I132"/>
  <c r="I137"/>
  <c r="J138" i="20"/>
  <c r="I133"/>
  <c r="J133"/>
  <c r="I138"/>
  <c r="I136"/>
  <c r="J131"/>
  <c r="I131"/>
  <c r="J136"/>
  <c r="Y26" i="21"/>
  <c r="N79" i="6"/>
  <c r="L143" i="20"/>
  <c r="B153"/>
  <c r="B148"/>
  <c r="K148" s="1"/>
  <c r="L143" i="24"/>
  <c r="K148"/>
  <c r="K153"/>
  <c r="L144" i="20"/>
  <c r="B154"/>
  <c r="B149"/>
  <c r="K149" s="1"/>
  <c r="K149" i="24"/>
  <c r="L144"/>
  <c r="K154"/>
  <c r="L142" i="20"/>
  <c r="B152"/>
  <c r="B147"/>
  <c r="K147" s="1"/>
  <c r="K152" i="24"/>
  <c r="K147"/>
  <c r="L142"/>
  <c r="V28" i="21"/>
  <c r="V26"/>
  <c r="C65" i="14"/>
  <c r="N78" i="6"/>
  <c r="B37" i="7"/>
  <c r="B36"/>
  <c r="X28" i="23"/>
  <c r="O79" i="6"/>
  <c r="X28" i="21"/>
  <c r="X27" i="23"/>
  <c r="X27" i="21"/>
  <c r="O78" i="6"/>
  <c r="V27" i="21"/>
  <c r="C92" i="6"/>
  <c r="N77"/>
  <c r="K152" i="20" l="1"/>
  <c r="C173" i="24"/>
  <c r="C173" i="20"/>
  <c r="U173" s="1"/>
  <c r="K153"/>
  <c r="C174" i="24"/>
  <c r="C174" i="20"/>
  <c r="U174" s="1"/>
  <c r="S168" i="24"/>
  <c r="T31" i="23" s="1"/>
  <c r="S168" i="20"/>
  <c r="T31" i="21" s="1"/>
  <c r="S166" i="24"/>
  <c r="T29" i="23" s="1"/>
  <c r="S166" i="20"/>
  <c r="T29" i="21" s="1"/>
  <c r="Q168" i="24"/>
  <c r="Q168" i="20"/>
  <c r="Q167" i="24"/>
  <c r="Q167" i="20"/>
  <c r="R161" i="24"/>
  <c r="S34" i="23" s="1"/>
  <c r="R161" i="20"/>
  <c r="S34" i="21" s="1"/>
  <c r="R160" i="24"/>
  <c r="S33" i="23" s="1"/>
  <c r="R160" i="20"/>
  <c r="S33" i="21" s="1"/>
  <c r="R159" i="24"/>
  <c r="S32" i="23" s="1"/>
  <c r="R159" i="20"/>
  <c r="S32" i="21" s="1"/>
  <c r="Q161" i="24"/>
  <c r="R34" i="23" s="1"/>
  <c r="Q161" i="20"/>
  <c r="R34" i="21" s="1"/>
  <c r="S161" i="24"/>
  <c r="T34" i="23" s="1"/>
  <c r="S161" i="20"/>
  <c r="T34" i="21" s="1"/>
  <c r="Q160" i="24"/>
  <c r="R33" i="23" s="1"/>
  <c r="Q160" i="20"/>
  <c r="R33" i="21" s="1"/>
  <c r="G166" i="24"/>
  <c r="H29" i="23" s="1"/>
  <c r="G166" i="20"/>
  <c r="H29" i="21" s="1"/>
  <c r="H45" s="1"/>
  <c r="E166" i="24"/>
  <c r="E166" i="20"/>
  <c r="R168" i="24"/>
  <c r="S31" i="23" s="1"/>
  <c r="R168" i="20"/>
  <c r="S31" i="21" s="1"/>
  <c r="P167" i="24"/>
  <c r="Q30" i="23" s="1"/>
  <c r="P167" i="20"/>
  <c r="Q30" i="21" s="1"/>
  <c r="B167" i="24"/>
  <c r="B167" i="20"/>
  <c r="K88"/>
  <c r="P166" i="24"/>
  <c r="Q29" i="23" s="1"/>
  <c r="P166" i="20"/>
  <c r="Q29" i="21" s="1"/>
  <c r="D32"/>
  <c r="C29"/>
  <c r="T166" i="20"/>
  <c r="C34" i="21"/>
  <c r="U28" i="23"/>
  <c r="Y28" s="1"/>
  <c r="T173" i="20"/>
  <c r="K154"/>
  <c r="C175" i="24"/>
  <c r="C175" i="20"/>
  <c r="U175" s="1"/>
  <c r="Q166" i="24"/>
  <c r="R29" i="23" s="1"/>
  <c r="Q166" i="20"/>
  <c r="R29" i="21" s="1"/>
  <c r="P161" i="24"/>
  <c r="Q34" i="23" s="1"/>
  <c r="P161" i="20"/>
  <c r="Q34" i="21" s="1"/>
  <c r="P160" i="24"/>
  <c r="Q33" i="23" s="1"/>
  <c r="P160" i="20"/>
  <c r="Q33" i="21" s="1"/>
  <c r="P159" i="24"/>
  <c r="Q32" i="23" s="1"/>
  <c r="P159" i="20"/>
  <c r="Q32" i="21" s="1"/>
  <c r="S160" i="24"/>
  <c r="T33" i="23" s="1"/>
  <c r="S160" i="20"/>
  <c r="T33" i="21" s="1"/>
  <c r="Q159" i="24"/>
  <c r="R32" i="23" s="1"/>
  <c r="Q159" i="20"/>
  <c r="R32" i="21" s="1"/>
  <c r="S159" i="24"/>
  <c r="T32" i="23" s="1"/>
  <c r="S159" i="20"/>
  <c r="T32" i="21" s="1"/>
  <c r="D159" i="24"/>
  <c r="D159" i="20"/>
  <c r="F159" i="24"/>
  <c r="G32" i="23" s="1"/>
  <c r="F159" i="20"/>
  <c r="G32" i="21" s="1"/>
  <c r="F161" i="24"/>
  <c r="G34" i="23" s="1"/>
  <c r="F161" i="20"/>
  <c r="G34" i="21" s="1"/>
  <c r="D161" i="24"/>
  <c r="E34" i="23" s="1"/>
  <c r="D161" i="20"/>
  <c r="E34" i="21" s="1"/>
  <c r="C160" i="24"/>
  <c r="C160" i="20"/>
  <c r="P168" i="24"/>
  <c r="P168" i="20"/>
  <c r="R167" i="24"/>
  <c r="S30" i="23" s="1"/>
  <c r="S45" s="1"/>
  <c r="R167" i="20"/>
  <c r="S30" i="21" s="1"/>
  <c r="S45" s="1"/>
  <c r="F160" i="24"/>
  <c r="F160" i="20"/>
  <c r="D32" i="23"/>
  <c r="V32" s="1"/>
  <c r="Z32" s="1"/>
  <c r="U159" i="24"/>
  <c r="T166"/>
  <c r="C29" i="23"/>
  <c r="U29" s="1"/>
  <c r="Y29" s="1"/>
  <c r="T161" i="24"/>
  <c r="C34" i="23"/>
  <c r="U34" s="1"/>
  <c r="T173" i="24"/>
  <c r="C26" i="23"/>
  <c r="T175" i="24"/>
  <c r="H45" i="23"/>
  <c r="K137" i="24"/>
  <c r="X26" i="23"/>
  <c r="K93" i="5"/>
  <c r="X26" i="21"/>
  <c r="Z26" s="1"/>
  <c r="N92" i="5"/>
  <c r="X45" i="21" s="1"/>
  <c r="O77" i="6"/>
  <c r="P77" s="1"/>
  <c r="K120" i="20"/>
  <c r="H64" i="6"/>
  <c r="H75" s="1"/>
  <c r="H93" s="1"/>
  <c r="K64"/>
  <c r="K75" s="1"/>
  <c r="N84"/>
  <c r="P84" s="1"/>
  <c r="E92"/>
  <c r="J137" i="20"/>
  <c r="I132"/>
  <c r="J132"/>
  <c r="K132" i="24"/>
  <c r="K138" i="20"/>
  <c r="K133"/>
  <c r="K138" i="24"/>
  <c r="K89" i="20"/>
  <c r="M11" i="21"/>
  <c r="M24" s="1"/>
  <c r="M46" s="1"/>
  <c r="P80" i="6"/>
  <c r="F75" i="4"/>
  <c r="F93" s="1"/>
  <c r="S11" i="23"/>
  <c r="S24" s="1"/>
  <c r="S11" i="21"/>
  <c r="S24" s="1"/>
  <c r="I11" i="23"/>
  <c r="I24" s="1"/>
  <c r="I55" s="1"/>
  <c r="E11" i="21"/>
  <c r="E24" s="1"/>
  <c r="K11" i="23"/>
  <c r="K24" s="1"/>
  <c r="K55" s="1"/>
  <c r="G11"/>
  <c r="G24" s="1"/>
  <c r="H75" i="4"/>
  <c r="H93" s="1"/>
  <c r="D75"/>
  <c r="D93" s="1"/>
  <c r="G75"/>
  <c r="G93" s="1"/>
  <c r="K90" i="20"/>
  <c r="K85"/>
  <c r="K68"/>
  <c r="C121"/>
  <c r="K120" i="24"/>
  <c r="B116" i="20"/>
  <c r="L111"/>
  <c r="K115" i="24"/>
  <c r="K116" i="20"/>
  <c r="K115"/>
  <c r="D93" i="6"/>
  <c r="K73" i="24"/>
  <c r="K68"/>
  <c r="K74" i="20"/>
  <c r="K67"/>
  <c r="C117"/>
  <c r="C122"/>
  <c r="B117"/>
  <c r="K117" s="1"/>
  <c r="B122"/>
  <c r="L112"/>
  <c r="C122" i="24"/>
  <c r="B117"/>
  <c r="L112"/>
  <c r="C117"/>
  <c r="B122"/>
  <c r="K116"/>
  <c r="X34" i="23"/>
  <c r="X34" i="21"/>
  <c r="R83" i="5"/>
  <c r="X33" i="21"/>
  <c r="X33" i="23"/>
  <c r="K121" i="24"/>
  <c r="W32" i="23"/>
  <c r="W32" i="21"/>
  <c r="R83" i="4"/>
  <c r="O83" i="6"/>
  <c r="P83" s="1"/>
  <c r="W34" i="23"/>
  <c r="Y34" s="1"/>
  <c r="W34" i="21"/>
  <c r="O85" i="6"/>
  <c r="P85" s="1"/>
  <c r="L62" i="24"/>
  <c r="C67"/>
  <c r="C72"/>
  <c r="D67"/>
  <c r="D72"/>
  <c r="W45" i="23"/>
  <c r="W45" i="21"/>
  <c r="K73" i="20"/>
  <c r="K72"/>
  <c r="K69"/>
  <c r="L64" i="24"/>
  <c r="D74"/>
  <c r="D69"/>
  <c r="C74"/>
  <c r="C69"/>
  <c r="K92" i="6"/>
  <c r="K136" i="20"/>
  <c r="K131" i="24"/>
  <c r="K133"/>
  <c r="K131" i="20"/>
  <c r="K136" i="24"/>
  <c r="X30" i="23"/>
  <c r="X30" i="21"/>
  <c r="O81" i="6"/>
  <c r="P81" s="1"/>
  <c r="R80" i="5"/>
  <c r="E75" i="4"/>
  <c r="E93" s="1"/>
  <c r="M75"/>
  <c r="M93" s="1"/>
  <c r="O11" i="23"/>
  <c r="O24" s="1"/>
  <c r="O46" s="1"/>
  <c r="I75" i="4"/>
  <c r="I93" s="1"/>
  <c r="N55" i="14"/>
  <c r="O55" s="1"/>
  <c r="I64" i="6"/>
  <c r="I75" s="1"/>
  <c r="I93" s="1"/>
  <c r="G64"/>
  <c r="G75" s="1"/>
  <c r="G93" s="1"/>
  <c r="F64"/>
  <c r="F75" s="1"/>
  <c r="F93" s="1"/>
  <c r="N51" i="14"/>
  <c r="E64" i="6"/>
  <c r="E75" s="1"/>
  <c r="L64"/>
  <c r="L75" s="1"/>
  <c r="L93" s="1"/>
  <c r="M64"/>
  <c r="M75" s="1"/>
  <c r="M93" s="1"/>
  <c r="F11" i="21"/>
  <c r="F24" s="1"/>
  <c r="F11" i="23"/>
  <c r="F24" s="1"/>
  <c r="D75" i="5"/>
  <c r="D93" s="1"/>
  <c r="T11" i="21"/>
  <c r="T24" s="1"/>
  <c r="R11"/>
  <c r="R24" s="1"/>
  <c r="R11" i="23"/>
  <c r="R24" s="1"/>
  <c r="J75" i="5"/>
  <c r="J93" s="1"/>
  <c r="G75"/>
  <c r="G93" s="1"/>
  <c r="L11" i="21"/>
  <c r="L24" s="1"/>
  <c r="L11" i="23"/>
  <c r="L24" s="1"/>
  <c r="J11" i="21"/>
  <c r="J24" s="1"/>
  <c r="F75" i="5"/>
  <c r="F93" s="1"/>
  <c r="J11" i="23"/>
  <c r="J24" s="1"/>
  <c r="T11"/>
  <c r="T24" s="1"/>
  <c r="N11"/>
  <c r="N24" s="1"/>
  <c r="N11" i="21"/>
  <c r="N24" s="1"/>
  <c r="H75" i="5"/>
  <c r="H93" s="1"/>
  <c r="H11" i="23"/>
  <c r="H24" s="1"/>
  <c r="H11" i="21"/>
  <c r="H24" s="1"/>
  <c r="E75" i="5"/>
  <c r="E93" s="1"/>
  <c r="I75"/>
  <c r="I93" s="1"/>
  <c r="P11" i="21"/>
  <c r="P24" s="1"/>
  <c r="P11" i="23"/>
  <c r="P24" s="1"/>
  <c r="C55" i="15"/>
  <c r="N51"/>
  <c r="Q11" i="23"/>
  <c r="Q24" s="1"/>
  <c r="J64" i="6"/>
  <c r="J75" s="1"/>
  <c r="J93" s="1"/>
  <c r="J75" i="4"/>
  <c r="J93" s="1"/>
  <c r="Q11" i="21"/>
  <c r="Q24" s="1"/>
  <c r="P79" i="6"/>
  <c r="P78"/>
  <c r="Z27" i="21"/>
  <c r="Z28"/>
  <c r="I54"/>
  <c r="I46"/>
  <c r="N65" i="14"/>
  <c r="C62" s="1"/>
  <c r="C64" i="4"/>
  <c r="C14" i="7"/>
  <c r="C36"/>
  <c r="O46" i="21"/>
  <c r="O54"/>
  <c r="K54"/>
  <c r="K46"/>
  <c r="K121" i="20" l="1"/>
  <c r="E160" i="24"/>
  <c r="F33" i="23" s="1"/>
  <c r="E160" i="20"/>
  <c r="F33" i="21" s="1"/>
  <c r="U26" i="23"/>
  <c r="Y26" s="1"/>
  <c r="G33" i="21"/>
  <c r="U33" s="1"/>
  <c r="Y33" s="1"/>
  <c r="T160" i="20"/>
  <c r="Q31" i="21"/>
  <c r="U31" s="1"/>
  <c r="Y31" s="1"/>
  <c r="T168" i="20"/>
  <c r="D33" i="21"/>
  <c r="V33" s="1"/>
  <c r="Z33" s="1"/>
  <c r="U160" i="20"/>
  <c r="E32" i="21"/>
  <c r="T159" i="20"/>
  <c r="U29" i="21"/>
  <c r="V32"/>
  <c r="Z32" s="1"/>
  <c r="T167" i="20"/>
  <c r="C30" i="21"/>
  <c r="U30" s="1"/>
  <c r="Y30" s="1"/>
  <c r="F29"/>
  <c r="U166" i="20"/>
  <c r="R30" i="21"/>
  <c r="V30" s="1"/>
  <c r="Z30" s="1"/>
  <c r="R31"/>
  <c r="V31" s="1"/>
  <c r="Z31" s="1"/>
  <c r="U168" i="20"/>
  <c r="U173" i="24"/>
  <c r="D26" i="23"/>
  <c r="S46"/>
  <c r="G45" i="21"/>
  <c r="U34"/>
  <c r="Y34" s="1"/>
  <c r="K122" i="20"/>
  <c r="C161" i="24"/>
  <c r="C161" i="20"/>
  <c r="E161" i="24"/>
  <c r="F34" i="23" s="1"/>
  <c r="E161" i="20"/>
  <c r="F34" i="21" s="1"/>
  <c r="K137" i="20"/>
  <c r="S167" i="24"/>
  <c r="T30" i="23" s="1"/>
  <c r="S167" i="20"/>
  <c r="T30" i="21" s="1"/>
  <c r="T45" s="1"/>
  <c r="G33" i="23"/>
  <c r="U33" s="1"/>
  <c r="Y33" s="1"/>
  <c r="T160" i="24"/>
  <c r="Q31" i="23"/>
  <c r="T168" i="24"/>
  <c r="U160"/>
  <c r="D33" i="23"/>
  <c r="E32"/>
  <c r="T159" i="24"/>
  <c r="D28" i="23"/>
  <c r="V28" s="1"/>
  <c r="Z28" s="1"/>
  <c r="U175" i="24"/>
  <c r="T167"/>
  <c r="C30" i="23"/>
  <c r="U30" s="1"/>
  <c r="Y30" s="1"/>
  <c r="F29"/>
  <c r="U166" i="24"/>
  <c r="R30" i="23"/>
  <c r="R31"/>
  <c r="V31" s="1"/>
  <c r="Z31" s="1"/>
  <c r="U168" i="24"/>
  <c r="U174"/>
  <c r="D27" i="23"/>
  <c r="V27" s="1"/>
  <c r="Z27" s="1"/>
  <c r="S54" i="21"/>
  <c r="G45" i="23"/>
  <c r="G55" s="1"/>
  <c r="T161" i="20"/>
  <c r="U159"/>
  <c r="T45" i="23"/>
  <c r="T46" s="1"/>
  <c r="C37" i="7"/>
  <c r="C15"/>
  <c r="X45" i="23"/>
  <c r="O92" i="6"/>
  <c r="N92"/>
  <c r="K69" i="24"/>
  <c r="E93" i="6"/>
  <c r="M54" i="21"/>
  <c r="K132" i="20"/>
  <c r="S46" i="21"/>
  <c r="K46" i="23"/>
  <c r="M52" s="1"/>
  <c r="U52" s="1"/>
  <c r="U54" s="1"/>
  <c r="O55"/>
  <c r="S55"/>
  <c r="I46"/>
  <c r="K74" i="24"/>
  <c r="K122"/>
  <c r="K93" i="6"/>
  <c r="K117" i="24"/>
  <c r="K72"/>
  <c r="K67"/>
  <c r="P46" i="21"/>
  <c r="P54"/>
  <c r="P46" i="23"/>
  <c r="P55"/>
  <c r="H54" i="21"/>
  <c r="H46"/>
  <c r="N55" i="23"/>
  <c r="N46"/>
  <c r="J55"/>
  <c r="J46"/>
  <c r="J46" i="21"/>
  <c r="J54"/>
  <c r="L54"/>
  <c r="L46"/>
  <c r="C65" i="15"/>
  <c r="N55"/>
  <c r="O55" s="1"/>
  <c r="H55" i="23"/>
  <c r="H46"/>
  <c r="N46" i="21"/>
  <c r="N54"/>
  <c r="L46" i="23"/>
  <c r="L55"/>
  <c r="C11" i="21"/>
  <c r="C75" i="4"/>
  <c r="C11" i="23"/>
  <c r="N64" i="4"/>
  <c r="T46" i="21" l="1"/>
  <c r="T54"/>
  <c r="V30" i="23"/>
  <c r="Z30" s="1"/>
  <c r="R45"/>
  <c r="V29"/>
  <c r="Z29" s="1"/>
  <c r="F45"/>
  <c r="E45"/>
  <c r="U32"/>
  <c r="Y32" s="1"/>
  <c r="U31"/>
  <c r="Y31" s="1"/>
  <c r="Q45"/>
  <c r="G54" i="21"/>
  <c r="G46"/>
  <c r="F45"/>
  <c r="V29"/>
  <c r="Y29"/>
  <c r="E45"/>
  <c r="U32"/>
  <c r="Y32" s="1"/>
  <c r="U161" i="24"/>
  <c r="D34" i="23"/>
  <c r="V34" s="1"/>
  <c r="Z34" s="1"/>
  <c r="V26"/>
  <c r="Z26" s="1"/>
  <c r="G46"/>
  <c r="T55"/>
  <c r="Q45" i="21"/>
  <c r="U167" i="24"/>
  <c r="V33" i="23"/>
  <c r="Z33" s="1"/>
  <c r="R45" i="21"/>
  <c r="U167" i="20"/>
  <c r="C45" i="21"/>
  <c r="C45" i="23"/>
  <c r="D34" i="21"/>
  <c r="V34" s="1"/>
  <c r="Z34" s="1"/>
  <c r="U161" i="20"/>
  <c r="P92" i="6"/>
  <c r="M54" i="23"/>
  <c r="M55" s="1"/>
  <c r="C64" i="5"/>
  <c r="N65" i="15"/>
  <c r="C62" s="1"/>
  <c r="W11" i="21"/>
  <c r="W11" i="4"/>
  <c r="W11" i="23"/>
  <c r="R64" i="4"/>
  <c r="U11" i="23"/>
  <c r="U24" s="1"/>
  <c r="C24"/>
  <c r="N75" i="4"/>
  <c r="C93"/>
  <c r="C24" i="21"/>
  <c r="U11"/>
  <c r="U24" s="1"/>
  <c r="Q54" l="1"/>
  <c r="Q46"/>
  <c r="Z29"/>
  <c r="V45"/>
  <c r="Z45" s="1"/>
  <c r="Q46" i="23"/>
  <c r="Q55"/>
  <c r="F46"/>
  <c r="F55"/>
  <c r="R46"/>
  <c r="R55"/>
  <c r="R46" i="21"/>
  <c r="R54"/>
  <c r="E46"/>
  <c r="E54"/>
  <c r="F46"/>
  <c r="F54"/>
  <c r="E46" i="23"/>
  <c r="E55"/>
  <c r="U45"/>
  <c r="Y45" s="1"/>
  <c r="D45" i="21"/>
  <c r="D45" i="23"/>
  <c r="V45" s="1"/>
  <c r="Z45" s="1"/>
  <c r="U45" i="21"/>
  <c r="Y45" s="1"/>
  <c r="D11"/>
  <c r="N64" i="5"/>
  <c r="C75"/>
  <c r="D11" i="23"/>
  <c r="C64" i="6"/>
  <c r="W24" i="23"/>
  <c r="Y24" s="1"/>
  <c r="AA25" s="1"/>
  <c r="W24" i="21"/>
  <c r="Y24" s="1"/>
  <c r="AA25" s="1"/>
  <c r="C55" i="23"/>
  <c r="C56" s="1"/>
  <c r="C46"/>
  <c r="C47" s="1"/>
  <c r="U46" i="21"/>
  <c r="U46" i="23"/>
  <c r="U55"/>
  <c r="C54" i="21"/>
  <c r="C55" s="1"/>
  <c r="C46"/>
  <c r="C47" s="1"/>
  <c r="Y11" i="23"/>
  <c r="N93" i="4"/>
  <c r="C94"/>
  <c r="Y11" i="21"/>
  <c r="U54" l="1"/>
  <c r="V11" i="23"/>
  <c r="V24" s="1"/>
  <c r="D24"/>
  <c r="N64" i="6"/>
  <c r="C75"/>
  <c r="N75" i="5"/>
  <c r="C93"/>
  <c r="V11" i="21"/>
  <c r="V24" s="1"/>
  <c r="D24"/>
  <c r="W11" i="5"/>
  <c r="R64"/>
  <c r="X11" i="23"/>
  <c r="Z11" s="1"/>
  <c r="X11" i="21"/>
  <c r="O64" i="6"/>
  <c r="C95" i="4"/>
  <c r="D94"/>
  <c r="C48" i="23"/>
  <c r="E47"/>
  <c r="C48" i="21"/>
  <c r="E47"/>
  <c r="C56"/>
  <c r="E55"/>
  <c r="C57" i="23"/>
  <c r="E56"/>
  <c r="P64" i="6" l="1"/>
  <c r="Z11" i="21"/>
  <c r="V46"/>
  <c r="V54"/>
  <c r="X24" i="23"/>
  <c r="Z24" s="1"/>
  <c r="AB25" s="1"/>
  <c r="X24" i="21"/>
  <c r="Z24" s="1"/>
  <c r="AB25" s="1"/>
  <c r="O75" i="6"/>
  <c r="V46" i="23"/>
  <c r="V55"/>
  <c r="D46" i="21"/>
  <c r="D47" s="1"/>
  <c r="D54"/>
  <c r="D55" s="1"/>
  <c r="N93" i="5"/>
  <c r="C94"/>
  <c r="N75" i="6"/>
  <c r="C93"/>
  <c r="D46" i="23"/>
  <c r="D47" s="1"/>
  <c r="D55"/>
  <c r="D56" s="1"/>
  <c r="E48" i="21"/>
  <c r="G47"/>
  <c r="G56" i="23"/>
  <c r="E57"/>
  <c r="G55" i="21"/>
  <c r="E56"/>
  <c r="D95" i="4"/>
  <c r="E94"/>
  <c r="E48" i="23"/>
  <c r="G47"/>
  <c r="N45" i="6"/>
  <c r="P45" s="1"/>
  <c r="F56" i="23" l="1"/>
  <c r="D57"/>
  <c r="N93" i="6"/>
  <c r="C94"/>
  <c r="C95" i="5"/>
  <c r="D94"/>
  <c r="D56" i="21"/>
  <c r="F55"/>
  <c r="P75" i="6"/>
  <c r="D48" i="23"/>
  <c r="F47"/>
  <c r="F47" i="21"/>
  <c r="D48"/>
  <c r="I55"/>
  <c r="G56"/>
  <c r="G57" i="23"/>
  <c r="I56"/>
  <c r="I47"/>
  <c r="G48"/>
  <c r="E95" i="4"/>
  <c r="F94"/>
  <c r="I47" i="21"/>
  <c r="G48"/>
  <c r="H55" l="1"/>
  <c r="F56"/>
  <c r="E94" i="5"/>
  <c r="D95"/>
  <c r="D94" i="6"/>
  <c r="C95"/>
  <c r="H47" i="23"/>
  <c r="F48"/>
  <c r="F57"/>
  <c r="H56"/>
  <c r="H47" i="21"/>
  <c r="F48"/>
  <c r="I48" i="23"/>
  <c r="K47"/>
  <c r="K47" i="21"/>
  <c r="I48"/>
  <c r="F95" i="4"/>
  <c r="G94"/>
  <c r="K56" i="23"/>
  <c r="I57"/>
  <c r="K55" i="21"/>
  <c r="I56"/>
  <c r="J56" i="23" l="1"/>
  <c r="H57"/>
  <c r="J47" i="21"/>
  <c r="H48"/>
  <c r="J47" i="23"/>
  <c r="H48"/>
  <c r="E94" i="6"/>
  <c r="D95"/>
  <c r="F94" i="5"/>
  <c r="E95"/>
  <c r="H56" i="21"/>
  <c r="J55"/>
  <c r="M47"/>
  <c r="K48"/>
  <c r="H94" i="4"/>
  <c r="G95"/>
  <c r="M47" i="23"/>
  <c r="K48"/>
  <c r="M55" i="21"/>
  <c r="K56"/>
  <c r="M56" i="23"/>
  <c r="K57"/>
  <c r="J56" i="21" l="1"/>
  <c r="L55"/>
  <c r="G94" i="5"/>
  <c r="F95"/>
  <c r="F94" i="6"/>
  <c r="E95"/>
  <c r="L47" i="23"/>
  <c r="J48"/>
  <c r="L47" i="21"/>
  <c r="J48"/>
  <c r="L56" i="23"/>
  <c r="J57"/>
  <c r="O55" i="21"/>
  <c r="M56"/>
  <c r="O47" i="23"/>
  <c r="M48"/>
  <c r="H95" i="4"/>
  <c r="I94"/>
  <c r="O56" i="23"/>
  <c r="M57"/>
  <c r="O47" i="21"/>
  <c r="M48"/>
  <c r="L56" l="1"/>
  <c r="N55"/>
  <c r="L57" i="23"/>
  <c r="N56"/>
  <c r="L48" i="21"/>
  <c r="N47"/>
  <c r="N47" i="23"/>
  <c r="L48"/>
  <c r="F95" i="6"/>
  <c r="G94"/>
  <c r="H94" i="5"/>
  <c r="G95"/>
  <c r="Q47" i="21"/>
  <c r="O48"/>
  <c r="J94" i="4"/>
  <c r="I95"/>
  <c r="O48" i="23"/>
  <c r="Q47"/>
  <c r="Q56"/>
  <c r="O57"/>
  <c r="Q55" i="21"/>
  <c r="O56"/>
  <c r="H94" i="6" l="1"/>
  <c r="G95"/>
  <c r="N48" i="21"/>
  <c r="P47"/>
  <c r="N56"/>
  <c r="P55"/>
  <c r="H95" i="5"/>
  <c r="I94"/>
  <c r="P47" i="23"/>
  <c r="N48"/>
  <c r="P56"/>
  <c r="N57"/>
  <c r="J95" i="4"/>
  <c r="K94"/>
  <c r="Q48" i="23"/>
  <c r="S47"/>
  <c r="S55" i="21"/>
  <c r="Q56"/>
  <c r="Q48"/>
  <c r="S47"/>
  <c r="S56" i="23"/>
  <c r="Q57"/>
  <c r="J94" i="5" l="1"/>
  <c r="I95"/>
  <c r="R55" i="21"/>
  <c r="P56"/>
  <c r="P57" i="23"/>
  <c r="R56"/>
  <c r="R47"/>
  <c r="P48"/>
  <c r="I94" i="6"/>
  <c r="H95"/>
  <c r="R47" i="21"/>
  <c r="P48"/>
  <c r="S56"/>
  <c r="U55"/>
  <c r="U56" s="1"/>
  <c r="U47" i="23"/>
  <c r="U48" s="1"/>
  <c r="S48"/>
  <c r="K95" i="4"/>
  <c r="L94"/>
  <c r="U47" i="21"/>
  <c r="U48" s="1"/>
  <c r="S48"/>
  <c r="U56" i="23"/>
  <c r="U57" s="1"/>
  <c r="S57"/>
  <c r="R57" l="1"/>
  <c r="T56"/>
  <c r="T47" i="21"/>
  <c r="R48"/>
  <c r="I95" i="6"/>
  <c r="J94"/>
  <c r="T47" i="23"/>
  <c r="R48"/>
  <c r="T55" i="21"/>
  <c r="R56"/>
  <c r="K94" i="5"/>
  <c r="J95"/>
  <c r="M94" i="4"/>
  <c r="M95" s="1"/>
  <c r="L95"/>
  <c r="T57" i="23" l="1"/>
  <c r="V56"/>
  <c r="V57" s="1"/>
  <c r="L94" i="5"/>
  <c r="K95"/>
  <c r="T56" i="21"/>
  <c r="V55"/>
  <c r="V56" s="1"/>
  <c r="V47" i="23"/>
  <c r="V48" s="1"/>
  <c r="T48"/>
  <c r="V47" i="21"/>
  <c r="V48" s="1"/>
  <c r="T48"/>
  <c r="K94" i="6"/>
  <c r="J95"/>
  <c r="K95" l="1"/>
  <c r="L94"/>
  <c r="L95" i="5"/>
  <c r="M94"/>
  <c r="M95" s="1"/>
  <c r="M94" i="6" l="1"/>
  <c r="M95" s="1"/>
  <c r="L95"/>
</calcChain>
</file>

<file path=xl/sharedStrings.xml><?xml version="1.0" encoding="utf-8"?>
<sst xmlns="http://schemas.openxmlformats.org/spreadsheetml/2006/main" count="2544" uniqueCount="581">
  <si>
    <t>Total (I)</t>
  </si>
  <si>
    <t>Total (II)</t>
  </si>
  <si>
    <t>Total (III)</t>
  </si>
  <si>
    <t>2500(p)-2502(p)</t>
  </si>
  <si>
    <t>2502(p)</t>
  </si>
  <si>
    <t>Cuentas de Referencia</t>
  </si>
  <si>
    <t>1500(p)-1502(p)</t>
  </si>
  <si>
    <t>1502(p)</t>
  </si>
  <si>
    <t>Depósitos de empresas del sistema financiero y OFI (15)</t>
  </si>
  <si>
    <t>ANEXO N° 16-A - MONEDA NACIONAL</t>
  </si>
  <si>
    <t>CUADRO DE LIQUIDEZ POR PLAZOS DE VENCIMIENTO</t>
  </si>
  <si>
    <t>I. DISTRIBUCIÓN SEGÚN VENCIMIENTO RESIDUAL</t>
  </si>
  <si>
    <t>1M</t>
  </si>
  <si>
    <t>2M</t>
  </si>
  <si>
    <t>3M</t>
  </si>
  <si>
    <t>4M</t>
  </si>
  <si>
    <t>5M</t>
  </si>
  <si>
    <t>6M</t>
  </si>
  <si>
    <t>7-9 M</t>
  </si>
  <si>
    <t>10-12 M</t>
  </si>
  <si>
    <t>Total</t>
  </si>
  <si>
    <t>ACTIVOS</t>
  </si>
  <si>
    <t>1110(p)-1117(p)</t>
  </si>
  <si>
    <t>Disponible (1)</t>
  </si>
  <si>
    <t>Fondos interbancarios activos (2)</t>
  </si>
  <si>
    <t>Inversiones disponibles para la venta (4)</t>
  </si>
  <si>
    <t>Inversiones a vencimiento (5)</t>
  </si>
  <si>
    <t>1411.05(p)+1411.06(p)+1411.07(p)+1411.08(p)+1411.09(p)+1411.10(p)+1411.11(p)+1411.12(p)+1413.07(p)+1413.08(p)+1413.10(p)+1413.11(p)+1413.12(p)+1414.05(p)+1414.06(p)+1414.07(p)+1414.08(p)+1414.09(p)+1414.10(p)+1414.11(p)+1414.12(p)+1418(p)</t>
  </si>
  <si>
    <t>Créditos - deudores no minoristas (6)</t>
  </si>
  <si>
    <t>1411.02(p)+1411.13(p)+1413.02(p)+1413.13(p)+1414.02(p)+1414.13(p)+1418(p)</t>
  </si>
  <si>
    <t>Créditos - pequeñas empresas y micro-empresas (6)</t>
  </si>
  <si>
    <t>1411.04(p)+1414.04(p)+1418(p)</t>
  </si>
  <si>
    <t>Créditos - hipotecarios para vivienda (6)</t>
  </si>
  <si>
    <t>1411.03(p)+1414.03(p)+1418(p)</t>
  </si>
  <si>
    <t>Créditos - consumo (6)</t>
  </si>
  <si>
    <t>1512(p)</t>
  </si>
  <si>
    <t>Cuentas por cobrar - derivados para negociación (7)</t>
  </si>
  <si>
    <t xml:space="preserve">1510(p)-1512(p) </t>
  </si>
  <si>
    <t>Cuentas por cobrar - otros (7)</t>
  </si>
  <si>
    <t>Posiciones activas en derivados - Delivery (8)</t>
  </si>
  <si>
    <t>PASIVOS</t>
  </si>
  <si>
    <t>2113 (p)-2113.01.01(p)</t>
  </si>
  <si>
    <t>Obligaciones por cuentas a plazo - Fondeo estable (12)</t>
  </si>
  <si>
    <t>Obligaciones por cuentas a plazo - Fondeo menos estable (12)</t>
  </si>
  <si>
    <t>Opbligaciones por cuentas a plazo - Fondeo grandes acreedores (12)</t>
  </si>
  <si>
    <t>Fondos interbancarios pasivos (2)</t>
  </si>
  <si>
    <t>2310(p)</t>
  </si>
  <si>
    <t>2810 (p)+2113.01.01+2118.03(p)</t>
  </si>
  <si>
    <t>Valores, títulos y obligaciones en circulación (17)</t>
  </si>
  <si>
    <t>2512(p)</t>
  </si>
  <si>
    <t>Cuentas por pagar - derivados para negociación (18)</t>
  </si>
  <si>
    <t xml:space="preserve">2510(p)-2512(p) </t>
  </si>
  <si>
    <t>Cuentas por pagar - otros (18)</t>
  </si>
  <si>
    <t>Posiciones pasivas en derivados - Delivery (8)</t>
  </si>
  <si>
    <t>II. DISTRIBUCIÓN SEGÚN SUPUESTOS</t>
  </si>
  <si>
    <t>Inversiones a valor razonable con cambios en resultados (3)</t>
  </si>
  <si>
    <t>Créditos - deudores no minoristas(6)</t>
  </si>
  <si>
    <t>Contingentes (9)</t>
  </si>
  <si>
    <t>2111 (p)</t>
  </si>
  <si>
    <t>Obligaciones a la vista - Fondeo estable (10)</t>
  </si>
  <si>
    <t>Obligaciones a la vista - Fondeo menos estable (10)</t>
  </si>
  <si>
    <t>Obligaciones a la vista - Fondeo grandes acreedores (10)</t>
  </si>
  <si>
    <t>2112 (p)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</si>
  <si>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</si>
  <si>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</si>
  <si>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</si>
  <si>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 xml:space="preserve">2113 (p) </t>
  </si>
  <si>
    <t>2113 (p)</t>
  </si>
  <si>
    <t>Obligaciones por cuentas a plazo - Fondeo grandes acreedores (12)</t>
  </si>
  <si>
    <t>2510(p)-2512(p)</t>
  </si>
  <si>
    <t>Contingentes (19)</t>
  </si>
  <si>
    <t>Total (IV)</t>
  </si>
  <si>
    <t>Brecha total (I) - (II) + (III) - (IV)</t>
  </si>
  <si>
    <t>Brecha acumulada (V)</t>
  </si>
  <si>
    <t>Brecha acumulada (V) / Patrimonio efectivo (20)</t>
  </si>
  <si>
    <t>2520(p)-2522(p)</t>
  </si>
  <si>
    <t>2522(p)</t>
  </si>
  <si>
    <t>2320(p)</t>
  </si>
  <si>
    <t>2123 (p)</t>
  </si>
  <si>
    <t>2122 (p)</t>
  </si>
  <si>
    <t>2121 (p)</t>
  </si>
  <si>
    <t xml:space="preserve">1520(p)-1522(p)  </t>
  </si>
  <si>
    <t>1522(p)</t>
  </si>
  <si>
    <t>1421.03(p)+1424.03(p)+1428(p)</t>
  </si>
  <si>
    <t>1421.04(p)+1424.04(p)+1428(p)</t>
  </si>
  <si>
    <t>1421.02(p)+1421.13(p)+1423.02(p)+1423.13(p)+1424.02(p)+1424.13(p)+1428(p)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</si>
  <si>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</si>
  <si>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1120(p)-1127(p)</t>
  </si>
  <si>
    <t>2820 (p)+2123.01.01+2128.03(p)</t>
  </si>
  <si>
    <t>2123 (p)-2123.01.01(p)</t>
  </si>
  <si>
    <t>ANEXO N° 16-A - MONEDA EXTRANJERA</t>
  </si>
  <si>
    <t>ANEXO N° 16-A - INDICADORES</t>
  </si>
  <si>
    <t xml:space="preserve">Vencimiento ≤ 30 días </t>
  </si>
  <si>
    <t>Deuda con 10 mayores acreedores / Total acreedores (21)</t>
  </si>
  <si>
    <t>Deuda con 20 mayores acreedores / Total acreedores (21)</t>
  </si>
  <si>
    <t>Deuda con 10 principales depositantes / Total depósitos</t>
  </si>
  <si>
    <t>Deuda con 20 principales depositantes / Total depósitos (22)</t>
  </si>
  <si>
    <t>Deuda con 10 principales depositantes / Promedio mensual de activos líquidos</t>
  </si>
  <si>
    <t>Depósitos del sector público / Total depósitos</t>
  </si>
  <si>
    <t>Adeudados del exterior con vencimiento ≤ 360 días / Total pasivos</t>
  </si>
  <si>
    <t>Depósitos cubiertos por el FSD / Total depósitos (23)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</si>
  <si>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</si>
  <si>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</si>
  <si>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</si>
  <si>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</si>
  <si>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ANEXO N° 16-A - TOTAL</t>
  </si>
  <si>
    <t>1100(p)-1107(p)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</si>
  <si>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</si>
  <si>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</si>
  <si>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</si>
  <si>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</si>
  <si>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2103 (p)-2103.01.01(p)</t>
  </si>
  <si>
    <t>2300(p)</t>
  </si>
  <si>
    <t>2800 (p)+2103.01.01+2108.03(p)</t>
  </si>
  <si>
    <t>1101(p)-1107(p)</t>
  </si>
  <si>
    <t>2101 (p)</t>
  </si>
  <si>
    <t>2102 (p)</t>
  </si>
  <si>
    <t>2103 (p)</t>
  </si>
  <si>
    <t>Cuentas por pagar - otros (19)</t>
  </si>
  <si>
    <t>Adeudos y obligaciones financieras del país (16)</t>
  </si>
  <si>
    <t>Adeudos y obligaciones financieras del exterior (16)</t>
  </si>
  <si>
    <t>2404+2405+2407+2408(p)+2409(p)+2604+2605+2607+2608(p)+2609(p)</t>
  </si>
  <si>
    <t>2401+2402+2403+2406+2408(p)+2409(p)+2602+2603+2606+2608(p)+2609(p)-2401.03(p)-2401.04(p)-2408.01(p)</t>
  </si>
  <si>
    <t>2411+2412+2413+2416+2418(p)+2419(p)+2612+2613+2616+2618(p)+2619(p)-2411.03(p)-2411.04(p)-2418.01(p)</t>
  </si>
  <si>
    <t>2414+2415+2417+2418(p)+2419(p)+2614+2615+2617+2618(p)+2619(p)</t>
  </si>
  <si>
    <t>2421+2422+2423+2426+2428(p)+2429(p)+2622+2623+2626+2628(p)+2629(p)-2421.03(p)-2421.04(p)-2428.01(p)</t>
  </si>
  <si>
    <t>2424+2425+2427+2428(p)+2429(p)+2624+2625+2627+2628(p)+2629(p)</t>
  </si>
  <si>
    <t>2507.03(p)+2507.04(p)+2507.05(p)+2507.06(p)+2106(p)+2107(p)+2108(p)+2508(p)</t>
  </si>
  <si>
    <t>1313(p)+1314(p)+1318.03(p)</t>
  </si>
  <si>
    <t>1315(p)</t>
  </si>
  <si>
    <t>2517.03(p)+2517.04(p)+2517.05(p)+2517.06(p)+2116(p)+2117(p)+2118(p)+2518(p)</t>
  </si>
  <si>
    <t>Otras obligaciones con el público y con instituciones recaudadoras de tributos (14)</t>
  </si>
  <si>
    <t>1311+1312(p)+1318.01</t>
  </si>
  <si>
    <t>1323(p)+1324(p)+1328.03(p)</t>
  </si>
  <si>
    <t>1325(p)</t>
  </si>
  <si>
    <t>2527.03(p)+2527.04(p)+2527.05(p)+2527.06(p)+2126(p)+2127(p)+2128(p)+2528(p)</t>
  </si>
  <si>
    <t>1321+1322(p)+1328.01</t>
  </si>
  <si>
    <t>1303(p)+1304(p)+1308.03(p)</t>
  </si>
  <si>
    <t>1305(p)</t>
  </si>
  <si>
    <t>2507.03(p)+2507.04(p)+2507.05(p)+2507.06(p)+ 2106(p)+2107(p)+2108(p)+2508(p)</t>
  </si>
  <si>
    <t>1301+1302(p)+1308.01</t>
  </si>
  <si>
    <t>Más de 1A a 2A</t>
  </si>
  <si>
    <t>Más de 2A a 5A</t>
  </si>
  <si>
    <t>Más de 5A</t>
  </si>
  <si>
    <t>CREDITOS VIGENTES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</si>
  <si>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</si>
  <si>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</si>
  <si>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</si>
  <si>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</si>
  <si>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>CREDITOS REFINANCIADOS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</si>
  <si>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</si>
  <si>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</si>
  <si>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</si>
  <si>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Hip Refinanciados</t>
  </si>
  <si>
    <t xml:space="preserve"> - Créditos Cons Vigentes</t>
  </si>
  <si>
    <t xml:space="preserve"> - Créditos Cons Refinanciados</t>
  </si>
  <si>
    <t>140102</t>
  </si>
  <si>
    <t>140103</t>
  </si>
  <si>
    <t>140104</t>
  </si>
  <si>
    <t>140109</t>
  </si>
  <si>
    <t>140112</t>
  </si>
  <si>
    <t>140113</t>
  </si>
  <si>
    <t>1404</t>
  </si>
  <si>
    <t>140402</t>
  </si>
  <si>
    <t>140403</t>
  </si>
  <si>
    <t>140404</t>
  </si>
  <si>
    <t>140413</t>
  </si>
  <si>
    <t>140802</t>
  </si>
  <si>
    <r>
      <t>1411.02(p)+1411.13(p)+</t>
    </r>
    <r>
      <rPr>
        <sz val="10"/>
        <color indexed="10"/>
        <rFont val="Arial Narrow"/>
        <family val="2"/>
      </rPr>
      <t>1413.02(p)+1413.13(p</t>
    </r>
    <r>
      <rPr>
        <sz val="10"/>
        <rFont val="Arial Narrow"/>
        <family val="2"/>
      </rPr>
      <t>)+1414.02(p)+1414.13(p)+1418(p)</t>
    </r>
  </si>
  <si>
    <t>140803</t>
  </si>
  <si>
    <t>140804</t>
  </si>
  <si>
    <t>140809</t>
  </si>
  <si>
    <r>
      <rPr>
        <sz val="10"/>
        <color indexed="10"/>
        <rFont val="Arial Narrow"/>
        <family val="2"/>
      </rPr>
      <t>1411.05(p)+1411.06(p)+1411.07(p)+1411.08(p)</t>
    </r>
    <r>
      <rPr>
        <sz val="10"/>
        <rFont val="Arial Narrow"/>
        <family val="2"/>
      </rPr>
      <t>+1411.09(p)</t>
    </r>
    <r>
      <rPr>
        <sz val="10"/>
        <color indexed="10"/>
        <rFont val="Arial Narrow"/>
        <family val="2"/>
      </rPr>
      <t>+</t>
    </r>
    <r>
      <rPr>
        <sz val="10"/>
        <rFont val="Arial Narrow"/>
        <family val="2"/>
      </rPr>
      <t>1411.10(p)+1411.11(p)+1411.12(p)</t>
    </r>
    <r>
      <rPr>
        <sz val="10"/>
        <color indexed="10"/>
        <rFont val="Arial Narrow"/>
        <family val="2"/>
      </rPr>
      <t>+1413.07(p)+1413.08(p)+1413.10(p)+1413.11(p)+1413.12(p)</t>
    </r>
    <r>
      <rPr>
        <sz val="10"/>
        <rFont val="Arial Narrow"/>
        <family val="2"/>
      </rPr>
      <t>+</t>
    </r>
    <r>
      <rPr>
        <sz val="10"/>
        <color indexed="10"/>
        <rFont val="Arial Narrow"/>
        <family val="2"/>
      </rPr>
      <t>1414.05(p)+1414.06(p)+1414.07(p)+1414.08(p)</t>
    </r>
    <r>
      <rPr>
        <sz val="10"/>
        <rFont val="Arial Narrow"/>
        <family val="2"/>
      </rPr>
      <t>+1414.09(p)</t>
    </r>
    <r>
      <rPr>
        <sz val="10"/>
        <color indexed="10"/>
        <rFont val="Arial Narrow"/>
        <family val="2"/>
      </rPr>
      <t>+1414.10(p)</t>
    </r>
    <r>
      <rPr>
        <sz val="10"/>
        <rFont val="Arial Narrow"/>
        <family val="2"/>
      </rPr>
      <t>+1414.11(p)+1414.12(p)+1418(p)</t>
    </r>
  </si>
  <si>
    <t xml:space="preserve"> - Intereses Devengados Microempresas</t>
  </si>
  <si>
    <t xml:space="preserve"> - Intereses Devengados Consumo</t>
  </si>
  <si>
    <t xml:space="preserve"> - Intereses Devengados Hipotecarios</t>
  </si>
  <si>
    <t xml:space="preserve"> - Intereses Devengados Corporativos</t>
  </si>
  <si>
    <t xml:space="preserve"> - Intereses Devengados Sistema Financiero</t>
  </si>
  <si>
    <t xml:space="preserve"> - Intereses Devengados Grandes Empresas</t>
  </si>
  <si>
    <t xml:space="preserve"> - Intereses Devengados Medianas Empresas</t>
  </si>
  <si>
    <t xml:space="preserve"> - Intereses Devengados Pequeñas Empresas</t>
  </si>
  <si>
    <t>Fecha</t>
  </si>
  <si>
    <t>Saldos de Ahorros</t>
  </si>
  <si>
    <t>Variaciones</t>
  </si>
  <si>
    <t>Promedio</t>
  </si>
  <si>
    <t>Desvast</t>
  </si>
  <si>
    <t>AHORROS Y DEPOSITOS EN CTA CTE</t>
  </si>
  <si>
    <t>Volatilidad en %</t>
  </si>
  <si>
    <t>Vol. En S/. (Acumulado)</t>
  </si>
  <si>
    <t>Volatilidad a 1 mes</t>
  </si>
  <si>
    <t>Volatilidad a 2-3 meses</t>
  </si>
  <si>
    <t>Volatilidad a 7-12 meses</t>
  </si>
  <si>
    <t>REPATICION DEL ENCAJE (Cuenta 110201)</t>
  </si>
  <si>
    <r>
      <t xml:space="preserve">Cuentas </t>
    </r>
    <r>
      <rPr>
        <b/>
        <vertAlign val="superscript"/>
        <sz val="8"/>
        <color indexed="63"/>
        <rFont val="Arial"/>
        <family val="2"/>
      </rPr>
      <t>2/</t>
    </r>
  </si>
  <si>
    <t>Denominación</t>
  </si>
  <si>
    <t>Plazos  ffijos</t>
  </si>
  <si>
    <t>Obig. Con el público restringidas</t>
  </si>
  <si>
    <t>Con Vencimiento</t>
  </si>
  <si>
    <t>Oblig. Por cuentas de ahorros</t>
  </si>
  <si>
    <t>C.T.S.</t>
  </si>
  <si>
    <t>Sin Vencimiento</t>
  </si>
  <si>
    <t>Para repartir en Anexo</t>
  </si>
  <si>
    <t>Volatilidad a 2 meses</t>
  </si>
  <si>
    <t>Volatilidad a 3 meses</t>
  </si>
  <si>
    <t>ME</t>
  </si>
  <si>
    <t>MN</t>
  </si>
  <si>
    <t>Trato Supuesto</t>
  </si>
  <si>
    <t>Ahorro en Fondeo</t>
  </si>
  <si>
    <t>Fondeo Estable</t>
  </si>
  <si>
    <t>Fondeo Menos Estable</t>
  </si>
  <si>
    <t>Fondeo</t>
  </si>
  <si>
    <t>Saldo</t>
  </si>
  <si>
    <t>Porcentaje</t>
  </si>
  <si>
    <t>CTS en Fondeo</t>
  </si>
  <si>
    <t>TipoCambio</t>
  </si>
  <si>
    <t>Obligaciones por A la Vista Fondeo grandes acreedores (12)</t>
  </si>
  <si>
    <t>Obligaciones por A la Vista Fondeo menos estable (12)</t>
  </si>
  <si>
    <t>Obligaciones por A la Vista Fondeo estable (12)</t>
  </si>
  <si>
    <t>Obligaciones por Ahorro Fondeo grandes acreedores (12)</t>
  </si>
  <si>
    <t>Obligaciones por Ahorro Fondeo menos estable (12)</t>
  </si>
  <si>
    <t>Obligaciones por Ahorro Fondeo estable (12)</t>
  </si>
  <si>
    <t>De 12M a más</t>
  </si>
  <si>
    <t>10-12M</t>
  </si>
  <si>
    <t>7-9M</t>
  </si>
  <si>
    <t>adelanta 1 banda</t>
  </si>
  <si>
    <t>permanece</t>
  </si>
  <si>
    <t>TOTAL</t>
  </si>
  <si>
    <t>Más de 1A</t>
  </si>
  <si>
    <t>Tramo1</t>
  </si>
  <si>
    <t>Flujo entrante bruto</t>
  </si>
  <si>
    <t>FEB=</t>
  </si>
  <si>
    <t>Flujo entrante ajustado</t>
  </si>
  <si>
    <t>FEA=</t>
  </si>
  <si>
    <t>F E A =         ( FEB (1 - ( CAR + 7% )))</t>
  </si>
  <si>
    <t>Cartera Bruta</t>
  </si>
  <si>
    <t>Cartera en cobranza Judicial</t>
  </si>
  <si>
    <t>Cartera Vencida</t>
  </si>
  <si>
    <t>Cartera Refinnaciada</t>
  </si>
  <si>
    <t>Cartera Reestructurada</t>
  </si>
  <si>
    <t>cuentas</t>
  </si>
  <si>
    <t>Cartera de Alto Riesgo del mes anterior</t>
  </si>
  <si>
    <t>CAR:</t>
  </si>
  <si>
    <t>Balance Mes Anterior</t>
  </si>
  <si>
    <t>Donde:</t>
  </si>
  <si>
    <t xml:space="preserve">CAR = </t>
  </si>
  <si>
    <t>VIENE DEL ANEXO 16A</t>
  </si>
  <si>
    <t>Elaborado por (23)</t>
  </si>
  <si>
    <t>Contador General</t>
  </si>
  <si>
    <t>Gerente de Finanzas (23)</t>
  </si>
  <si>
    <t>Gerente General</t>
  </si>
  <si>
    <t>_________________________________</t>
  </si>
  <si>
    <t>Nueva brecha acumulada (V) / Patrimonio efectivo (21)</t>
  </si>
  <si>
    <t>Nueva brecha acumulada  (V)</t>
  </si>
  <si>
    <t>Brecha total (I) - (II) + (IV)</t>
  </si>
  <si>
    <t>Plan de Contingencia (22)</t>
  </si>
  <si>
    <t>Brecha acumulada (III) / Patrimonio efectivo (21)</t>
  </si>
  <si>
    <t>Brecha acumulada (III)</t>
  </si>
  <si>
    <t>Brecha (I) - (II)</t>
  </si>
  <si>
    <t>Contingentes (20)</t>
  </si>
  <si>
    <r>
      <t>2500-</t>
    </r>
    <r>
      <rPr>
        <sz val="10"/>
        <color indexed="10"/>
        <rFont val="Arial Narrow"/>
        <family val="2"/>
      </rPr>
      <t>2502</t>
    </r>
  </si>
  <si>
    <t>Cuentas por pagar - derivados para negociación (19)</t>
  </si>
  <si>
    <t>Valores, títulos y obligaciones en circulación (18)</t>
  </si>
  <si>
    <t>2800+2103.01.01+2108.03(p)</t>
  </si>
  <si>
    <t>Adeudos y obligaciones financieras del exterior (17)</t>
  </si>
  <si>
    <t>Adeudos y obligaciones financieras del país (17)</t>
  </si>
  <si>
    <t>Depósitos de empresas del sistema financiero y OFI (16)</t>
  </si>
  <si>
    <t>Fondos interbancarios pasivos (15)</t>
  </si>
  <si>
    <t>2507.03(p)+2507.04(p)+2507.05(p)+2507.06(p)+2106+2107+2108+2508(p)</t>
  </si>
  <si>
    <r>
      <t>1500-</t>
    </r>
    <r>
      <rPr>
        <sz val="10"/>
        <color indexed="10"/>
        <rFont val="Arial Narrow"/>
        <family val="2"/>
      </rPr>
      <t>1502</t>
    </r>
  </si>
  <si>
    <t>1401.03+1408.03</t>
  </si>
  <si>
    <t>1401.04+1408.04</t>
  </si>
  <si>
    <t>1401.02+1401.13+1408.02+1408.13</t>
  </si>
  <si>
    <t>1401.05+1401.06+1401.07+1401.08+1401.09+1401.10+1401.11+1401.12+1408.05+1408.06+1408.07+1408.08+1408.09+1408.10+1408.11+1408.12</t>
  </si>
  <si>
    <t>1303+1304(p)+1308.03(p)</t>
  </si>
  <si>
    <t>Inversiones a valor razonable con cambios en resultados (4)</t>
  </si>
  <si>
    <t>Fondos interbancarios activos (3)</t>
  </si>
  <si>
    <t>Disponible (2)</t>
  </si>
  <si>
    <t>1100-1107(p)</t>
  </si>
  <si>
    <t xml:space="preserve">ACTIVOS </t>
  </si>
  <si>
    <t>DISTRIBUCIÓN TOTAL</t>
  </si>
  <si>
    <t>SIMULACIÓN DE ESCENARIOS DE ESTRÉS Y PLAN DE CONTINGENCIA (1)</t>
  </si>
  <si>
    <t>ANEXO N° 16-B</t>
  </si>
  <si>
    <t>Pat. Efectivo (mes ant)</t>
  </si>
  <si>
    <t>P.E (S/.)</t>
  </si>
  <si>
    <t>TC</t>
  </si>
  <si>
    <t>P.E (US$.)</t>
  </si>
  <si>
    <t>DIFERENCIA</t>
  </si>
  <si>
    <t>BALANCE TOTAL</t>
  </si>
  <si>
    <t>N/A</t>
  </si>
  <si>
    <t>VER EN SUPUESTOS</t>
  </si>
  <si>
    <t>CON VCTO</t>
  </si>
  <si>
    <t>SIN VCTO</t>
  </si>
  <si>
    <t>DIFERENCIA CON VCTO</t>
  </si>
  <si>
    <t>-</t>
  </si>
  <si>
    <t>Este indicador debe ser igual o menor a 1 según SBS.</t>
  </si>
  <si>
    <t>ENCAJE EXIGIBLE TOTAL</t>
  </si>
  <si>
    <t>212303 PLAZOS</t>
  </si>
  <si>
    <t>comprobacion</t>
  </si>
  <si>
    <t>251705</t>
  </si>
  <si>
    <t>252705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</si>
  <si>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</si>
  <si>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</si>
  <si>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</si>
  <si>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Depósitos Inmovilizados</t>
  </si>
  <si>
    <t>Superavit</t>
  </si>
  <si>
    <t>Volatilidad "Más de 1A a 2A"</t>
  </si>
  <si>
    <t xml:space="preserve">Encaje exigible Total Reporte N°1 </t>
  </si>
  <si>
    <t>1113 - Cta: Cte+ Aho</t>
  </si>
  <si>
    <t>111201 BCRP</t>
  </si>
  <si>
    <t>1123 - Cta: Cte+ Aho</t>
  </si>
  <si>
    <t>112201 BCRP</t>
  </si>
  <si>
    <t>en Fondeo</t>
  </si>
  <si>
    <t xml:space="preserve">Obligaciones a la Vista </t>
  </si>
  <si>
    <t>Total S/.</t>
  </si>
  <si>
    <t>mn</t>
  </si>
  <si>
    <t>me</t>
  </si>
  <si>
    <t>t.c.</t>
  </si>
  <si>
    <t xml:space="preserve">Prom Mensual Act Liq del Anexo 15-C </t>
  </si>
  <si>
    <t xml:space="preserve">DEL REPORTE 1 - BCRP </t>
  </si>
  <si>
    <t>Nro de día del mes de análisis</t>
  </si>
  <si>
    <t>Promedio Encaje Exigible</t>
  </si>
  <si>
    <t>Total en S/</t>
  </si>
  <si>
    <t>DEL BALANCE CONSOLIDADO</t>
  </si>
  <si>
    <t>CUENTA 24</t>
  </si>
  <si>
    <t>CUENTA 1</t>
  </si>
  <si>
    <t>Adeudados 10 Acreedores</t>
  </si>
  <si>
    <t>Adeudados 20 Acreedores</t>
  </si>
  <si>
    <t>Validación</t>
  </si>
  <si>
    <t>10 Depositantes</t>
  </si>
  <si>
    <t>20 Depositantes</t>
  </si>
  <si>
    <t>SectorPublico (Subastas)</t>
  </si>
  <si>
    <t>Depósitos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</si>
  <si>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</si>
  <si>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</si>
  <si>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</si>
  <si>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</si>
  <si>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</si>
  <si>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</si>
  <si>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</si>
  <si>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>Activos Liquidos</t>
  </si>
  <si>
    <t>Vencimiento &lt; = 30Dias</t>
  </si>
  <si>
    <t xml:space="preserve">       Adeudados con Vencimiento Residual &lt;= a un (01) año</t>
  </si>
  <si>
    <t>Financiamiento volátil.- Es calculado sumando: Fondeo menos estable (vista, ahorro y PF)</t>
  </si>
  <si>
    <t>+ fondeo grandes acreedores (vista, ahorro y PF) + depósitos del sistema financiero y OFI +</t>
  </si>
  <si>
    <t>adeudados con vencimiento residual menor o igual a un año (cuenta 2400).</t>
  </si>
  <si>
    <t>Activos Totales</t>
  </si>
  <si>
    <t>Pasivos Totales</t>
  </si>
  <si>
    <t>Acreedores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</si>
  <si>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</si>
  <si>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</si>
  <si>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</si>
  <si>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</si>
  <si>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8"/>
        <color indexed="10"/>
        <rFont val="Arial"/>
        <family val="2"/>
      </rPr>
      <t>Gobierno Centra</t>
    </r>
    <r>
      <rPr>
        <sz val="8"/>
        <rFont val="Arial"/>
        <family val="2"/>
      </rPr>
      <t xml:space="preserve">l tendrán un descuento de 10%.(cuenta 130401) y se repartirán de acuerdo a su vencimiento residual. Y • </t>
    </r>
    <r>
      <rPr>
        <sz val="8"/>
        <color indexed="12"/>
        <rFont val="Arial"/>
        <family val="2"/>
      </rPr>
      <t>Otros valores</t>
    </r>
    <r>
      <rPr>
        <sz val="8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</si>
  <si>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</si>
  <si>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</si>
  <si>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</si>
  <si>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</si>
  <si>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</si>
  <si>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</si>
  <si>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1304071901 P COMERCIALES - DSCTO 40%</t>
  </si>
  <si>
    <t>13040507 BONOS CORPORATIVOS CALIF A O DE MENOR RIESGO DSCTO 30%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</si>
  <si>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</si>
  <si>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</si>
  <si>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>Detalle de los 20 Principales Acreedores</t>
  </si>
  <si>
    <t>Detalle de los 20 Principales Depositantes</t>
  </si>
  <si>
    <t xml:space="preserve">SIMULACIÓN DE ESCENARIOS DE ESTRÉS ESPECIFICO Y PLAN DE CONTINGENCIA </t>
  </si>
  <si>
    <t>(Expresado en soles y dólares americanos)</t>
  </si>
  <si>
    <t>1301(p)+1302(p)+1308.01</t>
  </si>
  <si>
    <t>Diferencia: Descto del 10%</t>
  </si>
  <si>
    <t>1500-1502-1504.05</t>
  </si>
  <si>
    <t>Diferencia es refinanciados + intereses que no se consideran</t>
  </si>
  <si>
    <t>2401+2402+2403+2406+2408(p)+2409(p)+2602+2603+2606+2608(p)+2609(p)</t>
  </si>
  <si>
    <t>2500(p)-2502-2504.11</t>
  </si>
  <si>
    <t>TRANSFERENCIA DE EXCESO DE LIQUIDEZ DE UNA BANDA A OTRA MN Y ME</t>
  </si>
  <si>
    <t>TRIPLE JUMP - 10.28% LINEA HASTA USD 2 MILLONES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</si>
  <si>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</si>
  <si>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</si>
  <si>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</si>
  <si>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</si>
  <si>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</si>
  <si>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</si>
  <si>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</si>
  <si>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</si>
  <si>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</si>
  <si>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</si>
  <si>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</si>
  <si>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</si>
  <si>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</si>
  <si>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</si>
  <si>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</si>
  <si>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</si>
  <si>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</si>
  <si>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</si>
  <si>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</si>
  <si>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</si>
  <si>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</si>
  <si>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</si>
  <si>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</si>
  <si>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</si>
  <si>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</si>
  <si>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</si>
  <si>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</si>
  <si>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</si>
  <si>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</si>
  <si>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</si>
  <si>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</si>
  <si>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</si>
  <si>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</si>
  <si>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</si>
  <si>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t>2111 Soles</t>
  </si>
  <si>
    <t>2121 Dólares</t>
  </si>
  <si>
    <t>Obligaciones a la Vista</t>
  </si>
  <si>
    <t>Saldo Volátil</t>
  </si>
  <si>
    <t>Fondeo Grandes Acreedores</t>
  </si>
  <si>
    <t>11-1117</t>
  </si>
  <si>
    <t>211303 PF</t>
  </si>
  <si>
    <t>211704+2118</t>
  </si>
  <si>
    <t>2313+2318</t>
  </si>
  <si>
    <t>SUPUESTOS</t>
  </si>
  <si>
    <t>c/vcto</t>
  </si>
  <si>
    <t>251703+251704+251705+251706+2518+211701</t>
  </si>
  <si>
    <t>BALANCE COMP</t>
  </si>
  <si>
    <t>2323+2328</t>
  </si>
  <si>
    <t>con vcto</t>
  </si>
  <si>
    <t>2112 Soles</t>
  </si>
  <si>
    <t>2122 Dólares</t>
  </si>
  <si>
    <t xml:space="preserve">Variaciones </t>
  </si>
  <si>
    <t>211305 Soles</t>
  </si>
  <si>
    <t>212305 Soles</t>
  </si>
  <si>
    <t>211701 Soles</t>
  </si>
  <si>
    <t>212701 Dólares</t>
  </si>
  <si>
    <t>Diferencia: Dscto del 30%</t>
  </si>
  <si>
    <t>Diferencia: Dscto del 10%, 30% y 40%</t>
  </si>
  <si>
    <t>Requerimientos Encontrados hasta la banda de 6 meses</t>
  </si>
  <si>
    <t>Total MN</t>
  </si>
  <si>
    <t>Diferencia: Descto del 30%</t>
  </si>
  <si>
    <t>F E A =         ( FEB (1 - ( CAR + 12% )))</t>
  </si>
  <si>
    <t>(Expresado en Soles)</t>
  </si>
  <si>
    <t>Expresado en soles y dolares americanos</t>
  </si>
  <si>
    <t>(-)1512(p)</t>
  </si>
  <si>
    <t>(-) 151405</t>
  </si>
  <si>
    <t>(-) 151711</t>
  </si>
  <si>
    <t>Con VCTO</t>
  </si>
  <si>
    <t>&gt;12M</t>
  </si>
  <si>
    <t>Vcto esidual</t>
  </si>
  <si>
    <t>(-)2522 (p)</t>
  </si>
  <si>
    <t>(-) 252411</t>
  </si>
  <si>
    <t>No tenemos saldo</t>
  </si>
  <si>
    <t>(-)2512 (p)</t>
  </si>
  <si>
    <t>(-) 251411</t>
  </si>
  <si>
    <t>2411+2412+2413+2416+2418(p)+2419(p)+2612+2613+2616+2618(p)+2619(p)</t>
  </si>
  <si>
    <t>Adeudados del País</t>
  </si>
  <si>
    <t>2418(p) es decir 241802</t>
  </si>
  <si>
    <t>2419(p)</t>
  </si>
  <si>
    <t>2618(p)</t>
  </si>
  <si>
    <t>2619(p)</t>
  </si>
  <si>
    <t>Adeudados del Exterior</t>
  </si>
  <si>
    <t>2418(p)es decir 241807</t>
  </si>
  <si>
    <t>FFMM 13110705</t>
  </si>
  <si>
    <t>Contingentes</t>
  </si>
  <si>
    <t>Cuenta 15</t>
  </si>
  <si>
    <t xml:space="preserve">Dif la cuenta 151405 </t>
  </si>
  <si>
    <t>251704 (p)</t>
  </si>
  <si>
    <t>251706 (p)</t>
  </si>
  <si>
    <t>2116 (p)</t>
  </si>
  <si>
    <t>211704 (p)</t>
  </si>
  <si>
    <t>211701 (p)</t>
  </si>
  <si>
    <t>2118 (p)</t>
  </si>
  <si>
    <t>2518 (p)</t>
  </si>
  <si>
    <t>151711 + 1518071101</t>
  </si>
  <si>
    <t>252704 (p)</t>
  </si>
  <si>
    <t>252706 (p)</t>
  </si>
  <si>
    <t>2126 (p)</t>
  </si>
  <si>
    <t>212704 (p)</t>
  </si>
  <si>
    <t>212701 (p)</t>
  </si>
  <si>
    <t>2128 (p)</t>
  </si>
  <si>
    <t>2528 (p)</t>
  </si>
  <si>
    <t>(-)1522(p)</t>
  </si>
  <si>
    <t>(-) 152405</t>
  </si>
  <si>
    <t>(-) 152711</t>
  </si>
  <si>
    <t>2428(p) es decir 242802</t>
  </si>
  <si>
    <t>2429(p)</t>
  </si>
  <si>
    <t>2628(p)</t>
  </si>
  <si>
    <t>2629(p)</t>
  </si>
  <si>
    <t>2428(p)es decir 242807</t>
  </si>
  <si>
    <t>152711 +  1528071101</t>
  </si>
  <si>
    <t>212704+2128</t>
  </si>
  <si>
    <t>2421+2422+2423+2426+2428(p)+2429(p)+2622+2623+2626+2628(p)+2629(p)</t>
  </si>
  <si>
    <t>FFMM 13210705</t>
  </si>
  <si>
    <t>13040201 CB BCRP - DSCTO 10%</t>
  </si>
  <si>
    <t>CAR =         ( CRees + CRef + Cv +CCj / CB</t>
  </si>
  <si>
    <t>CRees</t>
  </si>
  <si>
    <t>Cref  - 1404</t>
  </si>
  <si>
    <t>CV   - 1405</t>
  </si>
  <si>
    <t>CCJ - 1406</t>
  </si>
  <si>
    <t>CB: 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</si>
  <si>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</si>
  <si>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</si>
  <si>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</si>
  <si>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SOLES - Anexo 16 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</si>
  <si>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</si>
  <si>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</si>
  <si>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</si>
  <si>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</si>
  <si>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</si>
  <si>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</si>
  <si>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</si>
  <si>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</si>
  <si>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</si>
  <si>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</si>
  <si>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</si>
  <si>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DOLARES - Anexo 16 A</t>
  </si>
  <si>
    <t>Anexo 16 B, &gt;= 20%</t>
  </si>
  <si>
    <t>Anexo 16 B, &lt; 20%</t>
  </si>
  <si>
    <t>(Expresado en Dólares Americanos)</t>
  </si>
  <si>
    <t xml:space="preserve"> - Intereses Futuros (según calendario de pagos) Sistema Financiero VIG</t>
  </si>
  <si>
    <t xml:space="preserve"> - Intereses Futuros (según calendario de pagos) Corporativos VIG</t>
  </si>
  <si>
    <t xml:space="preserve"> - Intereses Futuros (según calendario de pagos) Grandes Empresas VIG</t>
  </si>
  <si>
    <t xml:space="preserve"> - Intereses Futuros (según calendario de pagos) Medianas Empresas VIG</t>
  </si>
  <si>
    <t xml:space="preserve"> - Intereses Futuros (según calendario de pagos) Corporativos REF</t>
  </si>
  <si>
    <t xml:space="preserve"> - Intereses Futuros (según calendario de pagos) Grandes Empresas REF</t>
  </si>
  <si>
    <t xml:space="preserve"> - Intereses Futuros (según calendario de pagos) Medianas Empresas REF</t>
  </si>
  <si>
    <t xml:space="preserve"> - Intereses Futuros (según calendario de pagos) Microempresas VIG</t>
  </si>
  <si>
    <t xml:space="preserve"> - Intereses Futuros (según calendario de pagos)  Pequeñas Empresas VIG</t>
  </si>
  <si>
    <t xml:space="preserve"> - Intereses Futuros (según calendario de pagos) Pequeñas Empresas REF</t>
  </si>
  <si>
    <t xml:space="preserve"> - Intereses Futuros (según calendario de pagos) Microempresas REF</t>
  </si>
  <si>
    <t xml:space="preserve"> - Intereses Futuros (según calendario de pagos)  Hipotecarios VIG</t>
  </si>
  <si>
    <t xml:space="preserve"> - Intereses Futuros (según calendario de pagos)  Hipotecarios REF</t>
  </si>
  <si>
    <t xml:space="preserve"> - Intereses Futuros (según calendario de pagos)  Consumo VIG</t>
  </si>
  <si>
    <t xml:space="preserve"> - Intereses Futuros (según calendario de pagos)  Consumo  REF</t>
  </si>
  <si>
    <t>ANEXO 16A Consolidado</t>
  </si>
  <si>
    <t>Diferencia</t>
  </si>
  <si>
    <t xml:space="preserve"> - Intereses Devengados / Intereses Futuros Sistema Financiero</t>
  </si>
  <si>
    <t xml:space="preserve"> - Intereses Devengados / Intereses Futuros Corporativos</t>
  </si>
  <si>
    <t xml:space="preserve"> - Intereses Devengados / Intereses Futuros Grandes Empresas</t>
  </si>
  <si>
    <t xml:space="preserve"> - Intereses Devengados / Intereses Futuros Medianas Empresas</t>
  </si>
  <si>
    <t xml:space="preserve"> - Intereses Devengados / Intereses Futuros Microempresas</t>
  </si>
  <si>
    <t xml:space="preserve"> - Intereses Devengados / Intereses Futuros Pequeñas Empresas</t>
  </si>
  <si>
    <t xml:space="preserve"> - Intereses Devengados / Intereses Futuros Hipotecarios</t>
  </si>
  <si>
    <t xml:space="preserve"> - Intereses Devengados / Intereses Futuros Consumo</t>
  </si>
  <si>
    <t xml:space="preserve"> - Créditos Grandes Empresas y Medianas Empresas</t>
  </si>
  <si>
    <t xml:space="preserve"> - Créditos Pequeñas Empresas y Microempresas</t>
  </si>
  <si>
    <t xml:space="preserve"> - Intereses Futuros (Pequeñas Empresas y Microempresas)</t>
  </si>
  <si>
    <t>140413 + 140402</t>
  </si>
  <si>
    <t xml:space="preserve"> - Intereses Futuros (Corporativos, Grandes Empresas y Medianas Empresas)</t>
  </si>
  <si>
    <t>140411+140412</t>
  </si>
  <si>
    <t>140413+140402</t>
  </si>
  <si>
    <t>Rendimiento en Intereses Devengados y Futuros</t>
  </si>
  <si>
    <t>Comprobación</t>
  </si>
  <si>
    <t>Cta 25 Supuestos</t>
  </si>
  <si>
    <t>Cta 25 "Otrs Obli con el Público…"</t>
  </si>
  <si>
    <t>251411 Op Rep BCRP</t>
  </si>
  <si>
    <t>Diferencias</t>
  </si>
  <si>
    <t>25170301 ó 25170302</t>
  </si>
  <si>
    <t>25170301</t>
  </si>
  <si>
    <t>23170302</t>
  </si>
  <si>
    <t>AL 31 DE MARZO DEL  2021</t>
  </si>
  <si>
    <t>28/02/2021</t>
  </si>
  <si>
    <t>CORPORACION FINANCIERA DE DESARROLLO S A</t>
  </si>
  <si>
    <t>CONSORCIO DE SERVICIOS FUNERARIOS SAC</t>
  </si>
  <si>
    <t>FONDO MIVIVIENDA S.A.</t>
  </si>
  <si>
    <t>ORGANISMO SUPERVISOR DE INVERSION PRIVADA EN TELECOMUNICACIONES-OSIPTEL</t>
  </si>
  <si>
    <t>DEETKEN IMPACT INVESTMENTS LP S.A.</t>
  </si>
  <si>
    <t>BRUNNER/RUIZ,MOORE LLENS</t>
  </si>
  <si>
    <t>COOPERATIVA AHORRO Y CREDITO SAN MARTIN DE PORRES LTDA.</t>
  </si>
  <si>
    <t>DESARROLLO COMPARTIDO - DESCOM</t>
  </si>
  <si>
    <t>PALACIOS/BUTRON,CESAR</t>
  </si>
  <si>
    <t>CHIONG/UPIACHIHUAY,KELLY CLAUDINE</t>
  </si>
  <si>
    <t>VARGAS/MAMANI,JUDITH ELIANA</t>
  </si>
  <si>
    <t>BRUNNER/DEL AGUILA,KENETH LLENS</t>
  </si>
  <si>
    <t>PINTO/BICERRA,JOAQUIN</t>
  </si>
  <si>
    <t>AREVALO/GARCIA,ROGER</t>
  </si>
  <si>
    <t>REYES/Y CASTAÑEDA,NICKE ARTURO</t>
  </si>
  <si>
    <t>BICERRA/DE PINTO,MERCEDES DEL PILAR</t>
  </si>
  <si>
    <t>FONDO DE CAJAS MUNICIPALES DE AHORRO Y CREDITO FOCMAC</t>
  </si>
  <si>
    <t>TRIGOSO/MENDOZA,CARMELA</t>
  </si>
  <si>
    <t>IC. ALEJANDRINA S.A.C.</t>
  </si>
  <si>
    <t>GRUPO VICMER SECURITY SAC</t>
  </si>
  <si>
    <t>ARAUJO/GUERRA,LORENA</t>
  </si>
  <si>
    <t>ASAYAG/VASQUEZ,NELDY MAHAYA</t>
  </si>
  <si>
    <t>ZUMAETA/DE AREVALO,NERI</t>
  </si>
</sst>
</file>

<file path=xl/styles.xml><?xml version="1.0" encoding="utf-8"?>
<styleSheet xmlns="http://schemas.openxmlformats.org/spreadsheetml/2006/main">
  <numFmts count="10">
    <numFmt numFmtId="164" formatCode="_ * #,##0.00_ ;_ * \-#,##0.00_ ;_ * &quot;-&quot;??_ ;_ @_ "/>
    <numFmt numFmtId="165" formatCode="&quot;S/.&quot;\ #,##0.00;&quot;S/.&quot;\ \-#,##0.00"/>
    <numFmt numFmtId="166" formatCode="0.0%"/>
    <numFmt numFmtId="167" formatCode="dd/mm/yyyy;@"/>
    <numFmt numFmtId="168" formatCode="0.000"/>
    <numFmt numFmtId="169" formatCode="#,##0.00_ ;\-#,##0.00\ "/>
    <numFmt numFmtId="170" formatCode="#,##0.000_ ;\-#,##0.000\ "/>
    <numFmt numFmtId="171" formatCode="#,##0.000;\-#,##0.000"/>
    <numFmt numFmtId="172" formatCode="#,##0.0_ ;\-#,##0.0\ "/>
    <numFmt numFmtId="173" formatCode="#,##0.00;\-#,##0.00"/>
  </numFmts>
  <fonts count="1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sz val="10"/>
      <color indexed="10"/>
      <name val="Arial Narrow"/>
      <family val="2"/>
    </font>
    <font>
      <i/>
      <sz val="11"/>
      <name val="Arial Narrow"/>
      <family val="2"/>
    </font>
    <font>
      <b/>
      <sz val="11"/>
      <color indexed="18"/>
      <name val="Arial Narrow"/>
      <family val="2"/>
    </font>
    <font>
      <sz val="11"/>
      <color indexed="18"/>
      <name val="Arial Narrow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name val="Arial Narrow"/>
      <family val="2"/>
    </font>
    <font>
      <b/>
      <sz val="11"/>
      <color indexed="30"/>
      <name val="Calibri"/>
      <family val="2"/>
    </font>
    <font>
      <b/>
      <sz val="11"/>
      <color indexed="12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63"/>
      <name val="Arial"/>
      <family val="2"/>
    </font>
    <font>
      <b/>
      <vertAlign val="superscript"/>
      <sz val="8"/>
      <color indexed="63"/>
      <name val="Arial"/>
      <family val="2"/>
    </font>
    <font>
      <sz val="8"/>
      <color indexed="63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62"/>
      <name val="Arial"/>
      <family val="2"/>
    </font>
    <font>
      <sz val="8"/>
      <color indexed="5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1"/>
      <color indexed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Arial Narrow"/>
      <family val="2"/>
    </font>
    <font>
      <sz val="11"/>
      <color indexed="10"/>
      <name val="Calibri"/>
      <family val="2"/>
    </font>
    <font>
      <sz val="11"/>
      <color indexed="10"/>
      <name val="Arial Narrow"/>
      <family val="2"/>
    </font>
    <font>
      <sz val="11"/>
      <color indexed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7"/>
      <name val="Times New Roman"/>
      <family val="1"/>
    </font>
    <font>
      <sz val="11"/>
      <color indexed="36"/>
      <name val="Arial Narrow"/>
      <family val="2"/>
    </font>
    <font>
      <b/>
      <sz val="11"/>
      <color indexed="10"/>
      <name val="Calibri"/>
      <family val="2"/>
    </font>
    <font>
      <b/>
      <sz val="11"/>
      <color indexed="12"/>
      <name val="Arial Narrow"/>
      <family val="2"/>
    </font>
    <font>
      <sz val="10"/>
      <name val="Courier"/>
    </font>
    <font>
      <sz val="10"/>
      <name val="Calibri"/>
      <family val="2"/>
    </font>
    <font>
      <sz val="8"/>
      <color indexed="12"/>
      <name val="Arial"/>
      <family val="2"/>
    </font>
    <font>
      <sz val="10"/>
      <color indexed="63"/>
      <name val="Arial"/>
      <family val="2"/>
    </font>
    <font>
      <b/>
      <sz val="11"/>
      <color indexed="14"/>
      <name val="Calibri"/>
      <family val="2"/>
    </font>
    <font>
      <sz val="11"/>
      <color indexed="63"/>
      <name val="Arial Narrow"/>
      <family val="2"/>
    </font>
    <font>
      <sz val="11"/>
      <color indexed="62"/>
      <name val="Arial Narrow"/>
      <family val="2"/>
    </font>
    <font>
      <sz val="11"/>
      <name val="Calibri"/>
      <family val="2"/>
    </font>
    <font>
      <b/>
      <sz val="10"/>
      <color indexed="6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62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3"/>
      <name val="Arial Narrow"/>
      <family val="2"/>
    </font>
    <font>
      <sz val="10"/>
      <color theme="3"/>
      <name val="Arial"/>
      <family val="2"/>
    </font>
    <font>
      <sz val="11"/>
      <color rgb="FF0070C0"/>
      <name val="Calibri"/>
      <family val="2"/>
      <scheme val="minor"/>
    </font>
    <font>
      <sz val="11"/>
      <color rgb="FF0F02BE"/>
      <name val="Arial Narrow"/>
      <family val="2"/>
    </font>
    <font>
      <sz val="11"/>
      <color rgb="FFFF0000"/>
      <name val="Arial Narrow"/>
      <family val="2"/>
    </font>
    <font>
      <sz val="11"/>
      <color theme="3" tint="0.39997558519241921"/>
      <name val="Arial Narrow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FF"/>
      <name val="Arial Narrow"/>
      <family val="2"/>
    </font>
    <font>
      <b/>
      <sz val="11"/>
      <color rgb="FFFF0000"/>
      <name val="Calibri"/>
      <family val="2"/>
    </font>
    <font>
      <b/>
      <sz val="10"/>
      <color rgb="FF002060"/>
      <name val="Arial"/>
      <family val="2"/>
    </font>
    <font>
      <sz val="10"/>
      <color theme="0" tint="-0.499984740745262"/>
      <name val="Calibri"/>
      <family val="2"/>
    </font>
    <font>
      <sz val="10"/>
      <color rgb="FF0000FF"/>
      <name val="Arial"/>
      <family val="2"/>
    </font>
    <font>
      <sz val="10"/>
      <color rgb="FF002060"/>
      <name val="Arial"/>
      <family val="2"/>
    </font>
    <font>
      <sz val="10"/>
      <color rgb="FFFF0000"/>
      <name val="Arial Narrow"/>
      <family val="2"/>
    </font>
    <font>
      <sz val="11"/>
      <color rgb="FF7030A0"/>
      <name val="Arial Narrow"/>
      <family val="2"/>
    </font>
    <font>
      <b/>
      <sz val="11"/>
      <color rgb="FF7030A0"/>
      <name val="Arial Narrow"/>
      <family val="2"/>
    </font>
    <font>
      <sz val="11"/>
      <color theme="2"/>
      <name val="Arial Narrow"/>
      <family val="2"/>
    </font>
    <font>
      <sz val="10"/>
      <color theme="2"/>
      <name val="Arial Narrow"/>
      <family val="2"/>
    </font>
    <font>
      <b/>
      <sz val="11"/>
      <name val="Calibri"/>
      <family val="2"/>
      <scheme val="minor"/>
    </font>
    <font>
      <sz val="10"/>
      <color rgb="FFC00000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0033CC"/>
      <name val="Arial Narrow"/>
      <family val="2"/>
    </font>
    <font>
      <b/>
      <sz val="11"/>
      <color rgb="FF3333CC"/>
      <name val="Arial Narrow"/>
      <family val="2"/>
    </font>
    <font>
      <b/>
      <sz val="11"/>
      <color rgb="FFC00000"/>
      <name val="Arial Narrow"/>
      <family val="2"/>
    </font>
    <font>
      <sz val="11"/>
      <color rgb="FF3333CC"/>
      <name val="Arial Narrow"/>
      <family val="2"/>
    </font>
    <font>
      <sz val="11"/>
      <color rgb="FFC00000"/>
      <name val="Arial Narrow"/>
      <family val="2"/>
    </font>
    <font>
      <sz val="10.5"/>
      <name val="Arial Narrow"/>
      <family val="2"/>
    </font>
    <font>
      <b/>
      <sz val="10"/>
      <color rgb="FF7030A0"/>
      <name val="Arial Narrow"/>
      <family val="2"/>
    </font>
    <font>
      <sz val="10"/>
      <color indexed="62"/>
      <name val="Arial Narrow"/>
      <family val="2"/>
    </font>
    <font>
      <b/>
      <sz val="9"/>
      <color rgb="FFC00000"/>
      <name val="Arial"/>
      <family val="2"/>
    </font>
    <font>
      <sz val="9"/>
      <color rgb="FFC00000"/>
      <name val="Arial"/>
      <family val="2"/>
    </font>
    <font>
      <sz val="10"/>
      <color rgb="FF0070C0"/>
      <name val="Arial Narrow"/>
      <family val="2"/>
    </font>
    <font>
      <sz val="10"/>
      <color rgb="FF0070C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">
    <xf numFmtId="0" fontId="0" fillId="0" borderId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30" fillId="0" borderId="0"/>
    <xf numFmtId="0" fontId="30" fillId="0" borderId="0"/>
    <xf numFmtId="0" fontId="55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80">
    <xf numFmtId="0" fontId="0" fillId="0" borderId="0" xfId="0"/>
    <xf numFmtId="0" fontId="70" fillId="0" borderId="0" xfId="7" applyFont="1" applyAlignment="1">
      <alignment horizontal="left"/>
    </xf>
    <xf numFmtId="0" fontId="6" fillId="0" borderId="0" xfId="7" applyFont="1" applyAlignment="1">
      <alignment horizontal="centerContinuous"/>
    </xf>
    <xf numFmtId="0" fontId="71" fillId="0" borderId="0" xfId="7" applyFont="1"/>
    <xf numFmtId="0" fontId="71" fillId="0" borderId="0" xfId="7" applyFont="1" applyAlignment="1">
      <alignment horizontal="centerContinuous"/>
    </xf>
    <xf numFmtId="0" fontId="72" fillId="0" borderId="1" xfId="6" applyFont="1" applyBorder="1" applyAlignment="1">
      <alignment horizontal="center"/>
    </xf>
    <xf numFmtId="0" fontId="6" fillId="0" borderId="2" xfId="7" applyFont="1" applyBorder="1" applyAlignment="1">
      <alignment horizontal="center"/>
    </xf>
    <xf numFmtId="0" fontId="71" fillId="0" borderId="2" xfId="7" applyFont="1" applyBorder="1"/>
    <xf numFmtId="0" fontId="5" fillId="0" borderId="1" xfId="7" applyFont="1" applyFill="1" applyBorder="1" applyAlignment="1">
      <alignment horizontal="left" vertical="center" wrapText="1"/>
    </xf>
    <xf numFmtId="0" fontId="71" fillId="0" borderId="2" xfId="7" applyFont="1" applyFill="1" applyBorder="1" applyAlignment="1">
      <alignment vertical="center"/>
    </xf>
    <xf numFmtId="0" fontId="71" fillId="0" borderId="2" xfId="7" applyFont="1" applyFill="1" applyBorder="1"/>
    <xf numFmtId="0" fontId="5" fillId="0" borderId="1" xfId="7" applyFont="1" applyFill="1" applyBorder="1" applyAlignment="1">
      <alignment horizontal="left" vertical="top" wrapText="1"/>
    </xf>
    <xf numFmtId="49" fontId="5" fillId="0" borderId="1" xfId="7" applyNumberFormat="1" applyFont="1" applyFill="1" applyBorder="1" applyAlignment="1">
      <alignment horizontal="left" vertical="top" wrapText="1"/>
    </xf>
    <xf numFmtId="49" fontId="5" fillId="0" borderId="0" xfId="7" applyNumberFormat="1" applyFont="1" applyFill="1" applyAlignment="1">
      <alignment horizontal="left"/>
    </xf>
    <xf numFmtId="0" fontId="8" fillId="0" borderId="2" xfId="7" applyFont="1" applyFill="1" applyBorder="1"/>
    <xf numFmtId="0" fontId="6" fillId="0" borderId="1" xfId="7" applyFont="1" applyFill="1" applyBorder="1" applyAlignment="1">
      <alignment horizontal="center"/>
    </xf>
    <xf numFmtId="0" fontId="71" fillId="0" borderId="1" xfId="7" applyFont="1" applyBorder="1"/>
    <xf numFmtId="0" fontId="5" fillId="0" borderId="1" xfId="7" applyFont="1" applyFill="1" applyBorder="1" applyAlignment="1">
      <alignment horizontal="left" wrapText="1"/>
    </xf>
    <xf numFmtId="0" fontId="6" fillId="0" borderId="2" xfId="7" applyFont="1" applyFill="1" applyBorder="1" applyAlignment="1">
      <alignment horizontal="center"/>
    </xf>
    <xf numFmtId="0" fontId="6" fillId="0" borderId="1" xfId="7" applyFont="1" applyBorder="1" applyAlignment="1">
      <alignment horizontal="center"/>
    </xf>
    <xf numFmtId="0" fontId="73" fillId="0" borderId="1" xfId="7" applyFont="1" applyBorder="1"/>
    <xf numFmtId="0" fontId="74" fillId="0" borderId="0" xfId="7" applyFont="1" applyAlignment="1">
      <alignment horizontal="left"/>
    </xf>
    <xf numFmtId="0" fontId="67" fillId="0" borderId="0" xfId="7" applyFont="1"/>
    <xf numFmtId="0" fontId="67" fillId="0" borderId="0" xfId="7"/>
    <xf numFmtId="0" fontId="67" fillId="0" borderId="0" xfId="6"/>
    <xf numFmtId="0" fontId="67" fillId="0" borderId="0" xfId="6" applyFont="1"/>
    <xf numFmtId="0" fontId="74" fillId="0" borderId="0" xfId="6" applyFont="1" applyAlignment="1">
      <alignment horizontal="left"/>
    </xf>
    <xf numFmtId="0" fontId="71" fillId="0" borderId="1" xfId="6" applyFont="1" applyBorder="1"/>
    <xf numFmtId="0" fontId="73" fillId="0" borderId="1" xfId="6" applyFont="1" applyBorder="1"/>
    <xf numFmtId="0" fontId="70" fillId="0" borderId="0" xfId="6" applyFont="1" applyAlignment="1">
      <alignment horizontal="left"/>
    </xf>
    <xf numFmtId="0" fontId="71" fillId="0" borderId="0" xfId="6" applyFont="1"/>
    <xf numFmtId="0" fontId="6" fillId="0" borderId="1" xfId="6" applyFont="1" applyBorder="1" applyAlignment="1">
      <alignment horizontal="center"/>
    </xf>
    <xf numFmtId="0" fontId="71" fillId="0" borderId="2" xfId="6" applyFont="1" applyBorder="1"/>
    <xf numFmtId="0" fontId="5" fillId="0" borderId="1" xfId="6" applyFont="1" applyFill="1" applyBorder="1" applyAlignment="1">
      <alignment horizontal="left" wrapText="1"/>
    </xf>
    <xf numFmtId="0" fontId="8" fillId="0" borderId="2" xfId="6" applyFont="1" applyBorder="1"/>
    <xf numFmtId="0" fontId="71" fillId="0" borderId="2" xfId="6" applyFont="1" applyFill="1" applyBorder="1"/>
    <xf numFmtId="0" fontId="5" fillId="0" borderId="1" xfId="6" applyFont="1" applyFill="1" applyBorder="1" applyAlignment="1">
      <alignment horizontal="left" vertical="center" wrapText="1"/>
    </xf>
    <xf numFmtId="0" fontId="6" fillId="0" borderId="2" xfId="6" applyFont="1" applyFill="1" applyBorder="1" applyAlignment="1">
      <alignment horizontal="center"/>
    </xf>
    <xf numFmtId="0" fontId="71" fillId="0" borderId="1" xfId="6" applyFont="1" applyFill="1" applyBorder="1"/>
    <xf numFmtId="0" fontId="6" fillId="0" borderId="1" xfId="6" applyFont="1" applyFill="1" applyBorder="1" applyAlignment="1">
      <alignment horizontal="center"/>
    </xf>
    <xf numFmtId="0" fontId="5" fillId="0" borderId="1" xfId="6" applyFont="1" applyFill="1" applyBorder="1" applyAlignment="1">
      <alignment horizontal="left" vertical="top" wrapText="1"/>
    </xf>
    <xf numFmtId="0" fontId="71" fillId="0" borderId="2" xfId="6" applyFont="1" applyFill="1" applyBorder="1" applyAlignment="1">
      <alignment vertical="center"/>
    </xf>
    <xf numFmtId="0" fontId="5" fillId="0" borderId="0" xfId="6" applyFont="1" applyFill="1" applyAlignment="1">
      <alignment horizontal="left"/>
    </xf>
    <xf numFmtId="0" fontId="6" fillId="0" borderId="2" xfId="6" applyFont="1" applyBorder="1" applyAlignment="1">
      <alignment horizontal="center"/>
    </xf>
    <xf numFmtId="0" fontId="6" fillId="7" borderId="1" xfId="6" applyFont="1" applyFill="1" applyBorder="1" applyAlignment="1">
      <alignment horizontal="center"/>
    </xf>
    <xf numFmtId="0" fontId="71" fillId="0" borderId="0" xfId="6" applyFont="1" applyAlignment="1">
      <alignment horizontal="centerContinuous"/>
    </xf>
    <xf numFmtId="0" fontId="6" fillId="0" borderId="0" xfId="6" applyFont="1" applyAlignment="1">
      <alignment horizontal="centerContinuous"/>
    </xf>
    <xf numFmtId="0" fontId="71" fillId="8" borderId="1" xfId="6" applyFont="1" applyFill="1" applyBorder="1"/>
    <xf numFmtId="0" fontId="8" fillId="0" borderId="2" xfId="7" applyFont="1" applyFill="1" applyBorder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11" fillId="9" borderId="2" xfId="7" applyFont="1" applyFill="1" applyBorder="1" applyAlignment="1">
      <alignment vertical="center"/>
    </xf>
    <xf numFmtId="0" fontId="12" fillId="9" borderId="2" xfId="7" applyFont="1" applyFill="1" applyBorder="1" applyAlignment="1">
      <alignment vertical="center"/>
    </xf>
    <xf numFmtId="0" fontId="5" fillId="9" borderId="1" xfId="7" applyFont="1" applyFill="1" applyBorder="1" applyAlignment="1">
      <alignment horizontal="left" vertical="center" wrapText="1"/>
    </xf>
    <xf numFmtId="0" fontId="71" fillId="9" borderId="0" xfId="7" applyFont="1" applyFill="1"/>
    <xf numFmtId="0" fontId="12" fillId="9" borderId="2" xfId="7" quotePrefix="1" applyFont="1" applyFill="1" applyBorder="1" applyAlignment="1">
      <alignment vertical="center"/>
    </xf>
    <xf numFmtId="0" fontId="75" fillId="9" borderId="1" xfId="7" applyFont="1" applyFill="1" applyBorder="1" applyAlignment="1">
      <alignment horizontal="right" vertical="center" wrapText="1"/>
    </xf>
    <xf numFmtId="0" fontId="76" fillId="9" borderId="0" xfId="0" applyFont="1" applyFill="1" applyAlignment="1">
      <alignment horizontal="right"/>
    </xf>
    <xf numFmtId="0" fontId="76" fillId="10" borderId="0" xfId="0" applyFont="1" applyFill="1" applyAlignment="1">
      <alignment horizontal="right"/>
    </xf>
    <xf numFmtId="0" fontId="71" fillId="8" borderId="0" xfId="6" applyFont="1" applyFill="1"/>
    <xf numFmtId="0" fontId="71" fillId="8" borderId="0" xfId="7" applyFont="1" applyFill="1"/>
    <xf numFmtId="0" fontId="67" fillId="8" borderId="0" xfId="6" applyFill="1"/>
    <xf numFmtId="4" fontId="71" fillId="0" borderId="2" xfId="6" applyNumberFormat="1" applyFont="1" applyBorder="1"/>
    <xf numFmtId="4" fontId="71" fillId="0" borderId="2" xfId="6" applyNumberFormat="1" applyFont="1" applyFill="1" applyBorder="1"/>
    <xf numFmtId="4" fontId="71" fillId="9" borderId="2" xfId="7" applyNumberFormat="1" applyFont="1" applyFill="1" applyBorder="1"/>
    <xf numFmtId="4" fontId="71" fillId="0" borderId="1" xfId="6" applyNumberFormat="1" applyFont="1" applyBorder="1"/>
    <xf numFmtId="4" fontId="71" fillId="0" borderId="1" xfId="6" applyNumberFormat="1" applyFont="1" applyFill="1" applyBorder="1"/>
    <xf numFmtId="0" fontId="67" fillId="8" borderId="0" xfId="7" applyFill="1"/>
    <xf numFmtId="4" fontId="71" fillId="0" borderId="2" xfId="7" applyNumberFormat="1" applyFont="1" applyBorder="1"/>
    <xf numFmtId="0" fontId="14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ill="1"/>
    <xf numFmtId="167" fontId="5" fillId="3" borderId="1" xfId="11" applyNumberFormat="1" applyFont="1" applyFill="1" applyBorder="1" applyAlignment="1">
      <alignment horizontal="center"/>
    </xf>
    <xf numFmtId="4" fontId="5" fillId="0" borderId="1" xfId="11" applyNumberFormat="1" applyFont="1" applyBorder="1"/>
    <xf numFmtId="4" fontId="5" fillId="0" borderId="0" xfId="11" applyNumberFormat="1" applyFont="1" applyBorder="1"/>
    <xf numFmtId="4" fontId="15" fillId="0" borderId="0" xfId="11" applyNumberFormat="1" applyFont="1" applyBorder="1"/>
    <xf numFmtId="4" fontId="5" fillId="0" borderId="1" xfId="11" applyNumberFormat="1" applyFont="1" applyFill="1" applyBorder="1"/>
    <xf numFmtId="4" fontId="5" fillId="0" borderId="0" xfId="11" applyNumberFormat="1" applyFont="1" applyFill="1" applyBorder="1"/>
    <xf numFmtId="10" fontId="5" fillId="0" borderId="0" xfId="12" applyNumberFormat="1" applyFont="1" applyBorder="1"/>
    <xf numFmtId="164" fontId="67" fillId="0" borderId="0" xfId="1" applyFont="1"/>
    <xf numFmtId="4" fontId="0" fillId="0" borderId="0" xfId="0" applyNumberFormat="1"/>
    <xf numFmtId="4" fontId="77" fillId="0" borderId="0" xfId="0" applyNumberFormat="1" applyFont="1" applyBorder="1"/>
    <xf numFmtId="0" fontId="0" fillId="3" borderId="0" xfId="0" applyFill="1"/>
    <xf numFmtId="10" fontId="4" fillId="0" borderId="0" xfId="12" applyNumberFormat="1" applyFont="1"/>
    <xf numFmtId="0" fontId="16" fillId="3" borderId="0" xfId="0" applyFont="1" applyFill="1"/>
    <xf numFmtId="0" fontId="17" fillId="3" borderId="0" xfId="0" applyFont="1" applyFill="1"/>
    <xf numFmtId="0" fontId="4" fillId="0" borderId="0" xfId="0" applyFont="1"/>
    <xf numFmtId="2" fontId="0" fillId="0" borderId="0" xfId="0" applyNumberFormat="1"/>
    <xf numFmtId="0" fontId="0" fillId="0" borderId="0" xfId="0" applyFont="1"/>
    <xf numFmtId="0" fontId="14" fillId="0" borderId="0" xfId="0" applyFont="1"/>
    <xf numFmtId="0" fontId="0" fillId="4" borderId="0" xfId="0" applyFill="1"/>
    <xf numFmtId="0" fontId="14" fillId="3" borderId="0" xfId="0" applyFont="1" applyFill="1"/>
    <xf numFmtId="3" fontId="0" fillId="0" borderId="0" xfId="0" applyNumberFormat="1"/>
    <xf numFmtId="4" fontId="14" fillId="0" borderId="0" xfId="0" applyNumberFormat="1" applyFont="1" applyFill="1"/>
    <xf numFmtId="164" fontId="69" fillId="0" borderId="0" xfId="1" applyFont="1"/>
    <xf numFmtId="3" fontId="0" fillId="0" borderId="0" xfId="0" applyNumberFormat="1" applyFont="1"/>
    <xf numFmtId="14" fontId="5" fillId="3" borderId="1" xfId="11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4" fontId="19" fillId="0" borderId="0" xfId="0" applyNumberFormat="1" applyFont="1" applyFill="1" applyBorder="1"/>
    <xf numFmtId="0" fontId="20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 vertical="top" wrapText="1"/>
    </xf>
    <xf numFmtId="4" fontId="23" fillId="0" borderId="0" xfId="0" applyNumberFormat="1" applyFont="1"/>
    <xf numFmtId="0" fontId="20" fillId="0" borderId="3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right" vertical="top" wrapText="1"/>
    </xf>
    <xf numFmtId="166" fontId="0" fillId="0" borderId="1" xfId="12" applyNumberFormat="1" applyFont="1" applyBorder="1"/>
    <xf numFmtId="0" fontId="24" fillId="0" borderId="4" xfId="0" applyFont="1" applyFill="1" applyBorder="1"/>
    <xf numFmtId="0" fontId="25" fillId="0" borderId="5" xfId="0" applyFont="1" applyFill="1" applyBorder="1"/>
    <xf numFmtId="0" fontId="26" fillId="0" borderId="1" xfId="0" applyFont="1" applyBorder="1" applyAlignment="1">
      <alignment horizontal="center"/>
    </xf>
    <xf numFmtId="0" fontId="24" fillId="0" borderId="7" xfId="0" applyFont="1" applyBorder="1"/>
    <xf numFmtId="10" fontId="26" fillId="0" borderId="1" xfId="12" applyNumberFormat="1" applyFont="1" applyBorder="1"/>
    <xf numFmtId="4" fontId="24" fillId="0" borderId="1" xfId="0" applyNumberFormat="1" applyFont="1" applyBorder="1"/>
    <xf numFmtId="0" fontId="27" fillId="0" borderId="7" xfId="0" applyFont="1" applyBorder="1"/>
    <xf numFmtId="10" fontId="26" fillId="0" borderId="4" xfId="12" applyNumberFormat="1" applyFont="1" applyBorder="1"/>
    <xf numFmtId="0" fontId="28" fillId="3" borderId="0" xfId="0" applyFont="1" applyFill="1" applyBorder="1"/>
    <xf numFmtId="10" fontId="26" fillId="0" borderId="0" xfId="12" applyNumberFormat="1" applyFont="1" applyBorder="1"/>
    <xf numFmtId="0" fontId="24" fillId="0" borderId="0" xfId="0" applyFont="1"/>
    <xf numFmtId="4" fontId="29" fillId="0" borderId="1" xfId="0" applyNumberFormat="1" applyFont="1" applyBorder="1"/>
    <xf numFmtId="0" fontId="24" fillId="3" borderId="0" xfId="0" applyFont="1" applyFill="1" applyBorder="1"/>
    <xf numFmtId="0" fontId="24" fillId="0" borderId="0" xfId="0" applyFont="1" applyBorder="1"/>
    <xf numFmtId="4" fontId="24" fillId="0" borderId="0" xfId="0" applyNumberFormat="1" applyFont="1" applyBorder="1"/>
    <xf numFmtId="0" fontId="26" fillId="0" borderId="0" xfId="0" applyFont="1" applyBorder="1"/>
    <xf numFmtId="0" fontId="0" fillId="0" borderId="0" xfId="0" applyBorder="1"/>
    <xf numFmtId="4" fontId="0" fillId="0" borderId="0" xfId="0" applyNumberFormat="1" applyBorder="1"/>
    <xf numFmtId="0" fontId="28" fillId="0" borderId="5" xfId="0" applyFont="1" applyFill="1" applyBorder="1"/>
    <xf numFmtId="0" fontId="24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4" fontId="19" fillId="0" borderId="0" xfId="0" applyNumberFormat="1" applyFont="1" applyFill="1"/>
    <xf numFmtId="4" fontId="18" fillId="0" borderId="0" xfId="0" applyNumberFormat="1" applyFont="1" applyFill="1" applyBorder="1"/>
    <xf numFmtId="4" fontId="23" fillId="0" borderId="0" xfId="0" applyNumberFormat="1" applyFont="1" applyFill="1"/>
    <xf numFmtId="4" fontId="7" fillId="0" borderId="0" xfId="8" applyNumberFormat="1" applyFont="1" applyFill="1" applyBorder="1" applyAlignment="1">
      <alignment horizontal="right" vertical="top"/>
    </xf>
    <xf numFmtId="4" fontId="34" fillId="0" borderId="0" xfId="0" applyNumberFormat="1" applyFont="1" applyFill="1" applyBorder="1"/>
    <xf numFmtId="4" fontId="35" fillId="0" borderId="0" xfId="0" applyNumberFormat="1" applyFont="1" applyFill="1" applyBorder="1" applyAlignment="1">
      <alignment horizontal="left"/>
    </xf>
    <xf numFmtId="4" fontId="71" fillId="9" borderId="2" xfId="6" applyNumberFormat="1" applyFont="1" applyFill="1" applyBorder="1"/>
    <xf numFmtId="4" fontId="71" fillId="8" borderId="2" xfId="6" applyNumberFormat="1" applyFont="1" applyFill="1" applyBorder="1"/>
    <xf numFmtId="0" fontId="7" fillId="0" borderId="0" xfId="0" applyFont="1"/>
    <xf numFmtId="0" fontId="71" fillId="11" borderId="1" xfId="7" applyFont="1" applyFill="1" applyBorder="1"/>
    <xf numFmtId="164" fontId="0" fillId="0" borderId="0" xfId="3" applyFont="1"/>
    <xf numFmtId="164" fontId="74" fillId="8" borderId="0" xfId="3" applyFont="1" applyFill="1"/>
    <xf numFmtId="0" fontId="6" fillId="4" borderId="1" xfId="6" applyFont="1" applyFill="1" applyBorder="1" applyAlignment="1">
      <alignment horizontal="center"/>
    </xf>
    <xf numFmtId="0" fontId="6" fillId="2" borderId="8" xfId="6" applyFont="1" applyFill="1" applyBorder="1" applyAlignment="1">
      <alignment horizontal="center"/>
    </xf>
    <xf numFmtId="0" fontId="6" fillId="2" borderId="8" xfId="7" applyFont="1" applyFill="1" applyBorder="1" applyAlignment="1">
      <alignment horizontal="center"/>
    </xf>
    <xf numFmtId="164" fontId="0" fillId="0" borderId="0" xfId="0" applyNumberFormat="1"/>
    <xf numFmtId="4" fontId="7" fillId="0" borderId="0" xfId="6" applyNumberFormat="1" applyFont="1" applyFill="1" applyBorder="1"/>
    <xf numFmtId="164" fontId="24" fillId="0" borderId="0" xfId="3" applyFont="1"/>
    <xf numFmtId="4" fontId="24" fillId="0" borderId="0" xfId="0" applyNumberFormat="1" applyFont="1"/>
    <xf numFmtId="0" fontId="24" fillId="0" borderId="0" xfId="0" applyFont="1" applyAlignment="1">
      <alignment horizontal="left"/>
    </xf>
    <xf numFmtId="0" fontId="27" fillId="0" borderId="0" xfId="0" applyFont="1" applyFill="1" applyBorder="1" applyAlignment="1">
      <alignment horizontal="center"/>
    </xf>
    <xf numFmtId="4" fontId="43" fillId="0" borderId="0" xfId="0" applyNumberFormat="1" applyFont="1"/>
    <xf numFmtId="0" fontId="27" fillId="0" borderId="0" xfId="0" applyFont="1" applyFill="1" applyBorder="1" applyAlignment="1">
      <alignment horizontal="left" vertical="center"/>
    </xf>
    <xf numFmtId="4" fontId="25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0" fontId="44" fillId="0" borderId="0" xfId="0" applyFont="1"/>
    <xf numFmtId="0" fontId="4" fillId="0" borderId="0" xfId="6" applyFont="1"/>
    <xf numFmtId="0" fontId="42" fillId="0" borderId="0" xfId="6" applyFont="1" applyAlignment="1">
      <alignment horizontal="left"/>
    </xf>
    <xf numFmtId="0" fontId="40" fillId="0" borderId="0" xfId="6" applyFont="1"/>
    <xf numFmtId="0" fontId="39" fillId="0" borderId="0" xfId="6" applyFont="1" applyAlignment="1">
      <alignment horizontal="left"/>
    </xf>
    <xf numFmtId="0" fontId="6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40" fillId="0" borderId="1" xfId="6" applyFont="1" applyBorder="1"/>
    <xf numFmtId="0" fontId="6" fillId="0" borderId="1" xfId="6" applyFont="1" applyBorder="1"/>
    <xf numFmtId="0" fontId="8" fillId="0" borderId="0" xfId="6" applyFont="1"/>
    <xf numFmtId="0" fontId="5" fillId="0" borderId="0" xfId="6" applyFont="1" applyAlignment="1">
      <alignment horizontal="left"/>
    </xf>
    <xf numFmtId="0" fontId="8" fillId="8" borderId="0" xfId="6" applyFont="1" applyFill="1"/>
    <xf numFmtId="0" fontId="8" fillId="8" borderId="9" xfId="6" applyFont="1" applyFill="1" applyBorder="1"/>
    <xf numFmtId="0" fontId="5" fillId="8" borderId="0" xfId="6" applyFont="1" applyFill="1" applyAlignment="1">
      <alignment horizontal="left"/>
    </xf>
    <xf numFmtId="0" fontId="8" fillId="8" borderId="2" xfId="6" applyFont="1" applyFill="1" applyBorder="1"/>
    <xf numFmtId="4" fontId="8" fillId="0" borderId="11" xfId="6" applyNumberFormat="1" applyFont="1" applyBorder="1"/>
    <xf numFmtId="0" fontId="5" fillId="8" borderId="1" xfId="6" applyFont="1" applyFill="1" applyBorder="1" applyAlignment="1">
      <alignment horizontal="left" wrapText="1"/>
    </xf>
    <xf numFmtId="0" fontId="9" fillId="8" borderId="1" xfId="6" applyFont="1" applyFill="1" applyBorder="1" applyAlignment="1">
      <alignment horizontal="left" wrapText="1"/>
    </xf>
    <xf numFmtId="0" fontId="8" fillId="8" borderId="9" xfId="6" applyFont="1" applyFill="1" applyBorder="1" applyAlignment="1">
      <alignment vertical="center"/>
    </xf>
    <xf numFmtId="0" fontId="78" fillId="0" borderId="9" xfId="6" applyFont="1" applyFill="1" applyBorder="1"/>
    <xf numFmtId="0" fontId="9" fillId="0" borderId="1" xfId="6" applyFont="1" applyFill="1" applyBorder="1" applyAlignment="1">
      <alignment horizontal="left" wrapText="1"/>
    </xf>
    <xf numFmtId="4" fontId="8" fillId="0" borderId="2" xfId="6" applyNumberFormat="1" applyFont="1" applyBorder="1"/>
    <xf numFmtId="0" fontId="45" fillId="8" borderId="9" xfId="6" applyFont="1" applyFill="1" applyBorder="1" applyAlignment="1">
      <alignment horizontal="center"/>
    </xf>
    <xf numFmtId="0" fontId="45" fillId="8" borderId="1" xfId="6" applyFont="1" applyFill="1" applyBorder="1" applyAlignment="1">
      <alignment horizontal="center"/>
    </xf>
    <xf numFmtId="0" fontId="40" fillId="8" borderId="2" xfId="6" applyFont="1" applyFill="1" applyBorder="1" applyAlignment="1">
      <alignment vertical="center"/>
    </xf>
    <xf numFmtId="0" fontId="40" fillId="8" borderId="2" xfId="6" applyFont="1" applyFill="1" applyBorder="1"/>
    <xf numFmtId="0" fontId="9" fillId="0" borderId="1" xfId="6" applyFont="1" applyFill="1" applyBorder="1" applyAlignment="1">
      <alignment horizontal="left" vertical="top" wrapText="1"/>
    </xf>
    <xf numFmtId="4" fontId="40" fillId="0" borderId="2" xfId="6" applyNumberFormat="1" applyFont="1" applyBorder="1"/>
    <xf numFmtId="0" fontId="8" fillId="0" borderId="2" xfId="6" applyFont="1" applyFill="1" applyBorder="1"/>
    <xf numFmtId="0" fontId="6" fillId="2" borderId="3" xfId="6" applyFont="1" applyFill="1" applyBorder="1" applyAlignment="1">
      <alignment horizontal="center"/>
    </xf>
    <xf numFmtId="0" fontId="41" fillId="0" borderId="1" xfId="6" applyFont="1" applyBorder="1" applyAlignment="1">
      <alignment horizontal="center"/>
    </xf>
    <xf numFmtId="0" fontId="40" fillId="0" borderId="0" xfId="6" applyFont="1" applyAlignment="1">
      <alignment horizontal="centerContinuous"/>
    </xf>
    <xf numFmtId="0" fontId="40" fillId="0" borderId="0" xfId="7" applyFont="1"/>
    <xf numFmtId="0" fontId="6" fillId="0" borderId="0" xfId="7" applyFont="1" applyAlignment="1">
      <alignment horizontal="center"/>
    </xf>
    <xf numFmtId="0" fontId="47" fillId="12" borderId="0" xfId="7" applyFont="1" applyFill="1" applyAlignment="1">
      <alignment horizontal="right"/>
    </xf>
    <xf numFmtId="0" fontId="6" fillId="0" borderId="0" xfId="7" applyFont="1"/>
    <xf numFmtId="4" fontId="48" fillId="12" borderId="0" xfId="0" applyNumberFormat="1" applyFont="1" applyFill="1" applyAlignment="1">
      <alignment horizontal="right"/>
    </xf>
    <xf numFmtId="168" fontId="48" fillId="12" borderId="1" xfId="0" applyNumberFormat="1" applyFont="1" applyFill="1" applyBorder="1" applyAlignment="1">
      <alignment horizontal="right"/>
    </xf>
    <xf numFmtId="0" fontId="47" fillId="0" borderId="0" xfId="7" applyFont="1"/>
    <xf numFmtId="0" fontId="40" fillId="0" borderId="0" xfId="7" applyFont="1" applyAlignment="1">
      <alignment horizontal="left"/>
    </xf>
    <xf numFmtId="4" fontId="0" fillId="8" borderId="0" xfId="0" applyNumberFormat="1" applyFill="1"/>
    <xf numFmtId="0" fontId="40" fillId="0" borderId="0" xfId="7" applyFont="1" applyAlignment="1">
      <alignment horizontal="right"/>
    </xf>
    <xf numFmtId="4" fontId="0" fillId="0" borderId="0" xfId="0" applyNumberFormat="1" applyFill="1"/>
    <xf numFmtId="0" fontId="40" fillId="0" borderId="0" xfId="7" quotePrefix="1" applyFont="1" applyAlignment="1">
      <alignment horizontal="left"/>
    </xf>
    <xf numFmtId="4" fontId="40" fillId="0" borderId="0" xfId="7" applyNumberFormat="1" applyFont="1" applyFill="1"/>
    <xf numFmtId="0" fontId="8" fillId="0" borderId="0" xfId="7" applyFont="1"/>
    <xf numFmtId="0" fontId="76" fillId="8" borderId="0" xfId="0" applyFont="1" applyFill="1" applyAlignment="1">
      <alignment horizontal="left"/>
    </xf>
    <xf numFmtId="0" fontId="40" fillId="0" borderId="0" xfId="7" applyFont="1" applyFill="1"/>
    <xf numFmtId="0" fontId="40" fillId="0" borderId="0" xfId="7" quotePrefix="1" applyFont="1"/>
    <xf numFmtId="0" fontId="40" fillId="0" borderId="0" xfId="7" applyFont="1" applyFill="1" applyAlignment="1">
      <alignment horizontal="left"/>
    </xf>
    <xf numFmtId="4" fontId="40" fillId="0" borderId="0" xfId="7" applyNumberFormat="1" applyFont="1"/>
    <xf numFmtId="0" fontId="79" fillId="0" borderId="0" xfId="7" applyFont="1" applyAlignment="1">
      <alignment horizontal="left"/>
    </xf>
    <xf numFmtId="0" fontId="8" fillId="0" borderId="0" xfId="7" applyFont="1" applyAlignment="1">
      <alignment horizontal="left"/>
    </xf>
    <xf numFmtId="0" fontId="80" fillId="0" borderId="0" xfId="7" applyFont="1"/>
    <xf numFmtId="0" fontId="46" fillId="0" borderId="0" xfId="7" applyFont="1"/>
    <xf numFmtId="0" fontId="67" fillId="0" borderId="0" xfId="7" applyAlignment="1">
      <alignment horizontal="left"/>
    </xf>
    <xf numFmtId="4" fontId="67" fillId="0" borderId="0" xfId="7" applyNumberFormat="1"/>
    <xf numFmtId="4" fontId="7" fillId="8" borderId="0" xfId="0" applyNumberFormat="1" applyFont="1" applyFill="1"/>
    <xf numFmtId="0" fontId="6" fillId="13" borderId="1" xfId="6" applyFont="1" applyFill="1" applyBorder="1" applyAlignment="1">
      <alignment horizontal="center"/>
    </xf>
    <xf numFmtId="0" fontId="40" fillId="8" borderId="0" xfId="7" applyFont="1" applyFill="1" applyBorder="1"/>
    <xf numFmtId="0" fontId="40" fillId="8" borderId="0" xfId="7" applyFont="1" applyFill="1"/>
    <xf numFmtId="0" fontId="71" fillId="8" borderId="0" xfId="7" applyFont="1" applyFill="1" applyBorder="1"/>
    <xf numFmtId="4" fontId="71" fillId="0" borderId="2" xfId="7" applyNumberFormat="1" applyFont="1" applyFill="1" applyBorder="1"/>
    <xf numFmtId="4" fontId="40" fillId="8" borderId="0" xfId="7" applyNumberFormat="1" applyFont="1" applyFill="1"/>
    <xf numFmtId="0" fontId="8" fillId="8" borderId="0" xfId="7" applyFont="1" applyFill="1" applyAlignment="1">
      <alignment horizontal="left"/>
    </xf>
    <xf numFmtId="4" fontId="71" fillId="0" borderId="1" xfId="7" applyNumberFormat="1" applyFont="1" applyBorder="1"/>
    <xf numFmtId="4" fontId="71" fillId="0" borderId="8" xfId="6" applyNumberFormat="1" applyFont="1" applyBorder="1"/>
    <xf numFmtId="4" fontId="71" fillId="0" borderId="3" xfId="6" applyNumberFormat="1" applyFont="1" applyBorder="1"/>
    <xf numFmtId="0" fontId="71" fillId="8" borderId="2" xfId="6" applyFont="1" applyFill="1" applyBorder="1"/>
    <xf numFmtId="4" fontId="67" fillId="0" borderId="0" xfId="6" applyNumberFormat="1"/>
    <xf numFmtId="4" fontId="8" fillId="0" borderId="1" xfId="6" applyNumberFormat="1" applyFont="1" applyFill="1" applyBorder="1"/>
    <xf numFmtId="4" fontId="8" fillId="0" borderId="1" xfId="7" applyNumberFormat="1" applyFont="1" applyBorder="1"/>
    <xf numFmtId="4" fontId="7" fillId="0" borderId="1" xfId="0" applyNumberFormat="1" applyFont="1" applyBorder="1"/>
    <xf numFmtId="4" fontId="7" fillId="0" borderId="0" xfId="0" applyNumberFormat="1" applyFont="1"/>
    <xf numFmtId="4" fontId="7" fillId="8" borderId="1" xfId="0" applyNumberFormat="1" applyFont="1" applyFill="1" applyBorder="1"/>
    <xf numFmtId="4" fontId="7" fillId="0" borderId="1" xfId="0" applyNumberFormat="1" applyFont="1" applyFill="1" applyBorder="1"/>
    <xf numFmtId="4" fontId="7" fillId="0" borderId="0" xfId="0" applyNumberFormat="1" applyFont="1" applyFill="1" applyBorder="1"/>
    <xf numFmtId="4" fontId="43" fillId="0" borderId="0" xfId="0" applyNumberFormat="1" applyFont="1" applyFill="1"/>
    <xf numFmtId="4" fontId="7" fillId="0" borderId="1" xfId="12" applyNumberFormat="1" applyFont="1" applyBorder="1"/>
    <xf numFmtId="4" fontId="7" fillId="0" borderId="0" xfId="0" applyNumberFormat="1" applyFont="1" applyFill="1"/>
    <xf numFmtId="4" fontId="41" fillId="0" borderId="1" xfId="6" applyNumberFormat="1" applyFont="1" applyFill="1" applyBorder="1" applyAlignment="1">
      <alignment horizontal="center"/>
    </xf>
    <xf numFmtId="4" fontId="7" fillId="5" borderId="1" xfId="0" applyNumberFormat="1" applyFont="1" applyFill="1" applyBorder="1"/>
    <xf numFmtId="0" fontId="67" fillId="0" borderId="0" xfId="7" applyBorder="1"/>
    <xf numFmtId="39" fontId="0" fillId="8" borderId="0" xfId="0" applyNumberFormat="1" applyFill="1"/>
    <xf numFmtId="4" fontId="71" fillId="8" borderId="0" xfId="6" applyNumberFormat="1" applyFont="1" applyFill="1"/>
    <xf numFmtId="4" fontId="8" fillId="0" borderId="1" xfId="6" applyNumberFormat="1" applyFont="1" applyBorder="1"/>
    <xf numFmtId="4" fontId="8" fillId="8" borderId="2" xfId="6" applyNumberFormat="1" applyFont="1" applyFill="1" applyBorder="1"/>
    <xf numFmtId="4" fontId="67" fillId="8" borderId="0" xfId="6" applyNumberFormat="1" applyFill="1"/>
    <xf numFmtId="4" fontId="71" fillId="8" borderId="1" xfId="6" applyNumberFormat="1" applyFont="1" applyFill="1" applyBorder="1"/>
    <xf numFmtId="4" fontId="8" fillId="8" borderId="1" xfId="6" applyNumberFormat="1" applyFont="1" applyFill="1" applyBorder="1"/>
    <xf numFmtId="0" fontId="6" fillId="0" borderId="0" xfId="7" applyFont="1" applyAlignment="1">
      <alignment horizontal="left"/>
    </xf>
    <xf numFmtId="4" fontId="79" fillId="0" borderId="0" xfId="7" applyNumberFormat="1" applyFont="1" applyAlignment="1">
      <alignment horizontal="left"/>
    </xf>
    <xf numFmtId="4" fontId="8" fillId="8" borderId="2" xfId="7" applyNumberFormat="1" applyFont="1" applyFill="1" applyBorder="1"/>
    <xf numFmtId="4" fontId="67" fillId="0" borderId="0" xfId="7" applyNumberFormat="1" applyFont="1"/>
    <xf numFmtId="0" fontId="8" fillId="8" borderId="0" xfId="6" applyFont="1" applyFill="1" applyBorder="1"/>
    <xf numFmtId="0" fontId="8" fillId="8" borderId="0" xfId="6" applyFont="1" applyFill="1" applyBorder="1" applyAlignment="1">
      <alignment horizontal="right"/>
    </xf>
    <xf numFmtId="4" fontId="67" fillId="8" borderId="0" xfId="7" applyNumberFormat="1" applyFill="1" applyBorder="1"/>
    <xf numFmtId="0" fontId="67" fillId="8" borderId="0" xfId="7" applyFill="1" applyBorder="1"/>
    <xf numFmtId="4" fontId="8" fillId="9" borderId="2" xfId="7" applyNumberFormat="1" applyFont="1" applyFill="1" applyBorder="1"/>
    <xf numFmtId="4" fontId="8" fillId="9" borderId="2" xfId="6" applyNumberFormat="1" applyFont="1" applyFill="1" applyBorder="1"/>
    <xf numFmtId="4" fontId="8" fillId="8" borderId="0" xfId="6" applyNumberFormat="1" applyFont="1" applyFill="1"/>
    <xf numFmtId="0" fontId="82" fillId="8" borderId="0" xfId="6" applyFont="1" applyFill="1"/>
    <xf numFmtId="4" fontId="71" fillId="0" borderId="0" xfId="6" applyNumberFormat="1" applyFont="1"/>
    <xf numFmtId="4" fontId="83" fillId="0" borderId="0" xfId="6" applyNumberFormat="1" applyFont="1"/>
    <xf numFmtId="4" fontId="8" fillId="8" borderId="3" xfId="6" applyNumberFormat="1" applyFont="1" applyFill="1" applyBorder="1"/>
    <xf numFmtId="4" fontId="8" fillId="0" borderId="3" xfId="6" applyNumberFormat="1" applyFont="1" applyBorder="1"/>
    <xf numFmtId="4" fontId="40" fillId="0" borderId="0" xfId="6" applyNumberFormat="1" applyFont="1"/>
    <xf numFmtId="4" fontId="8" fillId="0" borderId="2" xfId="3" applyNumberFormat="1" applyFont="1" applyFill="1" applyBorder="1"/>
    <xf numFmtId="4" fontId="8" fillId="0" borderId="2" xfId="3" applyNumberFormat="1" applyFont="1" applyBorder="1"/>
    <xf numFmtId="4" fontId="8" fillId="0" borderId="0" xfId="6" applyNumberFormat="1" applyFont="1"/>
    <xf numFmtId="4" fontId="40" fillId="0" borderId="2" xfId="3" applyNumberFormat="1" applyFont="1" applyBorder="1"/>
    <xf numFmtId="4" fontId="8" fillId="0" borderId="8" xfId="6" applyNumberFormat="1" applyFont="1" applyBorder="1"/>
    <xf numFmtId="4" fontId="8" fillId="0" borderId="12" xfId="6" applyNumberFormat="1" applyFont="1" applyBorder="1"/>
    <xf numFmtId="4" fontId="8" fillId="8" borderId="11" xfId="6" applyNumberFormat="1" applyFont="1" applyFill="1" applyBorder="1"/>
    <xf numFmtId="4" fontId="8" fillId="8" borderId="7" xfId="6" applyNumberFormat="1" applyFont="1" applyFill="1" applyBorder="1"/>
    <xf numFmtId="165" fontId="0" fillId="0" borderId="0" xfId="0" applyNumberFormat="1"/>
    <xf numFmtId="164" fontId="47" fillId="12" borderId="0" xfId="1" applyFont="1" applyFill="1" applyAlignment="1">
      <alignment horizontal="right"/>
    </xf>
    <xf numFmtId="4" fontId="40" fillId="0" borderId="1" xfId="6" applyNumberFormat="1" applyFont="1" applyBorder="1"/>
    <xf numFmtId="4" fontId="79" fillId="8" borderId="3" xfId="6" applyNumberFormat="1" applyFont="1" applyFill="1" applyBorder="1"/>
    <xf numFmtId="164" fontId="71" fillId="0" borderId="0" xfId="1" applyFont="1"/>
    <xf numFmtId="164" fontId="71" fillId="0" borderId="0" xfId="6" applyNumberFormat="1" applyFont="1"/>
    <xf numFmtId="0" fontId="71" fillId="0" borderId="0" xfId="6" applyFont="1" applyAlignment="1">
      <alignment horizontal="center"/>
    </xf>
    <xf numFmtId="0" fontId="71" fillId="0" borderId="4" xfId="6" applyFont="1" applyBorder="1"/>
    <xf numFmtId="4" fontId="71" fillId="0" borderId="5" xfId="6" applyNumberFormat="1" applyFont="1" applyBorder="1"/>
    <xf numFmtId="4" fontId="83" fillId="8" borderId="2" xfId="7" applyNumberFormat="1" applyFont="1" applyFill="1" applyBorder="1"/>
    <xf numFmtId="4" fontId="83" fillId="0" borderId="2" xfId="6" applyNumberFormat="1" applyFont="1" applyBorder="1"/>
    <xf numFmtId="4" fontId="83" fillId="0" borderId="2" xfId="6" applyNumberFormat="1" applyFont="1" applyFill="1" applyBorder="1"/>
    <xf numFmtId="4" fontId="83" fillId="0" borderId="2" xfId="7" applyNumberFormat="1" applyFont="1" applyBorder="1"/>
    <xf numFmtId="4" fontId="83" fillId="9" borderId="5" xfId="6" applyNumberFormat="1" applyFont="1" applyFill="1" applyBorder="1"/>
    <xf numFmtId="0" fontId="67" fillId="8" borderId="0" xfId="7" applyFont="1" applyFill="1" applyBorder="1"/>
    <xf numFmtId="14" fontId="67" fillId="8" borderId="0" xfId="7" applyNumberFormat="1" applyFont="1" applyFill="1" applyBorder="1"/>
    <xf numFmtId="0" fontId="6" fillId="8" borderId="0" xfId="7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4" fontId="71" fillId="8" borderId="0" xfId="6" applyNumberFormat="1" applyFont="1" applyFill="1" applyBorder="1"/>
    <xf numFmtId="4" fontId="67" fillId="8" borderId="0" xfId="7" applyNumberFormat="1" applyFont="1" applyFill="1" applyBorder="1"/>
    <xf numFmtId="0" fontId="67" fillId="8" borderId="0" xfId="6" applyFont="1" applyFill="1" applyBorder="1"/>
    <xf numFmtId="0" fontId="67" fillId="8" borderId="0" xfId="6" applyFill="1" applyBorder="1"/>
    <xf numFmtId="4" fontId="50" fillId="8" borderId="0" xfId="0" applyNumberFormat="1" applyFont="1" applyFill="1" applyBorder="1"/>
    <xf numFmtId="4" fontId="67" fillId="8" borderId="0" xfId="6" applyNumberFormat="1" applyFill="1" applyBorder="1"/>
    <xf numFmtId="0" fontId="8" fillId="0" borderId="0" xfId="0" applyFont="1" applyAlignment="1">
      <alignment horizontal="left"/>
    </xf>
    <xf numFmtId="0" fontId="84" fillId="3" borderId="0" xfId="0" applyFont="1" applyFill="1"/>
    <xf numFmtId="0" fontId="14" fillId="3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5" fillId="0" borderId="0" xfId="0" applyFont="1"/>
    <xf numFmtId="164" fontId="24" fillId="0" borderId="0" xfId="1" applyFont="1"/>
    <xf numFmtId="0" fontId="8" fillId="0" borderId="2" xfId="7" applyNumberFormat="1" applyFont="1" applyBorder="1"/>
    <xf numFmtId="4" fontId="8" fillId="0" borderId="2" xfId="6" applyNumberFormat="1" applyFont="1" applyFill="1" applyBorder="1"/>
    <xf numFmtId="0" fontId="24" fillId="0" borderId="1" xfId="0" applyFont="1" applyBorder="1"/>
    <xf numFmtId="0" fontId="25" fillId="0" borderId="1" xfId="0" applyFont="1" applyBorder="1"/>
    <xf numFmtId="4" fontId="25" fillId="0" borderId="1" xfId="0" applyNumberFormat="1" applyFont="1" applyBorder="1"/>
    <xf numFmtId="164" fontId="24" fillId="0" borderId="1" xfId="1" applyFont="1" applyBorder="1"/>
    <xf numFmtId="164" fontId="25" fillId="0" borderId="1" xfId="1" applyFont="1" applyBorder="1"/>
    <xf numFmtId="0" fontId="73" fillId="0" borderId="0" xfId="7" applyFont="1" applyAlignment="1"/>
    <xf numFmtId="4" fontId="7" fillId="0" borderId="5" xfId="12" applyNumberFormat="1" applyFont="1" applyBorder="1"/>
    <xf numFmtId="0" fontId="85" fillId="0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horizontal="right"/>
    </xf>
    <xf numFmtId="0" fontId="49" fillId="0" borderId="0" xfId="0" applyFont="1" applyBorder="1" applyAlignment="1">
      <alignment horizontal="right"/>
    </xf>
    <xf numFmtId="169" fontId="7" fillId="0" borderId="0" xfId="0" applyNumberFormat="1" applyFont="1"/>
    <xf numFmtId="0" fontId="7" fillId="0" borderId="1" xfId="0" applyNumberFormat="1" applyFont="1" applyBorder="1"/>
    <xf numFmtId="0" fontId="6" fillId="2" borderId="1" xfId="7" applyFont="1" applyFill="1" applyBorder="1" applyAlignment="1">
      <alignment horizontal="center" vertical="center"/>
    </xf>
    <xf numFmtId="0" fontId="76" fillId="9" borderId="0" xfId="0" applyFont="1" applyFill="1" applyAlignment="1">
      <alignment horizontal="left"/>
    </xf>
    <xf numFmtId="0" fontId="5" fillId="9" borderId="1" xfId="7" applyFont="1" applyFill="1" applyBorder="1" applyAlignment="1">
      <alignment vertical="center" wrapText="1"/>
    </xf>
    <xf numFmtId="0" fontId="76" fillId="9" borderId="0" xfId="0" applyFont="1" applyFill="1" applyAlignment="1"/>
    <xf numFmtId="0" fontId="76" fillId="10" borderId="0" xfId="0" applyFont="1" applyFill="1" applyAlignment="1"/>
    <xf numFmtId="0" fontId="5" fillId="0" borderId="1" xfId="7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top" wrapText="1"/>
    </xf>
    <xf numFmtId="166" fontId="0" fillId="0" borderId="5" xfId="12" applyNumberFormat="1" applyFont="1" applyBorder="1"/>
    <xf numFmtId="0" fontId="7" fillId="0" borderId="0" xfId="0" applyFont="1" applyAlignment="1">
      <alignment vertical="center"/>
    </xf>
    <xf numFmtId="0" fontId="41" fillId="0" borderId="1" xfId="6" applyFont="1" applyFill="1" applyBorder="1" applyAlignment="1">
      <alignment horizontal="center"/>
    </xf>
    <xf numFmtId="4" fontId="41" fillId="8" borderId="1" xfId="6" applyNumberFormat="1" applyFont="1" applyFill="1" applyBorder="1" applyAlignment="1">
      <alignment horizontal="center"/>
    </xf>
    <xf numFmtId="0" fontId="25" fillId="0" borderId="0" xfId="0" applyFont="1" applyBorder="1"/>
    <xf numFmtId="0" fontId="24" fillId="0" borderId="4" xfId="0" applyFont="1" applyBorder="1"/>
    <xf numFmtId="0" fontId="25" fillId="0" borderId="10" xfId="0" applyFont="1" applyBorder="1"/>
    <xf numFmtId="164" fontId="24" fillId="0" borderId="0" xfId="1" applyFont="1" applyBorder="1"/>
    <xf numFmtId="0" fontId="6" fillId="2" borderId="1" xfId="7" applyFont="1" applyFill="1" applyBorder="1" applyAlignment="1">
      <alignment horizontal="center" vertical="center" wrapText="1"/>
    </xf>
    <xf numFmtId="4" fontId="79" fillId="0" borderId="0" xfId="6" applyNumberFormat="1" applyFont="1" applyBorder="1" applyAlignment="1">
      <alignment horizontal="right" vertical="center"/>
    </xf>
    <xf numFmtId="0" fontId="71" fillId="0" borderId="0" xfId="6" applyFont="1" applyBorder="1" applyAlignment="1">
      <alignment horizontal="right" vertical="center"/>
    </xf>
    <xf numFmtId="0" fontId="71" fillId="0" borderId="0" xfId="6" applyFont="1" applyBorder="1"/>
    <xf numFmtId="4" fontId="71" fillId="0" borderId="0" xfId="6" applyNumberFormat="1" applyFont="1" applyBorder="1"/>
    <xf numFmtId="168" fontId="79" fillId="0" borderId="0" xfId="6" applyNumberFormat="1" applyFont="1" applyBorder="1"/>
    <xf numFmtId="17" fontId="73" fillId="0" borderId="0" xfId="6" applyNumberFormat="1" applyFont="1" applyBorder="1" applyAlignment="1"/>
    <xf numFmtId="168" fontId="54" fillId="3" borderId="1" xfId="6" applyNumberFormat="1" applyFont="1" applyFill="1" applyBorder="1"/>
    <xf numFmtId="0" fontId="40" fillId="3" borderId="0" xfId="6" applyFont="1" applyFill="1" applyAlignment="1">
      <alignment horizontal="right"/>
    </xf>
    <xf numFmtId="0" fontId="79" fillId="0" borderId="0" xfId="6" applyFont="1" applyFill="1" applyBorder="1"/>
    <xf numFmtId="4" fontId="79" fillId="0" borderId="0" xfId="6" applyNumberFormat="1" applyFont="1" applyFill="1" applyBorder="1"/>
    <xf numFmtId="168" fontId="79" fillId="0" borderId="0" xfId="6" applyNumberFormat="1" applyFont="1" applyFill="1" applyBorder="1"/>
    <xf numFmtId="0" fontId="79" fillId="0" borderId="0" xfId="6" applyFont="1" applyFill="1"/>
    <xf numFmtId="0" fontId="71" fillId="0" borderId="0" xfId="6" applyFont="1" applyBorder="1" applyAlignment="1">
      <alignment horizontal="right"/>
    </xf>
    <xf numFmtId="4" fontId="7" fillId="0" borderId="0" xfId="8" applyNumberFormat="1" applyFont="1" applyFill="1" applyBorder="1" applyAlignment="1" applyProtection="1">
      <alignment horizontal="left"/>
    </xf>
    <xf numFmtId="169" fontId="71" fillId="0" borderId="0" xfId="6" applyNumberFormat="1" applyFont="1" applyBorder="1"/>
    <xf numFmtId="4" fontId="83" fillId="0" borderId="0" xfId="6" applyNumberFormat="1" applyFont="1" applyBorder="1"/>
    <xf numFmtId="0" fontId="71" fillId="0" borderId="0" xfId="6" applyFont="1" applyFill="1" applyBorder="1"/>
    <xf numFmtId="17" fontId="79" fillId="0" borderId="0" xfId="6" applyNumberFormat="1" applyFont="1" applyFill="1" applyBorder="1" applyAlignment="1">
      <alignment horizontal="center"/>
    </xf>
    <xf numFmtId="0" fontId="71" fillId="0" borderId="0" xfId="6" applyFont="1" applyFill="1" applyBorder="1" applyAlignment="1">
      <alignment horizontal="right"/>
    </xf>
    <xf numFmtId="0" fontId="79" fillId="0" borderId="0" xfId="6" applyFont="1" applyFill="1" applyBorder="1" applyAlignment="1">
      <alignment horizontal="right"/>
    </xf>
    <xf numFmtId="4" fontId="71" fillId="0" borderId="0" xfId="6" applyNumberFormat="1" applyFont="1" applyFill="1" applyBorder="1"/>
    <xf numFmtId="169" fontId="71" fillId="0" borderId="0" xfId="6" applyNumberFormat="1" applyFont="1" applyFill="1" applyBorder="1"/>
    <xf numFmtId="4" fontId="83" fillId="0" borderId="0" xfId="6" applyNumberFormat="1" applyFont="1" applyFill="1" applyBorder="1"/>
    <xf numFmtId="0" fontId="6" fillId="3" borderId="0" xfId="6" applyFont="1" applyFill="1" applyBorder="1" applyAlignment="1">
      <alignment horizontal="left"/>
    </xf>
    <xf numFmtId="0" fontId="40" fillId="3" borderId="0" xfId="6" applyFont="1" applyFill="1"/>
    <xf numFmtId="17" fontId="38" fillId="3" borderId="13" xfId="6" applyNumberFormat="1" applyFont="1" applyFill="1" applyBorder="1" applyAlignment="1">
      <alignment horizontal="center"/>
    </xf>
    <xf numFmtId="0" fontId="40" fillId="6" borderId="1" xfId="6" applyFont="1" applyFill="1" applyBorder="1"/>
    <xf numFmtId="0" fontId="40" fillId="6" borderId="1" xfId="6" applyFont="1" applyFill="1" applyBorder="1" applyAlignment="1">
      <alignment horizontal="right"/>
    </xf>
    <xf numFmtId="4" fontId="54" fillId="6" borderId="1" xfId="6" applyNumberFormat="1" applyFont="1" applyFill="1" applyBorder="1"/>
    <xf numFmtId="4" fontId="40" fillId="3" borderId="1" xfId="6" applyNumberFormat="1" applyFont="1" applyFill="1" applyBorder="1"/>
    <xf numFmtId="0" fontId="6" fillId="3" borderId="0" xfId="6" applyFont="1" applyFill="1"/>
    <xf numFmtId="4" fontId="7" fillId="6" borderId="1" xfId="8" applyNumberFormat="1" applyFont="1" applyFill="1" applyBorder="1" applyAlignment="1" applyProtection="1">
      <alignment horizontal="left"/>
    </xf>
    <xf numFmtId="4" fontId="71" fillId="14" borderId="5" xfId="6" applyNumberFormat="1" applyFont="1" applyFill="1" applyBorder="1"/>
    <xf numFmtId="4" fontId="71" fillId="14" borderId="8" xfId="6" applyNumberFormat="1" applyFont="1" applyFill="1" applyBorder="1"/>
    <xf numFmtId="4" fontId="71" fillId="14" borderId="2" xfId="6" applyNumberFormat="1" applyFont="1" applyFill="1" applyBorder="1"/>
    <xf numFmtId="4" fontId="71" fillId="14" borderId="3" xfId="6" applyNumberFormat="1" applyFont="1" applyFill="1" applyBorder="1"/>
    <xf numFmtId="4" fontId="71" fillId="0" borderId="5" xfId="6" applyNumberFormat="1" applyFont="1" applyFill="1" applyBorder="1"/>
    <xf numFmtId="3" fontId="18" fillId="0" borderId="0" xfId="0" applyNumberFormat="1" applyFont="1" applyFill="1" applyBorder="1"/>
    <xf numFmtId="0" fontId="18" fillId="0" borderId="0" xfId="0" applyFont="1" applyFill="1" applyBorder="1"/>
    <xf numFmtId="164" fontId="71" fillId="0" borderId="0" xfId="1" applyFont="1" applyFill="1" applyBorder="1"/>
    <xf numFmtId="164" fontId="71" fillId="0" borderId="0" xfId="6" applyNumberFormat="1" applyFont="1" applyFill="1" applyBorder="1"/>
    <xf numFmtId="0" fontId="71" fillId="8" borderId="4" xfId="6" applyFont="1" applyFill="1" applyBorder="1"/>
    <xf numFmtId="0" fontId="40" fillId="3" borderId="0" xfId="6" applyFont="1" applyFill="1" applyBorder="1"/>
    <xf numFmtId="0" fontId="6" fillId="3" borderId="0" xfId="6" applyFont="1" applyFill="1" applyBorder="1"/>
    <xf numFmtId="164" fontId="52" fillId="3" borderId="0" xfId="1" applyFont="1" applyFill="1" applyBorder="1"/>
    <xf numFmtId="4" fontId="71" fillId="15" borderId="1" xfId="6" applyNumberFormat="1" applyFont="1" applyFill="1" applyBorder="1"/>
    <xf numFmtId="0" fontId="71" fillId="15" borderId="1" xfId="6" applyFont="1" applyFill="1" applyBorder="1"/>
    <xf numFmtId="4" fontId="36" fillId="15" borderId="1" xfId="0" applyNumberFormat="1" applyFont="1" applyFill="1" applyBorder="1" applyAlignment="1">
      <alignment horizontal="center"/>
    </xf>
    <xf numFmtId="4" fontId="73" fillId="15" borderId="1" xfId="6" applyNumberFormat="1" applyFont="1" applyFill="1" applyBorder="1"/>
    <xf numFmtId="0" fontId="56" fillId="3" borderId="0" xfId="6" applyFont="1" applyFill="1" applyAlignment="1">
      <alignment horizontal="left"/>
    </xf>
    <xf numFmtId="0" fontId="4" fillId="3" borderId="0" xfId="6" applyFont="1" applyFill="1"/>
    <xf numFmtId="0" fontId="67" fillId="3" borderId="0" xfId="6" applyFill="1"/>
    <xf numFmtId="4" fontId="67" fillId="3" borderId="0" xfId="6" applyNumberFormat="1" applyFill="1"/>
    <xf numFmtId="0" fontId="84" fillId="3" borderId="0" xfId="6" applyFont="1" applyFill="1"/>
    <xf numFmtId="0" fontId="6" fillId="16" borderId="1" xfId="6" applyFont="1" applyFill="1" applyBorder="1" applyAlignment="1">
      <alignment horizontal="center"/>
    </xf>
    <xf numFmtId="0" fontId="56" fillId="16" borderId="1" xfId="6" applyFont="1" applyFill="1" applyBorder="1" applyAlignment="1">
      <alignment horizontal="left"/>
    </xf>
    <xf numFmtId="0" fontId="82" fillId="3" borderId="3" xfId="0" applyFont="1" applyFill="1" applyBorder="1" applyAlignment="1">
      <alignment horizontal="left" vertical="center" wrapText="1"/>
    </xf>
    <xf numFmtId="0" fontId="6" fillId="8" borderId="1" xfId="6" applyFont="1" applyFill="1" applyBorder="1" applyAlignment="1">
      <alignment horizontal="center"/>
    </xf>
    <xf numFmtId="4" fontId="40" fillId="0" borderId="1" xfId="7" applyNumberFormat="1" applyFont="1" applyFill="1" applyBorder="1"/>
    <xf numFmtId="0" fontId="86" fillId="16" borderId="1" xfId="6" applyFont="1" applyFill="1" applyBorder="1" applyAlignment="1">
      <alignment horizontal="left"/>
    </xf>
    <xf numFmtId="0" fontId="82" fillId="16" borderId="3" xfId="0" applyFont="1" applyFill="1" applyBorder="1" applyAlignment="1">
      <alignment horizontal="left" vertical="center" wrapText="1"/>
    </xf>
    <xf numFmtId="4" fontId="8" fillId="3" borderId="1" xfId="3" applyNumberFormat="1" applyFont="1" applyFill="1" applyBorder="1"/>
    <xf numFmtId="0" fontId="56" fillId="8" borderId="0" xfId="6" applyFont="1" applyFill="1" applyBorder="1" applyAlignment="1">
      <alignment horizontal="left"/>
    </xf>
    <xf numFmtId="164" fontId="67" fillId="3" borderId="0" xfId="1" applyFont="1" applyFill="1"/>
    <xf numFmtId="4" fontId="67" fillId="3" borderId="0" xfId="1" applyNumberFormat="1" applyFont="1" applyFill="1"/>
    <xf numFmtId="0" fontId="67" fillId="3" borderId="1" xfId="6" applyFill="1" applyBorder="1"/>
    <xf numFmtId="169" fontId="67" fillId="3" borderId="0" xfId="6" applyNumberFormat="1" applyFill="1"/>
    <xf numFmtId="172" fontId="67" fillId="3" borderId="0" xfId="6" applyNumberFormat="1" applyFill="1"/>
    <xf numFmtId="170" fontId="67" fillId="3" borderId="0" xfId="6" applyNumberFormat="1" applyFill="1"/>
    <xf numFmtId="4" fontId="7" fillId="0" borderId="1" xfId="0" quotePrefix="1" applyNumberFormat="1" applyFont="1" applyBorder="1"/>
    <xf numFmtId="2" fontId="24" fillId="0" borderId="0" xfId="0" applyNumberFormat="1" applyFont="1"/>
    <xf numFmtId="0" fontId="7" fillId="0" borderId="1" xfId="0" applyFont="1" applyBorder="1"/>
    <xf numFmtId="0" fontId="7" fillId="0" borderId="3" xfId="0" applyFont="1" applyBorder="1"/>
    <xf numFmtId="0" fontId="49" fillId="0" borderId="3" xfId="0" applyFont="1" applyBorder="1"/>
    <xf numFmtId="164" fontId="7" fillId="0" borderId="3" xfId="1" applyFont="1" applyBorder="1"/>
    <xf numFmtId="164" fontId="7" fillId="0" borderId="1" xfId="1" applyFont="1" applyBorder="1"/>
    <xf numFmtId="164" fontId="7" fillId="0" borderId="1" xfId="0" applyNumberFormat="1" applyFont="1" applyBorder="1"/>
    <xf numFmtId="0" fontId="49" fillId="0" borderId="1" xfId="0" applyFont="1" applyBorder="1"/>
    <xf numFmtId="0" fontId="7" fillId="0" borderId="1" xfId="0" applyFont="1" applyBorder="1" applyAlignment="1">
      <alignment horizontal="center" vertical="center"/>
    </xf>
    <xf numFmtId="164" fontId="7" fillId="0" borderId="1" xfId="3" applyFont="1" applyBorder="1"/>
    <xf numFmtId="0" fontId="58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  <xf numFmtId="169" fontId="7" fillId="0" borderId="0" xfId="0" applyNumberFormat="1" applyFont="1" applyBorder="1"/>
    <xf numFmtId="0" fontId="7" fillId="0" borderId="0" xfId="0" applyFont="1" applyBorder="1"/>
    <xf numFmtId="0" fontId="49" fillId="0" borderId="0" xfId="0" applyFont="1" applyBorder="1"/>
    <xf numFmtId="4" fontId="87" fillId="0" borderId="1" xfId="1" applyNumberFormat="1" applyFont="1" applyBorder="1"/>
    <xf numFmtId="0" fontId="6" fillId="0" borderId="0" xfId="6" applyFont="1" applyBorder="1"/>
    <xf numFmtId="0" fontId="40" fillId="0" borderId="0" xfId="6" applyFont="1" applyBorder="1"/>
    <xf numFmtId="164" fontId="7" fillId="0" borderId="0" xfId="3" applyFont="1"/>
    <xf numFmtId="164" fontId="42" fillId="3" borderId="0" xfId="3" applyFont="1" applyFill="1"/>
    <xf numFmtId="2" fontId="7" fillId="0" borderId="0" xfId="0" applyNumberFormat="1" applyFont="1"/>
    <xf numFmtId="4" fontId="13" fillId="12" borderId="0" xfId="1" applyNumberFormat="1" applyFill="1"/>
    <xf numFmtId="0" fontId="5" fillId="0" borderId="0" xfId="6" applyFont="1" applyAlignment="1">
      <alignment horizontal="left" vertical="top"/>
    </xf>
    <xf numFmtId="0" fontId="15" fillId="0" borderId="1" xfId="6" applyFont="1" applyBorder="1" applyAlignment="1">
      <alignment horizontal="left" vertical="top"/>
    </xf>
    <xf numFmtId="0" fontId="60" fillId="0" borderId="9" xfId="6" applyFont="1" applyFill="1" applyBorder="1"/>
    <xf numFmtId="0" fontId="83" fillId="0" borderId="9" xfId="6" applyFont="1" applyFill="1" applyBorder="1"/>
    <xf numFmtId="0" fontId="5" fillId="8" borderId="1" xfId="6" applyFont="1" applyFill="1" applyBorder="1" applyAlignment="1">
      <alignment horizontal="left" vertical="top" wrapText="1"/>
    </xf>
    <xf numFmtId="4" fontId="8" fillId="3" borderId="8" xfId="6" applyNumberFormat="1" applyFont="1" applyFill="1" applyBorder="1"/>
    <xf numFmtId="0" fontId="83" fillId="3" borderId="9" xfId="6" applyFont="1" applyFill="1" applyBorder="1"/>
    <xf numFmtId="0" fontId="60" fillId="3" borderId="9" xfId="6" applyFont="1" applyFill="1" applyBorder="1"/>
    <xf numFmtId="0" fontId="5" fillId="3" borderId="0" xfId="6" applyFont="1" applyFill="1" applyAlignment="1">
      <alignment horizontal="left" vertical="top"/>
    </xf>
    <xf numFmtId="0" fontId="45" fillId="0" borderId="1" xfId="6" applyFont="1" applyBorder="1"/>
    <xf numFmtId="0" fontId="8" fillId="0" borderId="0" xfId="6" applyFont="1" applyAlignment="1">
      <alignment horizontal="right"/>
    </xf>
    <xf numFmtId="164" fontId="40" fillId="0" borderId="0" xfId="1" applyFont="1"/>
    <xf numFmtId="0" fontId="89" fillId="3" borderId="1" xfId="6" applyFont="1" applyFill="1" applyBorder="1"/>
    <xf numFmtId="0" fontId="79" fillId="3" borderId="1" xfId="6" applyFont="1" applyFill="1" applyBorder="1"/>
    <xf numFmtId="4" fontId="6" fillId="0" borderId="1" xfId="6" applyNumberFormat="1" applyFont="1" applyBorder="1"/>
    <xf numFmtId="0" fontId="56" fillId="0" borderId="0" xfId="6" applyFont="1" applyAlignment="1">
      <alignment horizontal="left" vertical="top"/>
    </xf>
    <xf numFmtId="0" fontId="67" fillId="4" borderId="0" xfId="6" applyFill="1"/>
    <xf numFmtId="0" fontId="4" fillId="0" borderId="0" xfId="6" quotePrefix="1" applyFont="1"/>
    <xf numFmtId="0" fontId="59" fillId="0" borderId="0" xfId="6" applyFont="1"/>
    <xf numFmtId="0" fontId="46" fillId="0" borderId="0" xfId="6" applyFont="1"/>
    <xf numFmtId="0" fontId="8" fillId="0" borderId="2" xfId="3" applyNumberFormat="1" applyFont="1" applyFill="1" applyBorder="1"/>
    <xf numFmtId="0" fontId="8" fillId="0" borderId="2" xfId="3" applyNumberFormat="1" applyFont="1" applyBorder="1"/>
    <xf numFmtId="4" fontId="47" fillId="12" borderId="0" xfId="7" applyNumberFormat="1" applyFont="1" applyFill="1" applyAlignment="1">
      <alignment horizontal="right"/>
    </xf>
    <xf numFmtId="0" fontId="14" fillId="17" borderId="0" xfId="0" applyFont="1" applyFill="1" applyAlignment="1">
      <alignment horizontal="center"/>
    </xf>
    <xf numFmtId="0" fontId="63" fillId="0" borderId="1" xfId="0" applyFont="1" applyFill="1" applyBorder="1" applyAlignment="1">
      <alignment horizontal="center" vertical="top" wrapText="1"/>
    </xf>
    <xf numFmtId="171" fontId="7" fillId="0" borderId="1" xfId="0" applyNumberFormat="1" applyFont="1" applyBorder="1"/>
    <xf numFmtId="0" fontId="63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/>
    <xf numFmtId="164" fontId="24" fillId="0" borderId="0" xfId="1" applyFont="1" applyFill="1"/>
    <xf numFmtId="0" fontId="64" fillId="0" borderId="5" xfId="0" applyFont="1" applyFill="1" applyBorder="1"/>
    <xf numFmtId="4" fontId="49" fillId="0" borderId="0" xfId="0" applyNumberFormat="1" applyFont="1" applyBorder="1"/>
    <xf numFmtId="4" fontId="25" fillId="0" borderId="0" xfId="0" applyNumberFormat="1" applyFont="1" applyBorder="1"/>
    <xf numFmtId="0" fontId="14" fillId="0" borderId="5" xfId="0" applyFont="1" applyBorder="1" applyAlignment="1">
      <alignment horizontal="center"/>
    </xf>
    <xf numFmtId="167" fontId="5" fillId="3" borderId="3" xfId="1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2" fontId="7" fillId="0" borderId="1" xfId="0" applyNumberFormat="1" applyFont="1" applyBorder="1"/>
    <xf numFmtId="2" fontId="47" fillId="4" borderId="0" xfId="7" applyNumberFormat="1" applyFont="1" applyFill="1" applyAlignment="1">
      <alignment horizontal="right"/>
    </xf>
    <xf numFmtId="0" fontId="47" fillId="0" borderId="0" xfId="7" applyFont="1" applyFill="1" applyAlignment="1">
      <alignment horizontal="right"/>
    </xf>
    <xf numFmtId="4" fontId="48" fillId="0" borderId="0" xfId="0" applyNumberFormat="1" applyFont="1" applyFill="1" applyAlignment="1">
      <alignment horizontal="right"/>
    </xf>
    <xf numFmtId="168" fontId="48" fillId="0" borderId="0" xfId="0" applyNumberFormat="1" applyFont="1" applyFill="1" applyBorder="1" applyAlignment="1">
      <alignment horizontal="right"/>
    </xf>
    <xf numFmtId="4" fontId="8" fillId="0" borderId="1" xfId="11" applyNumberFormat="1" applyFont="1" applyFill="1" applyBorder="1"/>
    <xf numFmtId="4" fontId="8" fillId="0" borderId="1" xfId="11" applyNumberFormat="1" applyFont="1" applyBorder="1"/>
    <xf numFmtId="0" fontId="40" fillId="0" borderId="0" xfId="7" applyFont="1" applyBorder="1"/>
    <xf numFmtId="0" fontId="47" fillId="0" borderId="0" xfId="7" applyFont="1" applyBorder="1"/>
    <xf numFmtId="4" fontId="8" fillId="0" borderId="0" xfId="7" quotePrefix="1" applyNumberFormat="1" applyFont="1" applyFill="1" applyBorder="1"/>
    <xf numFmtId="4" fontId="0" fillId="0" borderId="0" xfId="0" applyNumberFormat="1" applyFill="1" applyBorder="1"/>
    <xf numFmtId="4" fontId="40" fillId="0" borderId="0" xfId="7" applyNumberFormat="1" applyFont="1" applyFill="1" applyBorder="1"/>
    <xf numFmtId="0" fontId="40" fillId="0" borderId="0" xfId="7" applyFont="1" applyFill="1" applyBorder="1"/>
    <xf numFmtId="0" fontId="71" fillId="8" borderId="0" xfId="6" applyFont="1" applyFill="1" applyBorder="1"/>
    <xf numFmtId="0" fontId="71" fillId="0" borderId="0" xfId="7" applyFont="1" applyFill="1" applyBorder="1"/>
    <xf numFmtId="0" fontId="8" fillId="0" borderId="0" xfId="7" applyFont="1" applyFill="1" applyBorder="1" applyAlignment="1">
      <alignment horizontal="right"/>
    </xf>
    <xf numFmtId="0" fontId="8" fillId="0" borderId="0" xfId="7" applyFont="1" applyFill="1" applyBorder="1"/>
    <xf numFmtId="4" fontId="71" fillId="0" borderId="0" xfId="7" applyNumberFormat="1" applyFont="1" applyFill="1" applyBorder="1"/>
    <xf numFmtId="4" fontId="81" fillId="0" borderId="0" xfId="0" applyNumberFormat="1" applyFont="1" applyFill="1" applyBorder="1"/>
    <xf numFmtId="0" fontId="67" fillId="0" borderId="0" xfId="7" applyFill="1" applyBorder="1"/>
    <xf numFmtId="0" fontId="46" fillId="0" borderId="0" xfId="7" applyFont="1" applyFill="1" applyBorder="1"/>
    <xf numFmtId="4" fontId="67" fillId="0" borderId="0" xfId="7" applyNumberFormat="1" applyFill="1" applyBorder="1"/>
    <xf numFmtId="0" fontId="0" fillId="0" borderId="0" xfId="0" applyFill="1" applyBorder="1"/>
    <xf numFmtId="0" fontId="71" fillId="0" borderId="9" xfId="7" applyFont="1" applyBorder="1"/>
    <xf numFmtId="4" fontId="71" fillId="0" borderId="9" xfId="6" applyNumberFormat="1" applyFont="1" applyBorder="1"/>
    <xf numFmtId="0" fontId="40" fillId="0" borderId="0" xfId="7" applyFont="1" applyBorder="1" applyAlignment="1">
      <alignment horizontal="left"/>
    </xf>
    <xf numFmtId="4" fontId="71" fillId="0" borderId="9" xfId="7" applyNumberFormat="1" applyFont="1" applyBorder="1"/>
    <xf numFmtId="4" fontId="71" fillId="9" borderId="9" xfId="7" applyNumberFormat="1" applyFont="1" applyFill="1" applyBorder="1"/>
    <xf numFmtId="4" fontId="71" fillId="0" borderId="9" xfId="6" applyNumberFormat="1" applyFont="1" applyFill="1" applyBorder="1"/>
    <xf numFmtId="4" fontId="71" fillId="0" borderId="4" xfId="6" applyNumberFormat="1" applyFont="1" applyBorder="1"/>
    <xf numFmtId="4" fontId="8" fillId="0" borderId="9" xfId="6" applyNumberFormat="1" applyFont="1" applyBorder="1"/>
    <xf numFmtId="4" fontId="90" fillId="0" borderId="9" xfId="6" applyNumberFormat="1" applyFont="1" applyBorder="1"/>
    <xf numFmtId="0" fontId="6" fillId="2" borderId="4" xfId="7" applyFont="1" applyFill="1" applyBorder="1" applyAlignment="1">
      <alignment horizontal="center" vertical="center"/>
    </xf>
    <xf numFmtId="4" fontId="83" fillId="8" borderId="9" xfId="7" applyNumberFormat="1" applyFont="1" applyFill="1" applyBorder="1"/>
    <xf numFmtId="4" fontId="71" fillId="0" borderId="9" xfId="7" applyNumberFormat="1" applyFont="1" applyFill="1" applyBorder="1"/>
    <xf numFmtId="0" fontId="71" fillId="0" borderId="9" xfId="7" applyFont="1" applyFill="1" applyBorder="1"/>
    <xf numFmtId="4" fontId="71" fillId="0" borderId="4" xfId="6" applyNumberFormat="1" applyFont="1" applyFill="1" applyBorder="1"/>
    <xf numFmtId="4" fontId="83" fillId="0" borderId="9" xfId="6" applyNumberFormat="1" applyFont="1" applyFill="1" applyBorder="1"/>
    <xf numFmtId="0" fontId="6" fillId="2" borderId="8" xfId="7" applyFont="1" applyFill="1" applyBorder="1" applyAlignment="1">
      <alignment horizontal="center" vertical="center"/>
    </xf>
    <xf numFmtId="0" fontId="71" fillId="0" borderId="8" xfId="7" applyFont="1" applyBorder="1"/>
    <xf numFmtId="0" fontId="8" fillId="0" borderId="0" xfId="7" applyFont="1" applyFill="1"/>
    <xf numFmtId="0" fontId="91" fillId="0" borderId="0" xfId="7" quotePrefix="1" applyFont="1" applyAlignment="1">
      <alignment horizontal="left"/>
    </xf>
    <xf numFmtId="4" fontId="8" fillId="0" borderId="0" xfId="7" applyNumberFormat="1" applyFont="1"/>
    <xf numFmtId="0" fontId="66" fillId="0" borderId="0" xfId="7" applyFont="1"/>
    <xf numFmtId="4" fontId="82" fillId="0" borderId="0" xfId="7" applyNumberFormat="1" applyFont="1"/>
    <xf numFmtId="4" fontId="8" fillId="3" borderId="0" xfId="7" applyNumberFormat="1" applyFont="1" applyFill="1"/>
    <xf numFmtId="0" fontId="92" fillId="0" borderId="0" xfId="7" applyFont="1"/>
    <xf numFmtId="170" fontId="40" fillId="0" borderId="0" xfId="7" applyNumberFormat="1" applyFont="1"/>
    <xf numFmtId="0" fontId="8" fillId="8" borderId="0" xfId="7" applyFont="1" applyFill="1" applyAlignment="1">
      <alignment horizontal="right"/>
    </xf>
    <xf numFmtId="0" fontId="8" fillId="3" borderId="0" xfId="7" applyFont="1" applyFill="1"/>
    <xf numFmtId="0" fontId="46" fillId="8" borderId="0" xfId="7" applyFont="1" applyFill="1"/>
    <xf numFmtId="4" fontId="67" fillId="0" borderId="0" xfId="5" applyNumberFormat="1"/>
    <xf numFmtId="0" fontId="82" fillId="0" borderId="0" xfId="7" applyFont="1"/>
    <xf numFmtId="0" fontId="62" fillId="0" borderId="0" xfId="7" applyFont="1"/>
    <xf numFmtId="4" fontId="13" fillId="0" borderId="0" xfId="1" applyNumberFormat="1"/>
    <xf numFmtId="4" fontId="8" fillId="8" borderId="0" xfId="7" applyNumberFormat="1" applyFont="1" applyFill="1"/>
    <xf numFmtId="0" fontId="71" fillId="0" borderId="0" xfId="7" applyFont="1" applyFill="1"/>
    <xf numFmtId="0" fontId="71" fillId="0" borderId="0" xfId="6" applyFont="1" applyFill="1"/>
    <xf numFmtId="0" fontId="8" fillId="0" borderId="0" xfId="7" applyFont="1" applyFill="1" applyAlignment="1">
      <alignment horizontal="right"/>
    </xf>
    <xf numFmtId="0" fontId="40" fillId="0" borderId="0" xfId="7" quotePrefix="1" applyFont="1" applyFill="1" applyAlignment="1">
      <alignment horizontal="left"/>
    </xf>
    <xf numFmtId="0" fontId="76" fillId="0" borderId="0" xfId="0" applyFont="1" applyFill="1" applyAlignment="1">
      <alignment horizontal="left"/>
    </xf>
    <xf numFmtId="0" fontId="40" fillId="0" borderId="0" xfId="7" quotePrefix="1" applyFont="1" applyFill="1"/>
    <xf numFmtId="0" fontId="79" fillId="0" borderId="0" xfId="7" applyFont="1" applyFill="1" applyAlignment="1">
      <alignment horizontal="left"/>
    </xf>
    <xf numFmtId="0" fontId="8" fillId="0" borderId="0" xfId="7" applyFont="1" applyFill="1" applyAlignment="1">
      <alignment horizontal="left"/>
    </xf>
    <xf numFmtId="0" fontId="8" fillId="0" borderId="0" xfId="7" quotePrefix="1" applyFont="1" applyFill="1" applyAlignment="1">
      <alignment horizontal="left"/>
    </xf>
    <xf numFmtId="0" fontId="67" fillId="0" borderId="0" xfId="7" applyFill="1"/>
    <xf numFmtId="0" fontId="80" fillId="0" borderId="0" xfId="7" applyFont="1" applyFill="1"/>
    <xf numFmtId="0" fontId="80" fillId="0" borderId="0" xfId="7" applyFont="1" applyFill="1" applyAlignment="1">
      <alignment horizontal="left"/>
    </xf>
    <xf numFmtId="0" fontId="67" fillId="0" borderId="0" xfId="7" applyFill="1" applyAlignment="1">
      <alignment horizontal="left"/>
    </xf>
    <xf numFmtId="0" fontId="67" fillId="0" borderId="0" xfId="6" applyFill="1" applyBorder="1"/>
    <xf numFmtId="0" fontId="67" fillId="0" borderId="0" xfId="6" applyBorder="1"/>
    <xf numFmtId="0" fontId="40" fillId="0" borderId="0" xfId="7" applyFont="1" applyFill="1" applyBorder="1" applyAlignment="1">
      <alignment horizontal="left"/>
    </xf>
    <xf numFmtId="0" fontId="40" fillId="0" borderId="0" xfId="7" quotePrefix="1" applyFont="1" applyFill="1" applyBorder="1" applyAlignment="1">
      <alignment horizontal="left"/>
    </xf>
    <xf numFmtId="4" fontId="71" fillId="0" borderId="0" xfId="0" applyNumberFormat="1" applyFont="1" applyFill="1" applyAlignment="1">
      <alignment horizontal="right"/>
    </xf>
    <xf numFmtId="0" fontId="39" fillId="3" borderId="0" xfId="7" applyFont="1" applyFill="1"/>
    <xf numFmtId="0" fontId="39" fillId="0" borderId="0" xfId="7" applyFont="1"/>
    <xf numFmtId="4" fontId="5" fillId="0" borderId="0" xfId="0" applyNumberFormat="1" applyFont="1"/>
    <xf numFmtId="4" fontId="67" fillId="8" borderId="0" xfId="5" applyNumberFormat="1" applyFill="1"/>
    <xf numFmtId="0" fontId="93" fillId="3" borderId="0" xfId="7" applyFont="1" applyFill="1"/>
    <xf numFmtId="4" fontId="39" fillId="3" borderId="14" xfId="7" applyNumberFormat="1" applyFont="1" applyFill="1" applyBorder="1"/>
    <xf numFmtId="4" fontId="39" fillId="3" borderId="15" xfId="7" applyNumberFormat="1" applyFont="1" applyFill="1" applyBorder="1"/>
    <xf numFmtId="4" fontId="39" fillId="3" borderId="16" xfId="7" applyNumberFormat="1" applyFont="1" applyFill="1" applyBorder="1"/>
    <xf numFmtId="4" fontId="9" fillId="0" borderId="0" xfId="0" applyNumberFormat="1" applyFont="1"/>
    <xf numFmtId="0" fontId="61" fillId="0" borderId="0" xfId="7" applyFont="1"/>
    <xf numFmtId="0" fontId="49" fillId="12" borderId="0" xfId="0" applyFont="1" applyFill="1" applyBorder="1"/>
    <xf numFmtId="0" fontId="28" fillId="0" borderId="0" xfId="0" applyFont="1" applyFill="1" applyBorder="1"/>
    <xf numFmtId="10" fontId="26" fillId="0" borderId="0" xfId="12" applyNumberFormat="1" applyFont="1" applyFill="1" applyBorder="1"/>
    <xf numFmtId="0" fontId="24" fillId="0" borderId="0" xfId="0" applyFont="1" applyFill="1" applyBorder="1"/>
    <xf numFmtId="0" fontId="65" fillId="18" borderId="0" xfId="0" applyFont="1" applyFill="1"/>
    <xf numFmtId="0" fontId="14" fillId="3" borderId="4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10" fontId="4" fillId="0" borderId="0" xfId="12" applyNumberFormat="1" applyFont="1" applyFill="1"/>
    <xf numFmtId="0" fontId="4" fillId="0" borderId="0" xfId="0" applyFont="1" applyFill="1"/>
    <xf numFmtId="0" fontId="19" fillId="0" borderId="0" xfId="0" applyFont="1" applyBorder="1"/>
    <xf numFmtId="14" fontId="19" fillId="0" borderId="0" xfId="0" applyNumberFormat="1" applyFont="1" applyFill="1"/>
    <xf numFmtId="4" fontId="31" fillId="0" borderId="0" xfId="8" applyNumberFormat="1" applyFont="1" applyFill="1" applyBorder="1" applyAlignment="1"/>
    <xf numFmtId="0" fontId="65" fillId="19" borderId="0" xfId="0" applyFont="1" applyFill="1" applyBorder="1"/>
    <xf numFmtId="0" fontId="65" fillId="20" borderId="0" xfId="0" applyFont="1" applyFill="1" applyBorder="1"/>
    <xf numFmtId="0" fontId="14" fillId="19" borderId="0" xfId="0" applyFont="1" applyFill="1" applyAlignment="1">
      <alignment horizontal="center" vertical="center"/>
    </xf>
    <xf numFmtId="0" fontId="94" fillId="20" borderId="0" xfId="0" applyFont="1" applyFill="1" applyBorder="1" applyAlignment="1">
      <alignment horizontal="center" vertical="center"/>
    </xf>
    <xf numFmtId="0" fontId="49" fillId="0" borderId="0" xfId="0" applyFont="1"/>
    <xf numFmtId="0" fontId="19" fillId="3" borderId="0" xfId="0" applyFont="1" applyFill="1" applyBorder="1" applyAlignment="1">
      <alignment horizontal="left" vertical="top" wrapText="1"/>
    </xf>
    <xf numFmtId="0" fontId="56" fillId="0" borderId="0" xfId="6" applyFont="1" applyFill="1" applyBorder="1" applyAlignment="1">
      <alignment horizontal="center" vertical="center"/>
    </xf>
    <xf numFmtId="0" fontId="6" fillId="2" borderId="1" xfId="6" applyFont="1" applyFill="1" applyBorder="1" applyAlignment="1">
      <alignment horizontal="center"/>
    </xf>
    <xf numFmtId="0" fontId="71" fillId="0" borderId="4" xfId="6" applyFont="1" applyFill="1" applyBorder="1"/>
    <xf numFmtId="4" fontId="40" fillId="0" borderId="9" xfId="6" applyNumberFormat="1" applyFont="1" applyBorder="1"/>
    <xf numFmtId="4" fontId="8" fillId="0" borderId="0" xfId="6" applyNumberFormat="1" applyFont="1" applyBorder="1"/>
    <xf numFmtId="4" fontId="8" fillId="3" borderId="0" xfId="6" applyNumberFormat="1" applyFont="1" applyFill="1"/>
    <xf numFmtId="4" fontId="40" fillId="3" borderId="0" xfId="6" applyNumberFormat="1" applyFont="1" applyFill="1"/>
    <xf numFmtId="0" fontId="8" fillId="3" borderId="0" xfId="6" applyFont="1" applyFill="1"/>
    <xf numFmtId="4" fontId="8" fillId="3" borderId="0" xfId="3" applyNumberFormat="1" applyFont="1" applyFill="1"/>
    <xf numFmtId="0" fontId="8" fillId="3" borderId="1" xfId="6" applyFont="1" applyFill="1" applyBorder="1" applyAlignment="1">
      <alignment horizontal="right"/>
    </xf>
    <xf numFmtId="4" fontId="8" fillId="3" borderId="2" xfId="6" applyNumberFormat="1" applyFont="1" applyFill="1" applyBorder="1"/>
    <xf numFmtId="4" fontId="8" fillId="3" borderId="11" xfId="6" applyNumberFormat="1" applyFont="1" applyFill="1" applyBorder="1"/>
    <xf numFmtId="0" fontId="6" fillId="0" borderId="0" xfId="6" applyFont="1" applyFill="1" applyBorder="1" applyAlignment="1">
      <alignment horizontal="center"/>
    </xf>
    <xf numFmtId="14" fontId="37" fillId="0" borderId="0" xfId="0" applyNumberFormat="1" applyFont="1" applyFill="1" applyBorder="1"/>
    <xf numFmtId="0" fontId="2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6" fillId="0" borderId="0" xfId="0" applyFont="1" applyFill="1" applyBorder="1"/>
    <xf numFmtId="0" fontId="20" fillId="0" borderId="0" xfId="0" applyFont="1" applyFill="1" applyBorder="1"/>
    <xf numFmtId="17" fontId="18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164" fontId="19" fillId="0" borderId="0" xfId="3" applyFont="1" applyFill="1" applyBorder="1"/>
    <xf numFmtId="4" fontId="23" fillId="0" borderId="0" xfId="0" applyNumberFormat="1" applyFont="1" applyFill="1" applyBorder="1"/>
    <xf numFmtId="0" fontId="33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0" fontId="32" fillId="0" borderId="0" xfId="6" applyFont="1" applyFill="1" applyBorder="1" applyAlignment="1">
      <alignment horizontal="center"/>
    </xf>
    <xf numFmtId="0" fontId="32" fillId="0" borderId="0" xfId="6" applyFont="1" applyFill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71" fillId="0" borderId="0" xfId="6" applyFont="1" applyAlignment="1">
      <alignment horizontal="left"/>
    </xf>
    <xf numFmtId="0" fontId="71" fillId="0" borderId="1" xfId="6" applyFont="1" applyBorder="1" applyAlignment="1">
      <alignment horizontal="left"/>
    </xf>
    <xf numFmtId="4" fontId="71" fillId="0" borderId="0" xfId="7" applyNumberFormat="1" applyFont="1" applyFill="1" applyAlignment="1">
      <alignment horizontal="right"/>
    </xf>
    <xf numFmtId="167" fontId="71" fillId="0" borderId="0" xfId="7" applyNumberFormat="1" applyFont="1" applyFill="1" applyAlignment="1">
      <alignment horizontal="right"/>
    </xf>
    <xf numFmtId="0" fontId="5" fillId="8" borderId="0" xfId="0" applyFont="1" applyFill="1" applyBorder="1"/>
    <xf numFmtId="0" fontId="70" fillId="0" borderId="0" xfId="7" applyFont="1"/>
    <xf numFmtId="164" fontId="5" fillId="8" borderId="0" xfId="2" applyFont="1" applyFill="1" applyBorder="1"/>
    <xf numFmtId="0" fontId="5" fillId="8" borderId="0" xfId="0" quotePrefix="1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70" fillId="8" borderId="0" xfId="7" applyFont="1" applyFill="1"/>
    <xf numFmtId="0" fontId="70" fillId="0" borderId="0" xfId="7" applyFont="1" applyAlignment="1">
      <alignment horizontal="right"/>
    </xf>
    <xf numFmtId="0" fontId="39" fillId="8" borderId="0" xfId="7" applyFont="1" applyFill="1"/>
    <xf numFmtId="0" fontId="5" fillId="0" borderId="0" xfId="7" quotePrefix="1" applyFont="1" applyAlignment="1">
      <alignment horizontal="right"/>
    </xf>
    <xf numFmtId="0" fontId="5" fillId="8" borderId="0" xfId="7" applyFont="1" applyFill="1" applyBorder="1"/>
    <xf numFmtId="0" fontId="5" fillId="8" borderId="0" xfId="7" applyFont="1" applyFill="1" applyBorder="1" applyAlignment="1">
      <alignment horizontal="right"/>
    </xf>
    <xf numFmtId="0" fontId="39" fillId="8" borderId="0" xfId="7" applyFont="1" applyFill="1" applyBorder="1"/>
    <xf numFmtId="4" fontId="70" fillId="8" borderId="0" xfId="7" applyNumberFormat="1" applyFont="1" applyFill="1" applyBorder="1" applyAlignment="1">
      <alignment horizontal="right"/>
    </xf>
    <xf numFmtId="0" fontId="70" fillId="8" borderId="0" xfId="7" applyFont="1" applyFill="1" applyBorder="1"/>
    <xf numFmtId="0" fontId="39" fillId="8" borderId="0" xfId="7" applyFont="1" applyFill="1" applyAlignment="1">
      <alignment horizontal="right"/>
    </xf>
    <xf numFmtId="0" fontId="5" fillId="8" borderId="0" xfId="6" applyFont="1" applyFill="1" applyBorder="1" applyAlignment="1">
      <alignment horizontal="right" wrapText="1"/>
    </xf>
    <xf numFmtId="0" fontId="5" fillId="8" borderId="0" xfId="6" applyFont="1" applyFill="1" applyBorder="1" applyAlignment="1">
      <alignment horizontal="right"/>
    </xf>
    <xf numFmtId="0" fontId="95" fillId="0" borderId="0" xfId="7" applyFont="1" applyAlignment="1">
      <alignment horizontal="right"/>
    </xf>
    <xf numFmtId="0" fontId="5" fillId="8" borderId="0" xfId="7" applyFont="1" applyFill="1"/>
    <xf numFmtId="0" fontId="5" fillId="8" borderId="0" xfId="4" applyFont="1" applyFill="1" applyBorder="1" applyAlignment="1">
      <alignment horizontal="right"/>
    </xf>
    <xf numFmtId="0" fontId="70" fillId="8" borderId="0" xfId="0" applyFont="1" applyFill="1" applyBorder="1"/>
    <xf numFmtId="0" fontId="5" fillId="0" borderId="0" xfId="4" applyFont="1" applyBorder="1" applyAlignment="1">
      <alignment horizontal="right"/>
    </xf>
    <xf numFmtId="164" fontId="5" fillId="0" borderId="0" xfId="2" applyFont="1" applyBorder="1"/>
    <xf numFmtId="164" fontId="5" fillId="8" borderId="0" xfId="2" applyNumberFormat="1" applyFont="1" applyFill="1" applyBorder="1"/>
    <xf numFmtId="0" fontId="39" fillId="0" borderId="0" xfId="7" applyFont="1" applyFill="1" applyAlignment="1">
      <alignment horizontal="right"/>
    </xf>
    <xf numFmtId="4" fontId="5" fillId="8" borderId="0" xfId="7" applyNumberFormat="1" applyFont="1" applyFill="1"/>
    <xf numFmtId="4" fontId="5" fillId="3" borderId="0" xfId="7" applyNumberFormat="1" applyFont="1" applyFill="1"/>
    <xf numFmtId="4" fontId="71" fillId="0" borderId="9" xfId="6" applyNumberFormat="1" applyFont="1" applyBorder="1" applyAlignment="1">
      <alignment horizontal="right" vertical="top"/>
    </xf>
    <xf numFmtId="4" fontId="71" fillId="0" borderId="2" xfId="6" applyNumberFormat="1" applyFont="1" applyFill="1" applyBorder="1" applyAlignment="1">
      <alignment horizontal="right" vertical="top"/>
    </xf>
    <xf numFmtId="4" fontId="39" fillId="8" borderId="0" xfId="7" applyNumberFormat="1" applyFont="1" applyFill="1"/>
    <xf numFmtId="4" fontId="8" fillId="0" borderId="2" xfId="7" applyNumberFormat="1" applyFont="1" applyFill="1" applyBorder="1" applyAlignment="1">
      <alignment horizontal="right" vertical="top"/>
    </xf>
    <xf numFmtId="0" fontId="71" fillId="0" borderId="2" xfId="7" applyFont="1" applyFill="1" applyBorder="1" applyAlignment="1">
      <alignment horizontal="right" vertical="top"/>
    </xf>
    <xf numFmtId="0" fontId="71" fillId="0" borderId="9" xfId="7" applyFont="1" applyFill="1" applyBorder="1" applyAlignment="1">
      <alignment horizontal="right" vertical="top"/>
    </xf>
    <xf numFmtId="49" fontId="8" fillId="23" borderId="1" xfId="0" applyNumberFormat="1" applyFont="1" applyFill="1" applyBorder="1"/>
    <xf numFmtId="0" fontId="8" fillId="0" borderId="0" xfId="0" applyFont="1"/>
    <xf numFmtId="0" fontId="8" fillId="24" borderId="1" xfId="0" applyFont="1" applyFill="1" applyBorder="1" applyAlignment="1">
      <alignment horizontal="left"/>
    </xf>
    <xf numFmtId="0" fontId="8" fillId="23" borderId="1" xfId="0" applyFont="1" applyFill="1" applyBorder="1" applyAlignment="1">
      <alignment horizontal="left"/>
    </xf>
    <xf numFmtId="0" fontId="8" fillId="24" borderId="4" xfId="0" applyFont="1" applyFill="1" applyBorder="1" applyAlignment="1">
      <alignment horizontal="left"/>
    </xf>
    <xf numFmtId="0" fontId="8" fillId="23" borderId="4" xfId="0" applyFont="1" applyFill="1" applyBorder="1" applyAlignment="1">
      <alignment horizontal="left"/>
    </xf>
    <xf numFmtId="0" fontId="39" fillId="0" borderId="0" xfId="7" applyFont="1" applyAlignment="1">
      <alignment horizontal="right"/>
    </xf>
    <xf numFmtId="0" fontId="5" fillId="0" borderId="0" xfId="7" applyFont="1"/>
    <xf numFmtId="0" fontId="71" fillId="0" borderId="2" xfId="6" applyNumberFormat="1" applyFont="1" applyBorder="1"/>
    <xf numFmtId="0" fontId="96" fillId="23" borderId="4" xfId="0" applyFont="1" applyFill="1" applyBorder="1" applyAlignment="1">
      <alignment horizontal="left" vertical="center"/>
    </xf>
    <xf numFmtId="0" fontId="97" fillId="23" borderId="10" xfId="0" applyFont="1" applyFill="1" applyBorder="1" applyAlignment="1">
      <alignment horizontal="left" vertical="center"/>
    </xf>
    <xf numFmtId="0" fontId="97" fillId="23" borderId="5" xfId="0" applyFont="1" applyFill="1" applyBorder="1" applyAlignment="1">
      <alignment horizontal="left" vertical="center"/>
    </xf>
    <xf numFmtId="0" fontId="96" fillId="0" borderId="0" xfId="0" quotePrefix="1" applyFont="1" applyFill="1" applyBorder="1" applyAlignment="1">
      <alignment horizontal="left"/>
    </xf>
    <xf numFmtId="0" fontId="99" fillId="0" borderId="0" xfId="0" applyFont="1" applyFill="1" applyBorder="1" applyAlignment="1">
      <alignment horizontal="left"/>
    </xf>
    <xf numFmtId="0" fontId="96" fillId="0" borderId="0" xfId="0" applyFont="1" applyAlignment="1">
      <alignment horizontal="left"/>
    </xf>
    <xf numFmtId="0" fontId="99" fillId="0" borderId="0" xfId="0" applyFont="1" applyAlignment="1">
      <alignment horizontal="left"/>
    </xf>
    <xf numFmtId="0" fontId="100" fillId="0" borderId="0" xfId="0" applyFont="1"/>
    <xf numFmtId="0" fontId="38" fillId="23" borderId="10" xfId="0" applyFont="1" applyFill="1" applyBorder="1" applyAlignment="1">
      <alignment horizontal="left" vertical="center"/>
    </xf>
    <xf numFmtId="0" fontId="38" fillId="23" borderId="5" xfId="0" applyFont="1" applyFill="1" applyBorder="1" applyAlignment="1">
      <alignment horizontal="left" vertical="center"/>
    </xf>
    <xf numFmtId="0" fontId="99" fillId="0" borderId="0" xfId="0" applyFont="1" applyAlignment="1"/>
    <xf numFmtId="17" fontId="97" fillId="23" borderId="1" xfId="0" applyNumberFormat="1" applyFont="1" applyFill="1" applyBorder="1" applyAlignment="1">
      <alignment horizontal="center"/>
    </xf>
    <xf numFmtId="0" fontId="102" fillId="0" borderId="0" xfId="0" applyFont="1" applyAlignment="1">
      <alignment horizontal="right"/>
    </xf>
    <xf numFmtId="0" fontId="102" fillId="0" borderId="0" xfId="0" applyFont="1"/>
    <xf numFmtId="164" fontId="102" fillId="0" borderId="0" xfId="0" applyNumberFormat="1" applyFont="1"/>
    <xf numFmtId="0" fontId="98" fillId="23" borderId="1" xfId="12" applyNumberFormat="1" applyFont="1" applyFill="1" applyBorder="1" applyAlignment="1">
      <alignment horizontal="right"/>
    </xf>
    <xf numFmtId="17" fontId="102" fillId="0" borderId="0" xfId="0" applyNumberFormat="1" applyFont="1" applyAlignment="1">
      <alignment horizontal="right"/>
    </xf>
    <xf numFmtId="0" fontId="99" fillId="0" borderId="0" xfId="0" applyFont="1" applyAlignment="1">
      <alignment horizontal="right"/>
    </xf>
    <xf numFmtId="164" fontId="24" fillId="0" borderId="0" xfId="3" applyNumberFormat="1" applyFont="1" applyFill="1" applyBorder="1"/>
    <xf numFmtId="0" fontId="67" fillId="0" borderId="0" xfId="6" applyFont="1" applyFill="1"/>
    <xf numFmtId="164" fontId="74" fillId="0" borderId="0" xfId="6" applyNumberFormat="1" applyFont="1" applyFill="1"/>
    <xf numFmtId="9" fontId="74" fillId="0" borderId="0" xfId="6" applyNumberFormat="1" applyFont="1" applyFill="1" applyAlignment="1">
      <alignment horizontal="right"/>
    </xf>
    <xf numFmtId="9" fontId="67" fillId="0" borderId="0" xfId="6" applyNumberFormat="1" applyFill="1"/>
    <xf numFmtId="0" fontId="103" fillId="8" borderId="1" xfId="6" applyFont="1" applyFill="1" applyBorder="1"/>
    <xf numFmtId="0" fontId="71" fillId="8" borderId="1" xfId="7" applyFont="1" applyFill="1" applyBorder="1"/>
    <xf numFmtId="0" fontId="67" fillId="0" borderId="0" xfId="6" applyFill="1"/>
    <xf numFmtId="0" fontId="103" fillId="0" borderId="1" xfId="6" applyFont="1" applyFill="1" applyBorder="1"/>
    <xf numFmtId="0" fontId="71" fillId="0" borderId="1" xfId="7" applyFont="1" applyFill="1" applyBorder="1"/>
    <xf numFmtId="4" fontId="71" fillId="0" borderId="1" xfId="7" applyNumberFormat="1" applyFont="1" applyFill="1" applyBorder="1"/>
    <xf numFmtId="0" fontId="68" fillId="0" borderId="0" xfId="6" applyFont="1" applyFill="1"/>
    <xf numFmtId="0" fontId="71" fillId="8" borderId="0" xfId="6" applyFont="1" applyFill="1" applyAlignment="1">
      <alignment horizontal="right"/>
    </xf>
    <xf numFmtId="9" fontId="71" fillId="8" borderId="0" xfId="6" applyNumberFormat="1" applyFont="1" applyFill="1" applyAlignment="1">
      <alignment horizontal="right"/>
    </xf>
    <xf numFmtId="0" fontId="99" fillId="23" borderId="8" xfId="6" applyFont="1" applyFill="1" applyBorder="1" applyAlignment="1">
      <alignment horizontal="center"/>
    </xf>
    <xf numFmtId="164" fontId="71" fillId="8" borderId="1" xfId="7" applyNumberFormat="1" applyFont="1" applyFill="1" applyBorder="1"/>
    <xf numFmtId="164" fontId="71" fillId="0" borderId="1" xfId="7" applyNumberFormat="1" applyFont="1" applyFill="1" applyBorder="1"/>
    <xf numFmtId="164" fontId="8" fillId="0" borderId="1" xfId="2" applyFont="1" applyBorder="1"/>
    <xf numFmtId="0" fontId="8" fillId="0" borderId="1" xfId="7" applyFont="1" applyFill="1" applyBorder="1" applyAlignment="1">
      <alignment vertical="center"/>
    </xf>
    <xf numFmtId="0" fontId="8" fillId="0" borderId="1" xfId="7" applyFont="1" applyFill="1" applyBorder="1"/>
    <xf numFmtId="0" fontId="101" fillId="0" borderId="1" xfId="0" applyFont="1" applyBorder="1" applyAlignment="1">
      <alignment horizontal="center"/>
    </xf>
    <xf numFmtId="0" fontId="101" fillId="0" borderId="0" xfId="0" applyFont="1"/>
    <xf numFmtId="164" fontId="8" fillId="22" borderId="1" xfId="3" applyNumberFormat="1" applyFont="1" applyFill="1" applyBorder="1"/>
    <xf numFmtId="0" fontId="4" fillId="0" borderId="0" xfId="6" applyFont="1" applyFill="1"/>
    <xf numFmtId="164" fontId="40" fillId="8" borderId="0" xfId="7" applyNumberFormat="1" applyFont="1" applyFill="1"/>
    <xf numFmtId="164" fontId="70" fillId="0" borderId="0" xfId="7" applyNumberFormat="1" applyFont="1"/>
    <xf numFmtId="164" fontId="70" fillId="0" borderId="0" xfId="7" applyNumberFormat="1" applyFont="1" applyFill="1" applyBorder="1"/>
    <xf numFmtId="164" fontId="39" fillId="0" borderId="0" xfId="7" applyNumberFormat="1" applyFont="1" applyFill="1" applyAlignment="1">
      <alignment horizontal="right"/>
    </xf>
    <xf numFmtId="164" fontId="9" fillId="0" borderId="0" xfId="7" applyNumberFormat="1" applyFont="1"/>
    <xf numFmtId="164" fontId="9" fillId="0" borderId="0" xfId="7" applyNumberFormat="1" applyFont="1" applyAlignment="1">
      <alignment horizontal="right"/>
    </xf>
    <xf numFmtId="4" fontId="39" fillId="0" borderId="0" xfId="7" applyNumberFormat="1" applyFont="1"/>
    <xf numFmtId="164" fontId="71" fillId="8" borderId="0" xfId="6" applyNumberFormat="1" applyFont="1" applyFill="1"/>
    <xf numFmtId="0" fontId="104" fillId="0" borderId="0" xfId="7" applyFont="1"/>
    <xf numFmtId="0" fontId="39" fillId="3" borderId="0" xfId="7" applyFont="1" applyFill="1" applyAlignment="1">
      <alignment horizontal="right"/>
    </xf>
    <xf numFmtId="4" fontId="5" fillId="0" borderId="0" xfId="0" applyNumberFormat="1" applyFont="1" applyFill="1" applyBorder="1"/>
    <xf numFmtId="0" fontId="93" fillId="0" borderId="0" xfId="7" applyFont="1"/>
    <xf numFmtId="4" fontId="39" fillId="3" borderId="4" xfId="7" applyNumberFormat="1" applyFont="1" applyFill="1" applyBorder="1"/>
    <xf numFmtId="4" fontId="5" fillId="0" borderId="0" xfId="0" applyNumberFormat="1" applyFont="1" applyBorder="1"/>
    <xf numFmtId="4" fontId="5" fillId="0" borderId="1" xfId="0" applyNumberFormat="1" applyFont="1" applyBorder="1"/>
    <xf numFmtId="0" fontId="39" fillId="0" borderId="0" xfId="7" applyFont="1" applyAlignment="1">
      <alignment horizontal="left"/>
    </xf>
    <xf numFmtId="4" fontId="5" fillId="8" borderId="0" xfId="0" applyNumberFormat="1" applyFont="1" applyFill="1"/>
    <xf numFmtId="0" fontId="39" fillId="0" borderId="0" xfId="7" quotePrefix="1" applyFont="1" applyAlignment="1">
      <alignment horizontal="left"/>
    </xf>
    <xf numFmtId="0" fontId="5" fillId="0" borderId="0" xfId="7" quotePrefix="1" applyFont="1" applyAlignment="1">
      <alignment horizontal="left"/>
    </xf>
    <xf numFmtId="0" fontId="5" fillId="0" borderId="0" xfId="7" applyFont="1" applyFill="1"/>
    <xf numFmtId="0" fontId="39" fillId="0" borderId="0" xfId="7" applyFont="1" applyFill="1" applyAlignment="1">
      <alignment horizontal="left"/>
    </xf>
    <xf numFmtId="0" fontId="39" fillId="0" borderId="0" xfId="7" applyFont="1" applyFill="1"/>
    <xf numFmtId="4" fontId="5" fillId="8" borderId="0" xfId="0" applyNumberFormat="1" applyFont="1" applyFill="1" applyAlignment="1">
      <alignment horizontal="right"/>
    </xf>
    <xf numFmtId="0" fontId="105" fillId="0" borderId="0" xfId="7" quotePrefix="1" applyFont="1" applyAlignment="1">
      <alignment horizontal="left"/>
    </xf>
    <xf numFmtId="4" fontId="5" fillId="0" borderId="0" xfId="7" quotePrefix="1" applyNumberFormat="1" applyFont="1" applyAlignment="1">
      <alignment horizontal="left"/>
    </xf>
    <xf numFmtId="0" fontId="5" fillId="8" borderId="0" xfId="7" applyFont="1" applyFill="1" applyAlignment="1">
      <alignment horizontal="left"/>
    </xf>
    <xf numFmtId="0" fontId="5" fillId="0" borderId="0" xfId="7" applyFont="1" applyAlignment="1">
      <alignment horizontal="left"/>
    </xf>
    <xf numFmtId="4" fontId="5" fillId="0" borderId="0" xfId="7" applyNumberFormat="1" applyFont="1"/>
    <xf numFmtId="1" fontId="39" fillId="0" borderId="0" xfId="7" applyNumberFormat="1" applyFont="1" applyAlignment="1">
      <alignment horizontal="right"/>
    </xf>
    <xf numFmtId="0" fontId="106" fillId="0" borderId="0" xfId="7" applyFont="1"/>
    <xf numFmtId="4" fontId="39" fillId="3" borderId="0" xfId="7" applyNumberFormat="1" applyFont="1" applyFill="1" applyAlignment="1">
      <alignment horizontal="right"/>
    </xf>
    <xf numFmtId="4" fontId="39" fillId="0" borderId="0" xfId="7" applyNumberFormat="1" applyFont="1" applyAlignment="1">
      <alignment horizontal="right"/>
    </xf>
    <xf numFmtId="0" fontId="39" fillId="8" borderId="0" xfId="7" quotePrefix="1" applyFont="1" applyFill="1" applyAlignment="1">
      <alignment horizontal="left"/>
    </xf>
    <xf numFmtId="164" fontId="9" fillId="8" borderId="0" xfId="7" applyNumberFormat="1" applyFont="1" applyFill="1" applyAlignment="1">
      <alignment horizontal="right"/>
    </xf>
    <xf numFmtId="0" fontId="39" fillId="8" borderId="0" xfId="7" quotePrefix="1" applyFont="1" applyFill="1"/>
    <xf numFmtId="4" fontId="70" fillId="8" borderId="0" xfId="7" applyNumberFormat="1" applyFont="1" applyFill="1"/>
    <xf numFmtId="0" fontId="106" fillId="8" borderId="0" xfId="7" applyFont="1" applyFill="1"/>
    <xf numFmtId="4" fontId="70" fillId="0" borderId="0" xfId="7" applyNumberFormat="1" applyFont="1"/>
    <xf numFmtId="0" fontId="5" fillId="3" borderId="0" xfId="0" applyFont="1" applyFill="1" applyAlignment="1">
      <alignment horizontal="left"/>
    </xf>
    <xf numFmtId="0" fontId="5" fillId="0" borderId="0" xfId="0" applyFont="1"/>
    <xf numFmtId="0" fontId="70" fillId="8" borderId="0" xfId="7" applyFont="1" applyFill="1" applyAlignment="1">
      <alignment horizontal="left"/>
    </xf>
    <xf numFmtId="164" fontId="5" fillId="0" borderId="0" xfId="1" applyFont="1"/>
    <xf numFmtId="4" fontId="9" fillId="8" borderId="0" xfId="7" applyNumberFormat="1" applyFont="1" applyFill="1"/>
    <xf numFmtId="4" fontId="9" fillId="0" borderId="0" xfId="7" applyNumberFormat="1" applyFont="1"/>
    <xf numFmtId="4" fontId="9" fillId="0" borderId="0" xfId="7" applyNumberFormat="1" applyFont="1" applyAlignment="1">
      <alignment horizontal="right"/>
    </xf>
    <xf numFmtId="4" fontId="9" fillId="8" borderId="0" xfId="7" applyNumberFormat="1" applyFont="1" applyFill="1" applyAlignment="1">
      <alignment horizontal="right"/>
    </xf>
    <xf numFmtId="4" fontId="70" fillId="0" borderId="0" xfId="7" applyNumberFormat="1" applyFont="1" applyAlignment="1">
      <alignment horizontal="right"/>
    </xf>
    <xf numFmtId="169" fontId="5" fillId="0" borderId="0" xfId="0" applyNumberFormat="1" applyFont="1"/>
    <xf numFmtId="169" fontId="5" fillId="0" borderId="0" xfId="2" applyNumberFormat="1" applyFont="1" applyBorder="1"/>
    <xf numFmtId="169" fontId="5" fillId="8" borderId="0" xfId="2" applyNumberFormat="1" applyFont="1" applyFill="1" applyBorder="1"/>
    <xf numFmtId="169" fontId="70" fillId="0" borderId="0" xfId="7" applyNumberFormat="1" applyFont="1"/>
    <xf numFmtId="169" fontId="5" fillId="16" borderId="0" xfId="2" applyNumberFormat="1" applyFont="1" applyFill="1" applyBorder="1"/>
    <xf numFmtId="169" fontId="70" fillId="22" borderId="0" xfId="7" applyNumberFormat="1" applyFont="1" applyFill="1"/>
    <xf numFmtId="169" fontId="70" fillId="8" borderId="0" xfId="2" applyNumberFormat="1" applyFont="1" applyFill="1" applyBorder="1"/>
    <xf numFmtId="169" fontId="70" fillId="8" borderId="0" xfId="7" applyNumberFormat="1" applyFont="1" applyFill="1" applyAlignment="1">
      <alignment horizontal="right"/>
    </xf>
    <xf numFmtId="169" fontId="70" fillId="8" borderId="0" xfId="7" applyNumberFormat="1" applyFont="1" applyFill="1"/>
    <xf numFmtId="169" fontId="70" fillId="8" borderId="0" xfId="2" applyNumberFormat="1" applyFont="1" applyFill="1"/>
    <xf numFmtId="169" fontId="5" fillId="8" borderId="0" xfId="0" applyNumberFormat="1" applyFont="1" applyFill="1" applyBorder="1"/>
    <xf numFmtId="169" fontId="5" fillId="8" borderId="0" xfId="7" applyNumberFormat="1" applyFont="1" applyFill="1" applyBorder="1"/>
    <xf numFmtId="169" fontId="70" fillId="0" borderId="0" xfId="7" applyNumberFormat="1" applyFont="1" applyBorder="1"/>
    <xf numFmtId="169" fontId="39" fillId="8" borderId="0" xfId="7" applyNumberFormat="1" applyFont="1" applyFill="1"/>
    <xf numFmtId="169" fontId="71" fillId="0" borderId="0" xfId="7" applyNumberFormat="1" applyFont="1" applyFill="1" applyBorder="1"/>
    <xf numFmtId="4" fontId="5" fillId="0" borderId="0" xfId="0" applyNumberFormat="1" applyFont="1" applyFill="1"/>
    <xf numFmtId="168" fontId="71" fillId="0" borderId="0" xfId="0" applyNumberFormat="1" applyFont="1" applyFill="1" applyBorder="1" applyAlignment="1">
      <alignment horizontal="right"/>
    </xf>
    <xf numFmtId="169" fontId="70" fillId="0" borderId="0" xfId="7" applyNumberFormat="1" applyFont="1" applyFill="1"/>
    <xf numFmtId="169" fontId="5" fillId="8" borderId="0" xfId="2" applyNumberFormat="1" applyFont="1" applyFill="1" applyBorder="1" applyAlignment="1">
      <alignment horizontal="right"/>
    </xf>
    <xf numFmtId="169" fontId="70" fillId="0" borderId="0" xfId="2" applyNumberFormat="1" applyFont="1" applyBorder="1"/>
    <xf numFmtId="169" fontId="95" fillId="0" borderId="0" xfId="2" applyNumberFormat="1" applyFont="1" applyFill="1" applyBorder="1"/>
    <xf numFmtId="169" fontId="70" fillId="0" borderId="0" xfId="2" applyNumberFormat="1" applyFont="1"/>
    <xf numFmtId="4" fontId="39" fillId="8" borderId="0" xfId="7" applyNumberFormat="1" applyFont="1" applyFill="1" applyAlignment="1">
      <alignment horizontal="right"/>
    </xf>
    <xf numFmtId="4" fontId="5" fillId="8" borderId="0" xfId="6" applyNumberFormat="1" applyFont="1" applyFill="1" applyBorder="1" applyAlignment="1">
      <alignment horizontal="right" wrapText="1"/>
    </xf>
    <xf numFmtId="4" fontId="5" fillId="8" borderId="0" xfId="6" applyNumberFormat="1" applyFont="1" applyFill="1" applyBorder="1" applyAlignment="1">
      <alignment horizontal="right"/>
    </xf>
    <xf numFmtId="4" fontId="5" fillId="0" borderId="0" xfId="7" applyNumberFormat="1" applyFont="1" applyFill="1"/>
    <xf numFmtId="4" fontId="70" fillId="0" borderId="0" xfId="5" applyNumberFormat="1" applyFont="1"/>
    <xf numFmtId="4" fontId="95" fillId="0" borderId="0" xfId="7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9" fontId="70" fillId="0" borderId="0" xfId="7" applyNumberFormat="1" applyFont="1" applyFill="1" applyBorder="1"/>
    <xf numFmtId="169" fontId="39" fillId="0" borderId="0" xfId="7" applyNumberFormat="1" applyFont="1" applyFill="1" applyAlignment="1">
      <alignment horizontal="right"/>
    </xf>
    <xf numFmtId="0" fontId="70" fillId="8" borderId="0" xfId="6" applyFont="1" applyFill="1"/>
    <xf numFmtId="10" fontId="5" fillId="0" borderId="0" xfId="12" applyNumberFormat="1" applyFont="1" applyBorder="1" applyAlignment="1"/>
    <xf numFmtId="0" fontId="45" fillId="23" borderId="1" xfId="6" applyFont="1" applyFill="1" applyBorder="1" applyAlignment="1">
      <alignment horizontal="center" vertical="center" wrapText="1"/>
    </xf>
    <xf numFmtId="4" fontId="8" fillId="0" borderId="1" xfId="1" applyNumberFormat="1" applyFont="1" applyBorder="1"/>
    <xf numFmtId="4" fontId="8" fillId="0" borderId="1" xfId="10" applyNumberFormat="1" applyFont="1" applyFill="1" applyBorder="1" applyProtection="1"/>
    <xf numFmtId="3" fontId="54" fillId="3" borderId="1" xfId="6" applyNumberFormat="1" applyFont="1" applyFill="1" applyBorder="1"/>
    <xf numFmtId="4" fontId="8" fillId="0" borderId="1" xfId="9" applyNumberFormat="1" applyFont="1" applyFill="1" applyBorder="1"/>
    <xf numFmtId="4" fontId="107" fillId="0" borderId="1" xfId="0" applyNumberFormat="1" applyFont="1" applyBorder="1"/>
    <xf numFmtId="164" fontId="95" fillId="8" borderId="0" xfId="7" applyNumberFormat="1" applyFont="1" applyFill="1"/>
    <xf numFmtId="4" fontId="95" fillId="0" borderId="0" xfId="0" applyNumberFormat="1" applyFont="1"/>
    <xf numFmtId="0" fontId="107" fillId="3" borderId="6" xfId="0" applyFont="1" applyFill="1" applyBorder="1"/>
    <xf numFmtId="0" fontId="101" fillId="0" borderId="0" xfId="6" applyFont="1"/>
    <xf numFmtId="4" fontId="95" fillId="0" borderId="0" xfId="7" applyNumberFormat="1" applyFont="1"/>
    <xf numFmtId="164" fontId="95" fillId="0" borderId="0" xfId="7" applyNumberFormat="1" applyFont="1"/>
    <xf numFmtId="0" fontId="107" fillId="0" borderId="7" xfId="0" applyFont="1" applyBorder="1"/>
    <xf numFmtId="0" fontId="103" fillId="0" borderId="0" xfId="7" applyFont="1" applyAlignment="1">
      <alignment horizontal="right"/>
    </xf>
    <xf numFmtId="4" fontId="103" fillId="3" borderId="0" xfId="6" applyNumberFormat="1" applyFont="1" applyFill="1"/>
    <xf numFmtId="4" fontId="5" fillId="0" borderId="0" xfId="3" applyNumberFormat="1" applyFont="1"/>
    <xf numFmtId="4" fontId="95" fillId="8" borderId="0" xfId="7" applyNumberFormat="1" applyFont="1" applyFill="1" applyAlignment="1">
      <alignment horizontal="right"/>
    </xf>
    <xf numFmtId="169" fontId="95" fillId="0" borderId="0" xfId="7" applyNumberFormat="1" applyFont="1" applyAlignment="1">
      <alignment horizontal="right"/>
    </xf>
    <xf numFmtId="4" fontId="95" fillId="8" borderId="0" xfId="7" applyNumberFormat="1" applyFont="1" applyFill="1"/>
    <xf numFmtId="4" fontId="95" fillId="0" borderId="0" xfId="0" applyNumberFormat="1" applyFont="1" applyFill="1"/>
    <xf numFmtId="0" fontId="108" fillId="0" borderId="7" xfId="0" applyFont="1" applyBorder="1"/>
    <xf numFmtId="4" fontId="5" fillId="8" borderId="0" xfId="6" applyNumberFormat="1" applyFont="1" applyFill="1"/>
    <xf numFmtId="4" fontId="95" fillId="0" borderId="0" xfId="6" applyNumberFormat="1" applyFont="1"/>
    <xf numFmtId="4" fontId="5" fillId="0" borderId="0" xfId="6" applyNumberFormat="1" applyFont="1"/>
    <xf numFmtId="168" fontId="103" fillId="0" borderId="0" xfId="0" applyNumberFormat="1" applyFont="1" applyFill="1" applyBorder="1" applyAlignment="1">
      <alignment horizontal="right"/>
    </xf>
    <xf numFmtId="4" fontId="103" fillId="0" borderId="0" xfId="0" applyNumberFormat="1" applyFont="1" applyFill="1" applyAlignment="1">
      <alignment horizontal="right"/>
    </xf>
    <xf numFmtId="0" fontId="103" fillId="0" borderId="0" xfId="7" applyFont="1" applyFill="1" applyAlignment="1">
      <alignment horizontal="right"/>
    </xf>
    <xf numFmtId="4" fontId="95" fillId="3" borderId="0" xfId="7" applyNumberFormat="1" applyFont="1" applyFill="1"/>
    <xf numFmtId="0" fontId="95" fillId="8" borderId="0" xfId="7" applyFont="1" applyFill="1"/>
    <xf numFmtId="0" fontId="95" fillId="0" borderId="0" xfId="7" applyFont="1"/>
    <xf numFmtId="4" fontId="95" fillId="3" borderId="0" xfId="7" applyNumberFormat="1" applyFont="1" applyFill="1" applyAlignment="1">
      <alignment horizontal="right"/>
    </xf>
    <xf numFmtId="0" fontId="6" fillId="0" borderId="0" xfId="6" applyFont="1" applyFill="1" applyBorder="1" applyAlignment="1">
      <alignment horizontal="center"/>
    </xf>
    <xf numFmtId="0" fontId="7" fillId="9" borderId="0" xfId="0" applyFont="1" applyFill="1" applyAlignment="1">
      <alignment horizontal="left" vertical="top"/>
    </xf>
    <xf numFmtId="0" fontId="7" fillId="25" borderId="0" xfId="0" applyFont="1" applyFill="1" applyAlignment="1">
      <alignment horizontal="left" vertical="top"/>
    </xf>
    <xf numFmtId="0" fontId="12" fillId="25" borderId="2" xfId="7" applyFont="1" applyFill="1" applyBorder="1" applyAlignment="1">
      <alignment vertical="center"/>
    </xf>
    <xf numFmtId="0" fontId="7" fillId="26" borderId="0" xfId="0" applyFont="1" applyFill="1" applyAlignment="1">
      <alignment horizontal="left" vertical="top"/>
    </xf>
    <xf numFmtId="0" fontId="12" fillId="26" borderId="2" xfId="7" applyFont="1" applyFill="1" applyBorder="1" applyAlignment="1">
      <alignment vertical="center"/>
    </xf>
    <xf numFmtId="0" fontId="7" fillId="9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left" vertical="top"/>
    </xf>
    <xf numFmtId="0" fontId="5" fillId="0" borderId="1" xfId="7" applyFont="1" applyFill="1" applyBorder="1" applyAlignment="1">
      <alignment vertical="top" wrapText="1"/>
    </xf>
    <xf numFmtId="0" fontId="7" fillId="26" borderId="13" xfId="0" applyFont="1" applyFill="1" applyBorder="1" applyAlignment="1">
      <alignment horizontal="left" vertical="top"/>
    </xf>
    <xf numFmtId="0" fontId="12" fillId="26" borderId="3" xfId="7" applyFont="1" applyFill="1" applyBorder="1" applyAlignment="1">
      <alignment vertical="center"/>
    </xf>
    <xf numFmtId="0" fontId="6" fillId="0" borderId="0" xfId="6" applyFont="1" applyFill="1" applyAlignment="1">
      <alignment horizontal="center"/>
    </xf>
    <xf numFmtId="0" fontId="40" fillId="0" borderId="0" xfId="6" applyFont="1" applyFill="1" applyAlignment="1">
      <alignment horizontal="center"/>
    </xf>
    <xf numFmtId="0" fontId="40" fillId="0" borderId="0" xfId="6" applyFont="1" applyFill="1"/>
    <xf numFmtId="4" fontId="8" fillId="8" borderId="0" xfId="0" applyNumberFormat="1" applyFont="1" applyFill="1"/>
    <xf numFmtId="164" fontId="103" fillId="3" borderId="0" xfId="6" applyNumberFormat="1" applyFont="1" applyFill="1"/>
    <xf numFmtId="4" fontId="8" fillId="8" borderId="0" xfId="0" applyNumberFormat="1" applyFont="1" applyFill="1" applyAlignment="1">
      <alignment horizontal="center"/>
    </xf>
    <xf numFmtId="0" fontId="76" fillId="10" borderId="0" xfId="0" applyFont="1" applyFill="1" applyAlignment="1">
      <alignment horizontal="left"/>
    </xf>
    <xf numFmtId="0" fontId="40" fillId="0" borderId="2" xfId="3" applyNumberFormat="1" applyFont="1" applyBorder="1"/>
    <xf numFmtId="164" fontId="40" fillId="0" borderId="2" xfId="3" applyNumberFormat="1" applyFont="1" applyBorder="1"/>
    <xf numFmtId="4" fontId="71" fillId="25" borderId="2" xfId="6" applyNumberFormat="1" applyFont="1" applyFill="1" applyBorder="1"/>
    <xf numFmtId="4" fontId="71" fillId="26" borderId="2" xfId="6" applyNumberFormat="1" applyFont="1" applyFill="1" applyBorder="1"/>
    <xf numFmtId="4" fontId="71" fillId="26" borderId="3" xfId="6" applyNumberFormat="1" applyFont="1" applyFill="1" applyBorder="1"/>
    <xf numFmtId="0" fontId="71" fillId="0" borderId="1" xfId="7" applyFont="1" applyFill="1" applyBorder="1" applyAlignment="1">
      <alignment vertical="center"/>
    </xf>
    <xf numFmtId="164" fontId="95" fillId="3" borderId="0" xfId="6" applyNumberFormat="1" applyFont="1" applyFill="1"/>
    <xf numFmtId="169" fontId="0" fillId="12" borderId="1" xfId="0" applyNumberFormat="1" applyFill="1" applyBorder="1"/>
    <xf numFmtId="0" fontId="7" fillId="12" borderId="1" xfId="0" applyFont="1" applyFill="1" applyBorder="1"/>
    <xf numFmtId="0" fontId="0" fillId="22" borderId="1" xfId="0" applyFill="1" applyBorder="1"/>
    <xf numFmtId="169" fontId="0" fillId="22" borderId="1" xfId="0" applyNumberFormat="1" applyFill="1" applyBorder="1"/>
    <xf numFmtId="0" fontId="5" fillId="22" borderId="1" xfId="55" applyFont="1" applyFill="1" applyBorder="1" applyAlignment="1">
      <alignment horizontal="left"/>
    </xf>
    <xf numFmtId="164" fontId="8" fillId="22" borderId="1" xfId="2" applyFont="1" applyFill="1" applyBorder="1"/>
    <xf numFmtId="169" fontId="5" fillId="22" borderId="1" xfId="55" applyNumberFormat="1" applyFont="1" applyFill="1" applyBorder="1"/>
    <xf numFmtId="4" fontId="5" fillId="22" borderId="0" xfId="7" applyNumberFormat="1" applyFont="1" applyFill="1"/>
    <xf numFmtId="4" fontId="39" fillId="22" borderId="0" xfId="7" applyNumberFormat="1" applyFont="1" applyFill="1"/>
    <xf numFmtId="0" fontId="39" fillId="22" borderId="0" xfId="7" quotePrefix="1" applyFont="1" applyFill="1"/>
    <xf numFmtId="4" fontId="70" fillId="22" borderId="0" xfId="7" applyNumberFormat="1" applyFont="1" applyFill="1"/>
    <xf numFmtId="4" fontId="5" fillId="22" borderId="0" xfId="0" applyNumberFormat="1" applyFont="1" applyFill="1"/>
    <xf numFmtId="4" fontId="109" fillId="0" borderId="0" xfId="7" applyNumberFormat="1" applyFont="1"/>
    <xf numFmtId="4" fontId="110" fillId="0" borderId="0" xfId="2" applyNumberFormat="1" applyFont="1"/>
    <xf numFmtId="4" fontId="1" fillId="22" borderId="0" xfId="7" applyNumberFormat="1" applyFont="1" applyFill="1" applyBorder="1"/>
    <xf numFmtId="0" fontId="1" fillId="22" borderId="0" xfId="7" applyFont="1" applyFill="1"/>
    <xf numFmtId="4" fontId="7" fillId="22" borderId="0" xfId="0" applyNumberFormat="1" applyFont="1" applyFill="1" applyBorder="1"/>
    <xf numFmtId="4" fontId="7" fillId="22" borderId="0" xfId="0" quotePrefix="1" applyNumberFormat="1" applyFont="1" applyFill="1" applyBorder="1"/>
    <xf numFmtId="173" fontId="88" fillId="12" borderId="1" xfId="0" applyNumberFormat="1" applyFont="1" applyFill="1" applyBorder="1"/>
    <xf numFmtId="173" fontId="0" fillId="12" borderId="1" xfId="0" applyNumberFormat="1" applyFill="1" applyBorder="1"/>
    <xf numFmtId="173" fontId="7" fillId="0" borderId="1" xfId="0" applyNumberFormat="1" applyFont="1" applyBorder="1"/>
    <xf numFmtId="173" fontId="7" fillId="0" borderId="1" xfId="0" applyNumberFormat="1" applyFont="1" applyFill="1" applyBorder="1" applyAlignment="1">
      <alignment horizontal="right" vertical="top" wrapText="1"/>
    </xf>
    <xf numFmtId="173" fontId="7" fillId="8" borderId="1" xfId="0" applyNumberFormat="1" applyFont="1" applyFill="1" applyBorder="1" applyAlignment="1">
      <alignment horizontal="right"/>
    </xf>
    <xf numFmtId="173" fontId="0" fillId="0" borderId="1" xfId="0" applyNumberFormat="1" applyBorder="1"/>
    <xf numFmtId="173" fontId="18" fillId="0" borderId="1" xfId="0" applyNumberFormat="1" applyFont="1" applyFill="1" applyBorder="1" applyAlignment="1">
      <alignment horizontal="right" vertical="top" wrapText="1"/>
    </xf>
    <xf numFmtId="173" fontId="8" fillId="0" borderId="1" xfId="3" applyNumberFormat="1" applyFont="1" applyBorder="1"/>
    <xf numFmtId="173" fontId="8" fillId="0" borderId="0" xfId="0" applyNumberFormat="1" applyFont="1"/>
    <xf numFmtId="173" fontId="8" fillId="22" borderId="1" xfId="3" applyNumberFormat="1" applyFont="1" applyFill="1" applyBorder="1"/>
    <xf numFmtId="173" fontId="102" fillId="0" borderId="0" xfId="0" applyNumberFormat="1" applyFont="1"/>
    <xf numFmtId="173" fontId="8" fillId="0" borderId="2" xfId="7" applyNumberFormat="1" applyFont="1" applyFill="1" applyBorder="1"/>
    <xf numFmtId="173" fontId="71" fillId="0" borderId="2" xfId="7" applyNumberFormat="1" applyFont="1" applyFill="1" applyBorder="1"/>
    <xf numFmtId="173" fontId="71" fillId="0" borderId="9" xfId="7" applyNumberFormat="1" applyFont="1" applyFill="1" applyBorder="1"/>
    <xf numFmtId="173" fontId="71" fillId="0" borderId="2" xfId="7" applyNumberFormat="1" applyFont="1" applyBorder="1"/>
    <xf numFmtId="173" fontId="71" fillId="0" borderId="9" xfId="7" applyNumberFormat="1" applyFont="1" applyBorder="1"/>
    <xf numFmtId="173" fontId="71" fillId="0" borderId="2" xfId="6" applyNumberFormat="1" applyFont="1" applyFill="1" applyBorder="1"/>
    <xf numFmtId="173" fontId="71" fillId="0" borderId="9" xfId="6" applyNumberFormat="1" applyFont="1" applyFill="1" applyBorder="1"/>
    <xf numFmtId="0" fontId="71" fillId="0" borderId="0" xfId="7" applyFont="1" applyAlignment="1">
      <alignment horizontal="center"/>
    </xf>
    <xf numFmtId="0" fontId="6" fillId="0" borderId="0" xfId="7" applyFont="1" applyAlignment="1">
      <alignment horizontal="center"/>
    </xf>
    <xf numFmtId="0" fontId="6" fillId="0" borderId="0" xfId="6" applyFont="1" applyAlignment="1">
      <alignment horizontal="center"/>
    </xf>
    <xf numFmtId="0" fontId="71" fillId="0" borderId="0" xfId="6" applyFont="1" applyAlignment="1">
      <alignment horizontal="center"/>
    </xf>
    <xf numFmtId="0" fontId="6" fillId="0" borderId="0" xfId="6" applyFont="1" applyAlignment="1">
      <alignment horizontal="center" wrapText="1"/>
    </xf>
    <xf numFmtId="17" fontId="79" fillId="0" borderId="0" xfId="6" applyNumberFormat="1" applyFont="1" applyBorder="1" applyAlignment="1">
      <alignment horizontal="center"/>
    </xf>
    <xf numFmtId="0" fontId="101" fillId="23" borderId="1" xfId="6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center"/>
    </xf>
    <xf numFmtId="0" fontId="6" fillId="2" borderId="5" xfId="6" applyFont="1" applyFill="1" applyBorder="1" applyAlignment="1">
      <alignment horizontal="center"/>
    </xf>
    <xf numFmtId="0" fontId="40" fillId="0" borderId="0" xfId="6" applyFont="1" applyAlignment="1">
      <alignment horizontal="center"/>
    </xf>
    <xf numFmtId="0" fontId="65" fillId="21" borderId="4" xfId="0" applyFont="1" applyFill="1" applyBorder="1" applyAlignment="1">
      <alignment horizontal="center" wrapText="1"/>
    </xf>
    <xf numFmtId="0" fontId="65" fillId="21" borderId="5" xfId="0" applyFont="1" applyFill="1" applyBorder="1" applyAlignment="1">
      <alignment horizontal="center" wrapText="1"/>
    </xf>
    <xf numFmtId="14" fontId="67" fillId="0" borderId="0" xfId="6" applyNumberFormat="1" applyFill="1" applyBorder="1" applyAlignment="1">
      <alignment horizontal="center"/>
    </xf>
    <xf numFmtId="17" fontId="67" fillId="0" borderId="0" xfId="6" applyNumberFormat="1" applyFill="1" applyBorder="1" applyAlignment="1">
      <alignment horizontal="center"/>
    </xf>
    <xf numFmtId="0" fontId="6" fillId="2" borderId="8" xfId="6" applyFont="1" applyFill="1" applyBorder="1" applyAlignment="1">
      <alignment horizontal="center" vertical="center"/>
    </xf>
    <xf numFmtId="0" fontId="6" fillId="2" borderId="3" xfId="6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top" wrapText="1"/>
    </xf>
    <xf numFmtId="0" fontId="19" fillId="3" borderId="3" xfId="0" applyFont="1" applyFill="1" applyBorder="1" applyAlignment="1">
      <alignment horizontal="left" vertical="top" wrapText="1"/>
    </xf>
    <xf numFmtId="0" fontId="56" fillId="16" borderId="8" xfId="6" applyFont="1" applyFill="1" applyBorder="1" applyAlignment="1">
      <alignment horizontal="center" vertical="center"/>
    </xf>
    <xf numFmtId="0" fontId="56" fillId="16" borderId="3" xfId="6" applyFont="1" applyFill="1" applyBorder="1" applyAlignment="1">
      <alignment horizontal="center" vertical="center"/>
    </xf>
    <xf numFmtId="0" fontId="6" fillId="16" borderId="4" xfId="6" applyFont="1" applyFill="1" applyBorder="1" applyAlignment="1">
      <alignment horizontal="center" vertical="center"/>
    </xf>
    <xf numFmtId="0" fontId="6" fillId="16" borderId="5" xfId="6" applyFont="1" applyFill="1" applyBorder="1" applyAlignment="1">
      <alignment horizontal="center" vertical="center"/>
    </xf>
    <xf numFmtId="0" fontId="6" fillId="16" borderId="1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/>
    </xf>
    <xf numFmtId="0" fontId="99" fillId="23" borderId="4" xfId="6" applyFont="1" applyFill="1" applyBorder="1" applyAlignment="1">
      <alignment horizontal="center" wrapText="1"/>
    </xf>
    <xf numFmtId="0" fontId="99" fillId="23" borderId="5" xfId="6" applyFont="1" applyFill="1" applyBorder="1" applyAlignment="1">
      <alignment horizontal="center" wrapText="1"/>
    </xf>
    <xf numFmtId="0" fontId="6" fillId="4" borderId="4" xfId="6" applyFont="1" applyFill="1" applyBorder="1" applyAlignment="1">
      <alignment horizontal="center"/>
    </xf>
    <xf numFmtId="0" fontId="6" fillId="4" borderId="5" xfId="6" applyFont="1" applyFill="1" applyBorder="1" applyAlignment="1">
      <alignment horizontal="center"/>
    </xf>
    <xf numFmtId="173" fontId="71" fillId="0" borderId="2" xfId="6" applyNumberFormat="1" applyFont="1" applyBorder="1"/>
  </cellXfs>
  <cellStyles count="67">
    <cellStyle name="Cancel" xfId="32"/>
    <cellStyle name="Millares" xfId="1" builtinId="3"/>
    <cellStyle name="Millares 15" xfId="2"/>
    <cellStyle name="Millares 15 2" xfId="23"/>
    <cellStyle name="Millares 15 3" xfId="15"/>
    <cellStyle name="Millares 2" xfId="3"/>
    <cellStyle name="Millares 2 2" xfId="24"/>
    <cellStyle name="Millares 2 3" xfId="16"/>
    <cellStyle name="Millares 3" xfId="22"/>
    <cellStyle name="Millares 4" xfId="36"/>
    <cellStyle name="Millares 4 2" xfId="66"/>
    <cellStyle name="Millares 4 3" xfId="51"/>
    <cellStyle name="Millares 5" xfId="14"/>
    <cellStyle name="Normal" xfId="0" builtinId="0"/>
    <cellStyle name="Normal 2" xfId="4"/>
    <cellStyle name="Normal 2 15" xfId="5"/>
    <cellStyle name="Normal 2 15 2" xfId="26"/>
    <cellStyle name="Normal 2 15 2 2" xfId="62"/>
    <cellStyle name="Normal 2 15 2 3" xfId="47"/>
    <cellStyle name="Normal 2 15 3" xfId="18"/>
    <cellStyle name="Normal 2 15 3 2" xfId="57"/>
    <cellStyle name="Normal 2 15 3 3" xfId="42"/>
    <cellStyle name="Normal 2 15 4" xfId="53"/>
    <cellStyle name="Normal 2 15 5" xfId="38"/>
    <cellStyle name="Normal 2 2" xfId="6"/>
    <cellStyle name="Normal 2 2 2" xfId="31"/>
    <cellStyle name="Normal 2 2 2 2" xfId="21"/>
    <cellStyle name="Normal 2 2 2 2 2" xfId="60"/>
    <cellStyle name="Normal 2 2 2 2 3" xfId="45"/>
    <cellStyle name="Normal 2 2 3" xfId="27"/>
    <cellStyle name="Normal 2 2 3 2" xfId="63"/>
    <cellStyle name="Normal 2 2 3 3" xfId="48"/>
    <cellStyle name="Normal 2 2 4" xfId="29"/>
    <cellStyle name="Normal 2 2 5" xfId="19"/>
    <cellStyle name="Normal 2 2 5 2" xfId="58"/>
    <cellStyle name="Normal 2 2 5 3" xfId="43"/>
    <cellStyle name="Normal 2 2 6" xfId="54"/>
    <cellStyle name="Normal 2 2 7" xfId="39"/>
    <cellStyle name="Normal 2 3" xfId="25"/>
    <cellStyle name="Normal 2 3 2" xfId="61"/>
    <cellStyle name="Normal 2 3 3" xfId="46"/>
    <cellStyle name="Normal 2 4" xfId="30"/>
    <cellStyle name="Normal 2 5" xfId="17"/>
    <cellStyle name="Normal 2 5 2" xfId="56"/>
    <cellStyle name="Normal 2 5 3" xfId="41"/>
    <cellStyle name="Normal 2 6" xfId="52"/>
    <cellStyle name="Normal 2 7" xfId="37"/>
    <cellStyle name="Normal 3" xfId="7"/>
    <cellStyle name="Normal 3 2" xfId="28"/>
    <cellStyle name="Normal 3 2 2" xfId="64"/>
    <cellStyle name="Normal 3 2 3" xfId="49"/>
    <cellStyle name="Normal 3 3" xfId="20"/>
    <cellStyle name="Normal 3 3 2" xfId="59"/>
    <cellStyle name="Normal 3 3 3" xfId="44"/>
    <cellStyle name="Normal 3 4" xfId="55"/>
    <cellStyle name="Normal 3 5" xfId="40"/>
    <cellStyle name="Normal 4" xfId="33"/>
    <cellStyle name="Normal 5" xfId="8"/>
    <cellStyle name="Normal 5 3" xfId="9"/>
    <cellStyle name="Normal 6" xfId="13"/>
    <cellStyle name="Normal 7" xfId="10"/>
    <cellStyle name="Normal_ANEXO 15 - B 2001" xfId="11"/>
    <cellStyle name="Porcentaje 2" xfId="35"/>
    <cellStyle name="Porcentaje 3" xfId="34"/>
    <cellStyle name="Porcentaje 3 2" xfId="65"/>
    <cellStyle name="Porcentaje 3 3" xfId="50"/>
    <cellStyle name="Porcentual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6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4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5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7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316706</xdr:colOff>
      <xdr:row>4</xdr:row>
      <xdr:rowOff>5442</xdr:rowOff>
    </xdr:to>
    <xdr:pic>
      <xdr:nvPicPr>
        <xdr:cNvPr id="39531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1111623</xdr:colOff>
      <xdr:row>20</xdr:row>
      <xdr:rowOff>54908</xdr:rowOff>
    </xdr:to>
    <xdr:pic>
      <xdr:nvPicPr>
        <xdr:cNvPr id="23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9223561" y="3829049"/>
          <a:ext cx="6119533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85725</xdr:rowOff>
    </xdr:from>
    <xdr:to>
      <xdr:col>1</xdr:col>
      <xdr:colOff>179293</xdr:colOff>
      <xdr:row>4</xdr:row>
      <xdr:rowOff>114300</xdr:rowOff>
    </xdr:to>
    <xdr:pic>
      <xdr:nvPicPr>
        <xdr:cNvPr id="4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85725"/>
          <a:ext cx="1026459" cy="88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0</xdr:col>
      <xdr:colOff>762000</xdr:colOff>
      <xdr:row>3</xdr:row>
      <xdr:rowOff>133350</xdr:rowOff>
    </xdr:to>
    <xdr:pic>
      <xdr:nvPicPr>
        <xdr:cNvPr id="13238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5"/>
          <a:ext cx="7239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-SBS\Meta%202010\Herencia\Norma%20gesti&#243;n%20riesgo%20de%20liquidez\EIC%20-%20indicadores%20de%20liquidez\Final\EIC%20-%20Riesgo%20de%20liquide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ámetros"/>
      <sheetName val="RCL Jun-08"/>
      <sheetName val="RCL Sep-08"/>
      <sheetName val="RCL Jun-09"/>
      <sheetName val="RCL Jun-10"/>
      <sheetName val="RCL Dic-10"/>
      <sheetName val="RCL Mar-11"/>
      <sheetName val="RFNE Jun-08"/>
      <sheetName val="RFNE Sep-08"/>
      <sheetName val="RFNE Jun-09"/>
      <sheetName val="RFNE Jun-10"/>
      <sheetName val="RFNE Dic-10"/>
      <sheetName val="RFNE Mar-11"/>
    </sheetNames>
    <sheetDataSet>
      <sheetData sheetId="0">
        <row r="9">
          <cell r="C9">
            <v>2.9660000000000002</v>
          </cell>
        </row>
        <row r="12">
          <cell r="C12">
            <v>2.8260000000000001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1"/>
  <sheetViews>
    <sheetView showGridLines="0" topLeftCell="A22" zoomScale="80" zoomScaleNormal="80" workbookViewId="0">
      <selection activeCell="Z120" sqref="Z120"/>
    </sheetView>
  </sheetViews>
  <sheetFormatPr baseColWidth="10" defaultRowHeight="15"/>
  <cols>
    <col min="1" max="1" width="16.5703125" style="21" customWidth="1"/>
    <col min="2" max="2" width="70.7109375" style="22" customWidth="1"/>
    <col min="3" max="3" width="13.42578125" style="23" bestFit="1" customWidth="1"/>
    <col min="4" max="4" width="12.42578125" style="23" bestFit="1" customWidth="1"/>
    <col min="5" max="5" width="12.85546875" style="23" bestFit="1" customWidth="1"/>
    <col min="6" max="8" width="12.28515625" style="23" bestFit="1" customWidth="1"/>
    <col min="9" max="10" width="12.85546875" style="23" bestFit="1" customWidth="1"/>
    <col min="11" max="11" width="18.85546875" style="23" customWidth="1"/>
    <col min="12" max="12" width="20" style="23" customWidth="1"/>
    <col min="13" max="13" width="15.28515625" style="23" customWidth="1"/>
    <col min="14" max="14" width="13.28515625" style="23" bestFit="1" customWidth="1"/>
    <col min="15" max="15" width="4.28515625" style="23" customWidth="1"/>
    <col min="16" max="16" width="16.42578125" style="23" customWidth="1"/>
    <col min="17" max="17" width="25.7109375" style="211" customWidth="1"/>
    <col min="18" max="18" width="15.42578125" style="23" customWidth="1"/>
    <col min="19" max="19" width="15.28515625" style="23" bestFit="1" customWidth="1"/>
    <col min="20" max="20" width="13.85546875" style="23" bestFit="1" customWidth="1"/>
    <col min="21" max="21" width="13" style="23" bestFit="1" customWidth="1"/>
    <col min="22" max="22" width="17.28515625" style="23" customWidth="1"/>
    <col min="23" max="23" width="19.5703125" style="23" customWidth="1"/>
    <col min="24" max="24" width="16" style="23" customWidth="1"/>
    <col min="25" max="26" width="16.28515625" style="66" customWidth="1"/>
    <col min="27" max="16384" width="11.42578125" style="66"/>
  </cols>
  <sheetData>
    <row r="1" spans="1:26" s="59" customFormat="1" ht="16.5">
      <c r="A1" s="852" t="s">
        <v>9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189"/>
      <c r="Q1" s="247" t="s">
        <v>282</v>
      </c>
      <c r="R1" s="593" t="s">
        <v>557</v>
      </c>
      <c r="S1" s="468"/>
      <c r="T1" s="468"/>
      <c r="U1" s="468"/>
      <c r="V1" s="468"/>
      <c r="W1" s="468"/>
      <c r="X1" s="468"/>
      <c r="Y1" s="218"/>
      <c r="Z1" s="218"/>
    </row>
    <row r="2" spans="1:26" s="59" customFormat="1" ht="16.5">
      <c r="A2" s="852" t="s">
        <v>10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189"/>
      <c r="Q2" s="192" t="s">
        <v>283</v>
      </c>
      <c r="R2" s="592">
        <v>92459563.390000001</v>
      </c>
      <c r="S2" s="468"/>
      <c r="T2" s="468"/>
      <c r="U2" s="535"/>
      <c r="V2" s="687" t="s">
        <v>290</v>
      </c>
      <c r="W2" s="618" t="s">
        <v>291</v>
      </c>
      <c r="X2" s="618" t="s">
        <v>226</v>
      </c>
      <c r="Y2" s="536"/>
      <c r="Z2" s="218"/>
    </row>
    <row r="3" spans="1:26" s="59" customFormat="1" ht="16.5">
      <c r="A3" s="1"/>
      <c r="B3" s="2"/>
      <c r="C3" s="4"/>
      <c r="D3" s="4"/>
      <c r="E3" s="4"/>
      <c r="F3" s="4"/>
      <c r="G3" s="4"/>
      <c r="H3" s="4"/>
      <c r="I3" s="4"/>
      <c r="J3" s="4"/>
      <c r="K3" s="49"/>
      <c r="L3" s="49"/>
      <c r="M3" s="49"/>
      <c r="N3" s="4"/>
      <c r="O3" s="189"/>
      <c r="Q3" s="189" t="s">
        <v>284</v>
      </c>
      <c r="R3" s="741">
        <v>3.7570000000000001</v>
      </c>
      <c r="S3" s="468"/>
      <c r="T3" s="468"/>
      <c r="U3" s="536">
        <v>1111</v>
      </c>
      <c r="V3" s="537"/>
      <c r="W3" s="688">
        <f t="shared" ref="W3:W6" si="0">+X3-V3</f>
        <v>7777451.4900000002</v>
      </c>
      <c r="X3" s="740">
        <v>7777451.4900000002</v>
      </c>
      <c r="Y3" s="536"/>
      <c r="Z3" s="218"/>
    </row>
    <row r="4" spans="1:26" s="59" customFormat="1" ht="16.5">
      <c r="A4" s="310"/>
      <c r="B4" s="310" t="s">
        <v>556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189"/>
      <c r="Q4" s="192" t="s">
        <v>285</v>
      </c>
      <c r="R4" s="592">
        <v>24609945.010000002</v>
      </c>
      <c r="S4" s="468"/>
      <c r="T4" s="468"/>
      <c r="U4" s="536">
        <v>1112</v>
      </c>
      <c r="V4" s="537">
        <v>21600000</v>
      </c>
      <c r="W4" s="537">
        <f t="shared" si="0"/>
        <v>5648337.8299999982</v>
      </c>
      <c r="X4" s="537">
        <v>27248337.829999998</v>
      </c>
      <c r="Y4" s="536"/>
      <c r="Z4" s="218"/>
    </row>
    <row r="5" spans="1:26" s="59" customFormat="1" ht="16.5">
      <c r="A5" s="851" t="s">
        <v>437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  <c r="M5" s="851"/>
      <c r="N5" s="851"/>
      <c r="O5" s="189"/>
      <c r="P5" s="189"/>
      <c r="Q5" s="195"/>
      <c r="R5" s="468"/>
      <c r="S5" s="468"/>
      <c r="T5" s="468"/>
      <c r="U5" s="536">
        <v>1113</v>
      </c>
      <c r="V5" s="537">
        <v>31001840.539999999</v>
      </c>
      <c r="W5" s="537">
        <f t="shared" si="0"/>
        <v>4368626.3599999994</v>
      </c>
      <c r="X5" s="537">
        <v>35370466.899999999</v>
      </c>
      <c r="Y5" s="536"/>
      <c r="Z5" s="218"/>
    </row>
    <row r="6" spans="1:26" s="59" customFormat="1" ht="16.5">
      <c r="A6" s="1"/>
      <c r="B6" s="4"/>
      <c r="C6" s="248"/>
      <c r="D6" s="248"/>
      <c r="E6" s="248"/>
      <c r="F6" s="248"/>
      <c r="G6" s="248"/>
      <c r="H6" s="4"/>
      <c r="I6" s="4"/>
      <c r="J6" s="248"/>
      <c r="K6" s="4"/>
      <c r="L6" s="4"/>
      <c r="M6" s="4"/>
      <c r="N6" s="4"/>
      <c r="O6" s="189"/>
      <c r="P6" s="189"/>
      <c r="S6" s="507"/>
      <c r="T6" s="507"/>
      <c r="U6" s="536">
        <v>1115</v>
      </c>
      <c r="V6" s="599"/>
      <c r="W6" s="537">
        <f t="shared" si="0"/>
        <v>12975.38</v>
      </c>
      <c r="X6" s="537">
        <v>12975.38</v>
      </c>
      <c r="Y6" s="689"/>
      <c r="Z6" s="218"/>
    </row>
    <row r="7" spans="1:26" s="59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499" t="s">
        <v>20</v>
      </c>
      <c r="O7" s="189"/>
      <c r="Q7" s="198" t="s">
        <v>421</v>
      </c>
      <c r="R7" s="771" t="s">
        <v>286</v>
      </c>
      <c r="S7" s="189"/>
      <c r="T7" s="195"/>
      <c r="U7" s="634">
        <v>1116</v>
      </c>
      <c r="V7" s="537"/>
      <c r="W7" s="537">
        <f>+X7-V7</f>
        <v>0</v>
      </c>
      <c r="X7" s="537">
        <v>0</v>
      </c>
      <c r="Y7" s="599"/>
      <c r="Z7" s="218"/>
    </row>
    <row r="8" spans="1:26" s="59" customFormat="1" ht="16.5">
      <c r="A8" s="1"/>
      <c r="B8" s="6" t="s">
        <v>21</v>
      </c>
      <c r="C8" s="7"/>
      <c r="D8" s="7"/>
      <c r="E8" s="7"/>
      <c r="F8" s="7"/>
      <c r="G8" s="7"/>
      <c r="H8" s="7"/>
      <c r="I8" s="7"/>
      <c r="J8" s="7"/>
      <c r="K8" s="7"/>
      <c r="L8" s="7"/>
      <c r="M8" s="484"/>
      <c r="N8" s="500"/>
      <c r="O8" s="468"/>
      <c r="P8" s="693" t="s">
        <v>414</v>
      </c>
      <c r="Q8" s="694">
        <f>+Y13</f>
        <v>70457330.030000001</v>
      </c>
      <c r="R8" s="682"/>
      <c r="S8" s="189"/>
      <c r="T8" s="189"/>
      <c r="U8" s="634">
        <v>111701</v>
      </c>
      <c r="V8" s="601"/>
      <c r="W8" s="537">
        <f>+X8-V8</f>
        <v>37400</v>
      </c>
      <c r="X8" s="537">
        <v>37400</v>
      </c>
      <c r="Y8" s="601"/>
      <c r="Z8" s="218"/>
    </row>
    <row r="9" spans="1:26" s="59" customFormat="1" ht="16.5">
      <c r="A9" s="8" t="s">
        <v>22</v>
      </c>
      <c r="B9" s="9" t="s">
        <v>23</v>
      </c>
      <c r="C9" s="844">
        <v>31101111.809999999</v>
      </c>
      <c r="D9" s="845">
        <v>11500728.73</v>
      </c>
      <c r="E9" s="845">
        <v>6000000</v>
      </c>
      <c r="F9" s="845"/>
      <c r="G9" s="845">
        <v>4000000</v>
      </c>
      <c r="H9" s="845"/>
      <c r="I9" s="845">
        <v>4000000</v>
      </c>
      <c r="J9" s="845"/>
      <c r="K9" s="845"/>
      <c r="L9" s="845"/>
      <c r="M9" s="846"/>
      <c r="N9" s="61">
        <f>SUM(C9:M9)</f>
        <v>56601840.539999999</v>
      </c>
      <c r="O9" s="486"/>
      <c r="P9" s="693">
        <v>1113</v>
      </c>
      <c r="Q9" s="694">
        <f>+V5+V4</f>
        <v>52601840.539999999</v>
      </c>
      <c r="R9" s="769">
        <f>+Q9-N9</f>
        <v>-4000000</v>
      </c>
      <c r="S9" s="694">
        <f>+Q8-Q9</f>
        <v>17855489.490000002</v>
      </c>
      <c r="T9" s="777">
        <f>+S9-Q64</f>
        <v>0</v>
      </c>
      <c r="U9" s="536">
        <v>1118</v>
      </c>
      <c r="V9" s="535"/>
      <c r="W9" s="537">
        <f>+X9-V9</f>
        <v>10698.43</v>
      </c>
      <c r="X9" s="537">
        <v>10698.43</v>
      </c>
      <c r="Y9" s="536"/>
      <c r="Z9" s="218"/>
    </row>
    <row r="10" spans="1:26" s="59" customFormat="1" ht="17.25" customHeight="1">
      <c r="A10" s="11">
        <v>1210</v>
      </c>
      <c r="B10" s="10" t="s">
        <v>24</v>
      </c>
      <c r="C10" s="303"/>
      <c r="D10" s="67"/>
      <c r="E10" s="67"/>
      <c r="F10" s="67"/>
      <c r="G10" s="67"/>
      <c r="H10" s="67"/>
      <c r="I10" s="67"/>
      <c r="J10" s="67"/>
      <c r="K10" s="67"/>
      <c r="L10" s="67"/>
      <c r="M10" s="487"/>
      <c r="N10" s="61">
        <f t="shared" ref="N10:N47" si="1">SUM(C10:M10)</f>
        <v>0</v>
      </c>
      <c r="O10" s="468"/>
      <c r="P10" s="536" t="s">
        <v>288</v>
      </c>
      <c r="Q10" s="694" t="s">
        <v>293</v>
      </c>
      <c r="R10" s="683"/>
      <c r="S10" s="537"/>
      <c r="T10" s="777">
        <f>+S9-W10</f>
        <v>0</v>
      </c>
      <c r="U10" s="535"/>
      <c r="V10" s="690">
        <f>SUM(V3:V9)</f>
        <v>52601840.539999999</v>
      </c>
      <c r="W10" s="690">
        <f>SUM(W3:W9)</f>
        <v>17855489.489999998</v>
      </c>
      <c r="X10" s="690">
        <f>SUM(X3:X9)</f>
        <v>70457330.030000001</v>
      </c>
      <c r="Y10" s="536"/>
      <c r="Z10" s="218"/>
    </row>
    <row r="11" spans="1:26" s="59" customFormat="1" ht="17.25" customHeight="1">
      <c r="A11" s="12" t="s">
        <v>128</v>
      </c>
      <c r="B11" s="10" t="s">
        <v>25</v>
      </c>
      <c r="C11" s="847">
        <v>11069014.82</v>
      </c>
      <c r="D11" s="847">
        <v>513006.13</v>
      </c>
      <c r="E11" s="847"/>
      <c r="F11" s="847"/>
      <c r="G11" s="847"/>
      <c r="H11" s="847"/>
      <c r="I11" s="847"/>
      <c r="J11" s="847"/>
      <c r="K11" s="847"/>
      <c r="L11" s="847">
        <v>1003010.2</v>
      </c>
      <c r="M11" s="848"/>
      <c r="N11" s="61">
        <f t="shared" si="1"/>
        <v>12585031.15</v>
      </c>
      <c r="O11" s="468"/>
      <c r="P11" s="693">
        <v>1314</v>
      </c>
      <c r="Q11" s="694">
        <v>11573759</v>
      </c>
      <c r="R11" s="764">
        <f t="shared" ref="R11:R42" si="2">+Q11-N11</f>
        <v>-1011272.1500000004</v>
      </c>
      <c r="S11" s="719"/>
      <c r="T11" s="189"/>
      <c r="U11" s="536"/>
      <c r="V11" s="537">
        <f>+V10-Q9</f>
        <v>0</v>
      </c>
      <c r="W11" s="537">
        <f>+W10-N64</f>
        <v>0</v>
      </c>
      <c r="X11" s="765">
        <f>+Q9+Q64-X10</f>
        <v>0</v>
      </c>
      <c r="Y11" s="536"/>
      <c r="Z11" s="218"/>
    </row>
    <row r="12" spans="1:26" s="59" customFormat="1" ht="17.25" customHeight="1">
      <c r="A12" s="13" t="s">
        <v>129</v>
      </c>
      <c r="B12" s="10" t="s">
        <v>26</v>
      </c>
      <c r="C12" s="67"/>
      <c r="D12" s="67"/>
      <c r="E12" s="67"/>
      <c r="F12" s="67"/>
      <c r="G12" s="67"/>
      <c r="H12" s="67"/>
      <c r="I12" s="67"/>
      <c r="J12" s="67">
        <v>113349.12</v>
      </c>
      <c r="K12" s="67"/>
      <c r="L12" s="67"/>
      <c r="M12" s="487"/>
      <c r="N12" s="61">
        <f t="shared" si="1"/>
        <v>113349.12</v>
      </c>
      <c r="O12" s="486"/>
      <c r="P12" s="693">
        <v>1315</v>
      </c>
      <c r="Q12" s="694">
        <v>113349.12</v>
      </c>
      <c r="R12" s="769">
        <f t="shared" si="2"/>
        <v>0</v>
      </c>
      <c r="S12" s="508"/>
      <c r="T12" s="217"/>
      <c r="U12" s="197"/>
      <c r="V12" s="197"/>
      <c r="W12" s="197"/>
      <c r="X12" s="197"/>
      <c r="Y12" s="197"/>
      <c r="Z12" s="218"/>
    </row>
    <row r="13" spans="1:26" s="59" customFormat="1" ht="17.25" customHeight="1">
      <c r="A13" s="8" t="s">
        <v>172</v>
      </c>
      <c r="B13" s="9" t="s">
        <v>28</v>
      </c>
      <c r="C13" s="61">
        <f>+C14+C23</f>
        <v>1363980.27</v>
      </c>
      <c r="D13" s="61">
        <f t="shared" ref="D13:M13" si="3">+D14+D23</f>
        <v>1076474.43</v>
      </c>
      <c r="E13" s="61">
        <f t="shared" si="3"/>
        <v>1320746.8399999999</v>
      </c>
      <c r="F13" s="61">
        <f t="shared" si="3"/>
        <v>1336861.05</v>
      </c>
      <c r="G13" s="61">
        <f t="shared" si="3"/>
        <v>803312.63</v>
      </c>
      <c r="H13" s="61">
        <f t="shared" si="3"/>
        <v>3181563.1100000003</v>
      </c>
      <c r="I13" s="61">
        <f t="shared" si="3"/>
        <v>3395760.52</v>
      </c>
      <c r="J13" s="61">
        <f t="shared" si="3"/>
        <v>4750609.5599999996</v>
      </c>
      <c r="K13" s="61">
        <f t="shared" si="3"/>
        <v>11747615.140000001</v>
      </c>
      <c r="L13" s="61">
        <f t="shared" si="3"/>
        <v>18886252.480000004</v>
      </c>
      <c r="M13" s="485">
        <f t="shared" si="3"/>
        <v>3981130.26</v>
      </c>
      <c r="N13" s="61">
        <f t="shared" si="1"/>
        <v>51844306.289999999</v>
      </c>
      <c r="O13" s="468"/>
      <c r="P13" s="536"/>
      <c r="Q13" s="826">
        <f>+N13+N27+N36+N40</f>
        <v>375347757.13999999</v>
      </c>
      <c r="R13" s="769"/>
      <c r="S13" s="217"/>
      <c r="T13" s="509"/>
      <c r="U13" s="601">
        <v>1100</v>
      </c>
      <c r="V13" s="691">
        <v>70457330.030000001</v>
      </c>
      <c r="W13" s="601"/>
      <c r="X13" s="537"/>
      <c r="Y13" s="692">
        <f>+V13-X13</f>
        <v>70457330.030000001</v>
      </c>
      <c r="Z13" s="218"/>
    </row>
    <row r="14" spans="1:26" s="59" customFormat="1" ht="16.5">
      <c r="A14" s="55"/>
      <c r="B14" s="50" t="s">
        <v>144</v>
      </c>
      <c r="C14" s="63">
        <f>SUM(C15:C22)</f>
        <v>1363980.27</v>
      </c>
      <c r="D14" s="63">
        <f t="shared" ref="D14:M14" si="4">SUM(D15:D22)</f>
        <v>1076474.43</v>
      </c>
      <c r="E14" s="63">
        <f t="shared" si="4"/>
        <v>1320746.8399999999</v>
      </c>
      <c r="F14" s="63">
        <f t="shared" si="4"/>
        <v>1336861.05</v>
      </c>
      <c r="G14" s="63">
        <f t="shared" si="4"/>
        <v>803312.63</v>
      </c>
      <c r="H14" s="63">
        <f t="shared" si="4"/>
        <v>3176463.16</v>
      </c>
      <c r="I14" s="63">
        <f t="shared" si="4"/>
        <v>3379907.98</v>
      </c>
      <c r="J14" s="63">
        <f t="shared" si="4"/>
        <v>4734138.79</v>
      </c>
      <c r="K14" s="63">
        <f t="shared" si="4"/>
        <v>11676540.710000001</v>
      </c>
      <c r="L14" s="63">
        <f t="shared" si="4"/>
        <v>18686307.810000002</v>
      </c>
      <c r="M14" s="488">
        <f t="shared" si="4"/>
        <v>3981130.26</v>
      </c>
      <c r="N14" s="61">
        <f t="shared" si="1"/>
        <v>51535863.93</v>
      </c>
      <c r="P14" s="601"/>
      <c r="Q14" s="694"/>
      <c r="R14" s="769"/>
      <c r="S14" s="217"/>
      <c r="T14" s="509"/>
      <c r="U14" s="477"/>
      <c r="V14" s="471"/>
      <c r="W14" s="473"/>
      <c r="X14" s="471"/>
      <c r="Y14" s="475"/>
      <c r="Z14" s="218"/>
    </row>
    <row r="15" spans="1:26" s="59" customFormat="1" ht="16.5">
      <c r="A15" s="319" t="s">
        <v>159</v>
      </c>
      <c r="B15" s="51" t="s">
        <v>145</v>
      </c>
      <c r="C15" s="63">
        <f>AnxRendInt!C12</f>
        <v>124827.49</v>
      </c>
      <c r="D15" s="63">
        <f>AnxRendInt!E12</f>
        <v>0</v>
      </c>
      <c r="E15" s="63">
        <f>AnxRendInt!G12</f>
        <v>530000</v>
      </c>
      <c r="F15" s="63">
        <f>AnxRendInt!I12</f>
        <v>491493.33</v>
      </c>
      <c r="G15" s="63">
        <f>AnxRendInt!K12</f>
        <v>0</v>
      </c>
      <c r="H15" s="63">
        <f>AnxRendInt!M12</f>
        <v>2239345.4700000002</v>
      </c>
      <c r="I15" s="63">
        <f>AnxRendInt!O12</f>
        <v>816965.61</v>
      </c>
      <c r="J15" s="63">
        <f>AnxRendInt!Q12</f>
        <v>1991181.91</v>
      </c>
      <c r="K15" s="63">
        <f>AnxRendInt!S12</f>
        <v>3434865.24</v>
      </c>
      <c r="L15" s="63">
        <f>AnxRendInt!U12</f>
        <v>3132785.34</v>
      </c>
      <c r="M15" s="63">
        <f>AnxRendInt!W12</f>
        <v>0</v>
      </c>
      <c r="N15" s="61">
        <f t="shared" si="1"/>
        <v>12761464.390000001</v>
      </c>
      <c r="O15" s="200"/>
      <c r="P15" s="695">
        <v>141109</v>
      </c>
      <c r="Q15" s="694">
        <v>12761464.390000001</v>
      </c>
      <c r="R15" s="769">
        <f t="shared" si="2"/>
        <v>0</v>
      </c>
      <c r="S15" s="217"/>
      <c r="T15" s="509"/>
      <c r="U15" s="477"/>
      <c r="V15" s="471"/>
      <c r="W15" s="473"/>
      <c r="X15" s="471"/>
      <c r="Y15" s="475"/>
      <c r="Z15" s="218"/>
    </row>
    <row r="16" spans="1:26" s="59" customFormat="1" ht="16.5">
      <c r="A16" s="319">
        <v>140110</v>
      </c>
      <c r="B16" s="51" t="s">
        <v>146</v>
      </c>
      <c r="C16" s="63">
        <f>AnxRendInt!C13</f>
        <v>0</v>
      </c>
      <c r="D16" s="63">
        <f>AnxRendInt!E13</f>
        <v>0</v>
      </c>
      <c r="E16" s="63">
        <f>AnxRendInt!G13</f>
        <v>0</v>
      </c>
      <c r="F16" s="63">
        <f>AnxRendInt!I13</f>
        <v>0</v>
      </c>
      <c r="G16" s="63">
        <f>AnxRendInt!K13</f>
        <v>0</v>
      </c>
      <c r="H16" s="63">
        <f>AnxRendInt!M13</f>
        <v>0</v>
      </c>
      <c r="I16" s="63">
        <f>AnxRendInt!O13</f>
        <v>0</v>
      </c>
      <c r="J16" s="63">
        <f>AnxRendInt!Q13</f>
        <v>0</v>
      </c>
      <c r="K16" s="63">
        <f>AnxRendInt!S13</f>
        <v>0</v>
      </c>
      <c r="L16" s="63">
        <f>AnxRendInt!U13</f>
        <v>0</v>
      </c>
      <c r="M16" s="63">
        <f>AnxRendInt!W13</f>
        <v>0</v>
      </c>
      <c r="N16" s="61">
        <f t="shared" si="1"/>
        <v>0</v>
      </c>
      <c r="O16" s="200"/>
      <c r="P16" s="695">
        <v>141110</v>
      </c>
      <c r="Q16" s="694">
        <v>0</v>
      </c>
      <c r="R16" s="769">
        <f t="shared" si="2"/>
        <v>0</v>
      </c>
      <c r="S16" s="217"/>
      <c r="T16" s="509"/>
      <c r="U16" s="477"/>
      <c r="V16" s="471"/>
      <c r="W16" s="476"/>
      <c r="X16" s="471"/>
      <c r="Y16" s="475"/>
      <c r="Z16" s="218"/>
    </row>
    <row r="17" spans="1:26" s="59" customFormat="1" ht="16.5">
      <c r="A17" s="319">
        <v>140111</v>
      </c>
      <c r="B17" s="51" t="s">
        <v>147</v>
      </c>
      <c r="C17" s="63">
        <f>AnxRendInt!C14</f>
        <v>296892.59999999998</v>
      </c>
      <c r="D17" s="63">
        <f>AnxRendInt!E14</f>
        <v>301007.2</v>
      </c>
      <c r="E17" s="63">
        <f>AnxRendInt!G14</f>
        <v>72548.100000000006</v>
      </c>
      <c r="F17" s="63">
        <f>AnxRendInt!I14</f>
        <v>74424.23</v>
      </c>
      <c r="G17" s="63">
        <f>AnxRendInt!K14</f>
        <v>74084.460000000006</v>
      </c>
      <c r="H17" s="63">
        <f>AnxRendInt!M14</f>
        <v>74858.86</v>
      </c>
      <c r="I17" s="63">
        <f>AnxRendInt!O14</f>
        <v>231358.75</v>
      </c>
      <c r="J17" s="63">
        <f>AnxRendInt!Q14</f>
        <v>226076.34</v>
      </c>
      <c r="K17" s="63">
        <f>AnxRendInt!S14</f>
        <v>844289.31</v>
      </c>
      <c r="L17" s="63">
        <f>AnxRendInt!U14</f>
        <v>1746263.9</v>
      </c>
      <c r="M17" s="63">
        <f>AnxRendInt!W14</f>
        <v>0</v>
      </c>
      <c r="N17" s="61">
        <f t="shared" si="1"/>
        <v>3941803.75</v>
      </c>
      <c r="O17" s="200"/>
      <c r="P17" s="696">
        <v>141111</v>
      </c>
      <c r="Q17" s="694">
        <v>3941803.75</v>
      </c>
      <c r="R17" s="769">
        <f t="shared" si="2"/>
        <v>0</v>
      </c>
      <c r="S17" s="217"/>
      <c r="T17" s="509"/>
      <c r="U17" s="477"/>
      <c r="V17" s="471"/>
      <c r="W17" s="473"/>
      <c r="X17" s="471"/>
      <c r="Y17" s="475"/>
      <c r="Z17" s="218"/>
    </row>
    <row r="18" spans="1:26" s="59" customFormat="1" ht="16.5">
      <c r="A18" s="319" t="s">
        <v>160</v>
      </c>
      <c r="B18" s="51" t="s">
        <v>148</v>
      </c>
      <c r="C18" s="63">
        <f>AnxRendInt!C15</f>
        <v>713266.85</v>
      </c>
      <c r="D18" s="63">
        <f>AnxRendInt!E15</f>
        <v>775467.23</v>
      </c>
      <c r="E18" s="63">
        <f>AnxRendInt!G15</f>
        <v>718198.74</v>
      </c>
      <c r="F18" s="63">
        <f>AnxRendInt!I15</f>
        <v>770943.49</v>
      </c>
      <c r="G18" s="63">
        <f>AnxRendInt!K15</f>
        <v>729228.17</v>
      </c>
      <c r="H18" s="63">
        <f>AnxRendInt!M15</f>
        <v>862258.83</v>
      </c>
      <c r="I18" s="63">
        <f>AnxRendInt!O15</f>
        <v>2331583.62</v>
      </c>
      <c r="J18" s="63">
        <f>AnxRendInt!Q15</f>
        <v>2516880.54</v>
      </c>
      <c r="K18" s="63">
        <f>AnxRendInt!S15</f>
        <v>7397386.1600000001</v>
      </c>
      <c r="L18" s="63">
        <f>AnxRendInt!U15</f>
        <v>13807258.57</v>
      </c>
      <c r="M18" s="63">
        <f>AnxRendInt!W15</f>
        <v>3981130.26</v>
      </c>
      <c r="N18" s="61">
        <f t="shared" si="1"/>
        <v>34603602.460000001</v>
      </c>
      <c r="O18" s="200"/>
      <c r="P18" s="696">
        <v>141112</v>
      </c>
      <c r="Q18" s="694">
        <v>39620403.640000001</v>
      </c>
      <c r="R18" s="769">
        <f t="shared" si="2"/>
        <v>5016801.18</v>
      </c>
      <c r="S18" s="217"/>
      <c r="T18" s="509"/>
      <c r="U18" s="477"/>
      <c r="V18" s="471"/>
      <c r="W18" s="473"/>
      <c r="X18" s="471"/>
      <c r="Y18" s="475"/>
      <c r="Z18" s="218"/>
    </row>
    <row r="19" spans="1:26" s="59" customFormat="1" ht="16.5">
      <c r="A19" s="319" t="s">
        <v>171</v>
      </c>
      <c r="B19" s="51" t="s">
        <v>532</v>
      </c>
      <c r="C19" s="63">
        <f>AnxRendInt!C16+AnxRendInt!C20</f>
        <v>148594.20000000001</v>
      </c>
      <c r="D19" s="63">
        <f>AnxRendInt!E16+AnxRendInt!E20</f>
        <v>0</v>
      </c>
      <c r="E19" s="63">
        <f>AnxRendInt!G16+AnxRendInt!G20</f>
        <v>0</v>
      </c>
      <c r="F19" s="63">
        <f>AnxRendInt!I16+AnxRendInt!I20</f>
        <v>0</v>
      </c>
      <c r="G19" s="63">
        <f>AnxRendInt!K16+AnxRendInt!K20</f>
        <v>0</v>
      </c>
      <c r="H19" s="63">
        <f>AnxRendInt!M16+AnxRendInt!M20</f>
        <v>0</v>
      </c>
      <c r="I19" s="63">
        <f>AnxRendInt!O16+AnxRendInt!O20</f>
        <v>0</v>
      </c>
      <c r="J19" s="63">
        <f>AnxRendInt!Q16+AnxRendInt!Q20</f>
        <v>0</v>
      </c>
      <c r="K19" s="63">
        <f>AnxRendInt!S16+AnxRendInt!S20</f>
        <v>0</v>
      </c>
      <c r="L19" s="63">
        <f>AnxRendInt!U16+AnxRendInt!U20</f>
        <v>0</v>
      </c>
      <c r="M19" s="63">
        <f>AnxRendInt!W16+AnxRendInt!W20</f>
        <v>0</v>
      </c>
      <c r="N19" s="61">
        <f t="shared" si="1"/>
        <v>148594.20000000001</v>
      </c>
      <c r="O19" s="203"/>
      <c r="P19" s="716">
        <v>141809</v>
      </c>
      <c r="Q19" s="694">
        <v>148594.20000000001</v>
      </c>
      <c r="R19" s="769"/>
      <c r="S19" s="217"/>
      <c r="T19" s="217"/>
      <c r="U19" s="473"/>
      <c r="V19" s="473"/>
      <c r="W19" s="473"/>
      <c r="X19" s="473"/>
      <c r="Y19" s="475"/>
      <c r="Z19" s="218"/>
    </row>
    <row r="20" spans="1:26" s="59" customFormat="1" ht="16.5">
      <c r="A20" s="319">
        <v>140810</v>
      </c>
      <c r="B20" s="51" t="s">
        <v>533</v>
      </c>
      <c r="C20" s="63">
        <f>AnxRendInt!C17+AnxRendInt!C21</f>
        <v>0</v>
      </c>
      <c r="D20" s="63">
        <f>AnxRendInt!E17+AnxRendInt!E21</f>
        <v>0</v>
      </c>
      <c r="E20" s="63">
        <f>AnxRendInt!G17+AnxRendInt!G21</f>
        <v>0</v>
      </c>
      <c r="F20" s="63">
        <f>AnxRendInt!I17+AnxRendInt!I21</f>
        <v>0</v>
      </c>
      <c r="G20" s="63">
        <f>AnxRendInt!K17+AnxRendInt!K21</f>
        <v>0</v>
      </c>
      <c r="H20" s="63">
        <f>AnxRendInt!M17+AnxRendInt!M21</f>
        <v>0</v>
      </c>
      <c r="I20" s="63">
        <f>AnxRendInt!O17+AnxRendInt!O21</f>
        <v>0</v>
      </c>
      <c r="J20" s="63">
        <f>AnxRendInt!Q17+AnxRendInt!Q21</f>
        <v>0</v>
      </c>
      <c r="K20" s="63">
        <f>AnxRendInt!S17+AnxRendInt!S21</f>
        <v>0</v>
      </c>
      <c r="L20" s="63">
        <f>AnxRendInt!U17+AnxRendInt!U21</f>
        <v>0</v>
      </c>
      <c r="M20" s="63">
        <f>AnxRendInt!W17+AnxRendInt!W21</f>
        <v>0</v>
      </c>
      <c r="N20" s="61">
        <f t="shared" si="1"/>
        <v>0</v>
      </c>
      <c r="O20" s="203"/>
      <c r="P20" s="716">
        <v>141810</v>
      </c>
      <c r="Q20" s="694">
        <v>0</v>
      </c>
      <c r="R20" s="769"/>
      <c r="S20" s="217"/>
      <c r="T20" s="217"/>
      <c r="U20" s="473"/>
      <c r="V20" s="473"/>
      <c r="W20" s="473"/>
      <c r="X20" s="473"/>
      <c r="Y20" s="475"/>
      <c r="Z20" s="218"/>
    </row>
    <row r="21" spans="1:26" s="59" customFormat="1" ht="16.5">
      <c r="A21" s="319">
        <v>140811</v>
      </c>
      <c r="B21" s="51" t="s">
        <v>534</v>
      </c>
      <c r="C21" s="63">
        <f>AnxRendInt!C18+AnxRendInt!C22</f>
        <v>33728.54</v>
      </c>
      <c r="D21" s="63">
        <f>AnxRendInt!E18+AnxRendInt!E22</f>
        <v>0</v>
      </c>
      <c r="E21" s="63">
        <f>AnxRendInt!G18+AnxRendInt!G22</f>
        <v>0</v>
      </c>
      <c r="F21" s="63">
        <f>AnxRendInt!I18+AnxRendInt!I22</f>
        <v>0</v>
      </c>
      <c r="G21" s="63">
        <f>AnxRendInt!K18+AnxRendInt!K22</f>
        <v>0</v>
      </c>
      <c r="H21" s="63">
        <f>AnxRendInt!M18+AnxRendInt!M22</f>
        <v>0</v>
      </c>
      <c r="I21" s="63">
        <f>AnxRendInt!O18+AnxRendInt!O22</f>
        <v>0</v>
      </c>
      <c r="J21" s="63">
        <f>AnxRendInt!Q18+AnxRendInt!Q22</f>
        <v>0</v>
      </c>
      <c r="K21" s="63">
        <f>AnxRendInt!S18+AnxRendInt!S22</f>
        <v>0</v>
      </c>
      <c r="L21" s="63">
        <f>AnxRendInt!U18+AnxRendInt!U22</f>
        <v>0</v>
      </c>
      <c r="M21" s="63">
        <f>AnxRendInt!W18+AnxRendInt!W22</f>
        <v>0</v>
      </c>
      <c r="N21" s="61">
        <f t="shared" si="1"/>
        <v>33728.54</v>
      </c>
      <c r="O21" s="203"/>
      <c r="P21" s="716">
        <v>141811</v>
      </c>
      <c r="Q21" s="694">
        <v>33728.54</v>
      </c>
      <c r="R21" s="769"/>
      <c r="S21" s="217"/>
      <c r="T21" s="217"/>
      <c r="U21" s="473"/>
      <c r="V21" s="473"/>
      <c r="W21" s="473"/>
      <c r="X21" s="473"/>
      <c r="Y21" s="475"/>
      <c r="Z21" s="218"/>
    </row>
    <row r="22" spans="1:26" s="59" customFormat="1" ht="16.5">
      <c r="A22" s="319">
        <v>140812</v>
      </c>
      <c r="B22" s="51" t="s">
        <v>535</v>
      </c>
      <c r="C22" s="63">
        <f>AnxRendInt!C19+AnxRendInt!C23</f>
        <v>46670.59</v>
      </c>
      <c r="D22" s="63">
        <f>AnxRendInt!E19+AnxRendInt!E23</f>
        <v>0</v>
      </c>
      <c r="E22" s="63">
        <f>AnxRendInt!G19+AnxRendInt!G23</f>
        <v>0</v>
      </c>
      <c r="F22" s="63">
        <f>AnxRendInt!I19+AnxRendInt!I23</f>
        <v>0</v>
      </c>
      <c r="G22" s="63">
        <f>AnxRendInt!K19+AnxRendInt!K23</f>
        <v>0</v>
      </c>
      <c r="H22" s="63">
        <f>AnxRendInt!M19+AnxRendInt!M23</f>
        <v>0</v>
      </c>
      <c r="I22" s="63">
        <f>AnxRendInt!O19+AnxRendInt!O23</f>
        <v>0</v>
      </c>
      <c r="J22" s="63">
        <f>AnxRendInt!Q19+AnxRendInt!Q23</f>
        <v>0</v>
      </c>
      <c r="K22" s="63">
        <f>AnxRendInt!S19+AnxRendInt!S23</f>
        <v>0</v>
      </c>
      <c r="L22" s="63">
        <f>AnxRendInt!U19+AnxRendInt!U23</f>
        <v>0</v>
      </c>
      <c r="M22" s="63">
        <f>AnxRendInt!W19+AnxRendInt!W23</f>
        <v>0</v>
      </c>
      <c r="N22" s="61">
        <f t="shared" si="1"/>
        <v>46670.59</v>
      </c>
      <c r="O22" s="203"/>
      <c r="P22" s="716">
        <v>141812</v>
      </c>
      <c r="Q22" s="694">
        <v>513711.43</v>
      </c>
      <c r="R22" s="769"/>
      <c r="S22" s="217"/>
      <c r="T22" s="217"/>
      <c r="U22" s="473"/>
      <c r="V22" s="473"/>
      <c r="W22" s="473"/>
      <c r="X22" s="473"/>
      <c r="Y22" s="475"/>
      <c r="Z22" s="218"/>
    </row>
    <row r="23" spans="1:26" s="59" customFormat="1" ht="16.5">
      <c r="A23" s="319">
        <v>1404</v>
      </c>
      <c r="B23" s="50" t="s">
        <v>149</v>
      </c>
      <c r="C23" s="63">
        <f>SUM(C24:C26)</f>
        <v>0</v>
      </c>
      <c r="D23" s="63">
        <f t="shared" ref="D23:M23" si="5">SUM(D24:D26)</f>
        <v>0</v>
      </c>
      <c r="E23" s="63">
        <f t="shared" si="5"/>
        <v>0</v>
      </c>
      <c r="F23" s="63">
        <f t="shared" si="5"/>
        <v>0</v>
      </c>
      <c r="G23" s="63">
        <f t="shared" si="5"/>
        <v>0</v>
      </c>
      <c r="H23" s="63">
        <f t="shared" si="5"/>
        <v>5099.95</v>
      </c>
      <c r="I23" s="63">
        <f t="shared" si="5"/>
        <v>15852.54</v>
      </c>
      <c r="J23" s="63">
        <f t="shared" si="5"/>
        <v>16470.77</v>
      </c>
      <c r="K23" s="63">
        <f t="shared" si="5"/>
        <v>71074.429999999993</v>
      </c>
      <c r="L23" s="63">
        <f t="shared" si="5"/>
        <v>199944.67</v>
      </c>
      <c r="M23" s="488">
        <f t="shared" si="5"/>
        <v>0</v>
      </c>
      <c r="N23" s="61">
        <f t="shared" si="1"/>
        <v>308442.36</v>
      </c>
      <c r="O23" s="204"/>
      <c r="P23" s="697"/>
      <c r="Q23" s="694"/>
      <c r="R23" s="769"/>
      <c r="S23" s="217"/>
      <c r="T23" s="217"/>
      <c r="U23" s="473"/>
      <c r="V23" s="473"/>
      <c r="W23" s="473"/>
      <c r="X23" s="473"/>
      <c r="Y23" s="475"/>
      <c r="Z23" s="218"/>
    </row>
    <row r="24" spans="1:26" s="59" customFormat="1" ht="16.5">
      <c r="A24" s="319">
        <v>140410</v>
      </c>
      <c r="B24" s="51" t="s">
        <v>146</v>
      </c>
      <c r="C24" s="63">
        <f>+AnxRendInt!C25</f>
        <v>0</v>
      </c>
      <c r="D24" s="63">
        <f>+AnxRendInt!E25</f>
        <v>0</v>
      </c>
      <c r="E24" s="63">
        <f>+AnxRendInt!G25</f>
        <v>0</v>
      </c>
      <c r="F24" s="63">
        <f>+AnxRendInt!I25</f>
        <v>0</v>
      </c>
      <c r="G24" s="63">
        <f>+AnxRendInt!K25</f>
        <v>0</v>
      </c>
      <c r="H24" s="63">
        <f>+AnxRendInt!M25</f>
        <v>0</v>
      </c>
      <c r="I24" s="63">
        <f>+AnxRendInt!O25</f>
        <v>0</v>
      </c>
      <c r="J24" s="63">
        <f>+AnxRendInt!Q25</f>
        <v>0</v>
      </c>
      <c r="K24" s="63">
        <f>+AnxRendInt!S25</f>
        <v>0</v>
      </c>
      <c r="L24" s="63">
        <f>+AnxRendInt!U25</f>
        <v>0</v>
      </c>
      <c r="M24" s="63">
        <f>+AnxRendInt!W25</f>
        <v>0</v>
      </c>
      <c r="N24" s="61">
        <f t="shared" si="1"/>
        <v>0</v>
      </c>
      <c r="O24" s="205"/>
      <c r="P24" s="695">
        <v>141410</v>
      </c>
      <c r="Q24" s="694">
        <v>0</v>
      </c>
      <c r="R24" s="769">
        <f t="shared" si="2"/>
        <v>0</v>
      </c>
      <c r="S24" s="217"/>
      <c r="T24" s="217"/>
      <c r="U24" s="473"/>
      <c r="V24" s="473"/>
      <c r="W24" s="473"/>
      <c r="X24" s="473"/>
      <c r="Y24" s="475"/>
      <c r="Z24" s="218"/>
    </row>
    <row r="25" spans="1:26" s="59" customFormat="1" ht="16.5">
      <c r="A25" s="319" t="s">
        <v>545</v>
      </c>
      <c r="B25" s="51" t="s">
        <v>540</v>
      </c>
      <c r="C25" s="63">
        <f>AnxRendInt!C26+AnxRendInt!C27</f>
        <v>0</v>
      </c>
      <c r="D25" s="63">
        <f>AnxRendInt!E26+AnxRendInt!E27</f>
        <v>0</v>
      </c>
      <c r="E25" s="63">
        <f>AnxRendInt!G26+AnxRendInt!G27</f>
        <v>0</v>
      </c>
      <c r="F25" s="63">
        <f>AnxRendInt!I26+AnxRendInt!I27</f>
        <v>0</v>
      </c>
      <c r="G25" s="63">
        <f>AnxRendInt!K26+AnxRendInt!K27</f>
        <v>0</v>
      </c>
      <c r="H25" s="63">
        <f>AnxRendInt!M26+AnxRendInt!M27</f>
        <v>5099.95</v>
      </c>
      <c r="I25" s="63">
        <f>AnxRendInt!O26+AnxRendInt!O27</f>
        <v>15852.54</v>
      </c>
      <c r="J25" s="63">
        <f>AnxRendInt!Q26+AnxRendInt!Q27</f>
        <v>16470.77</v>
      </c>
      <c r="K25" s="63">
        <f>AnxRendInt!S26+AnxRendInt!S27</f>
        <v>71074.429999999993</v>
      </c>
      <c r="L25" s="63">
        <f>AnxRendInt!U26+AnxRendInt!U27</f>
        <v>199944.67</v>
      </c>
      <c r="M25" s="63">
        <f>AnxRendInt!W26+AnxRendInt!W27</f>
        <v>0</v>
      </c>
      <c r="N25" s="61">
        <f t="shared" si="1"/>
        <v>308442.36</v>
      </c>
      <c r="O25" s="205"/>
      <c r="P25" s="695">
        <v>141411</v>
      </c>
      <c r="Q25" s="694">
        <v>0</v>
      </c>
      <c r="R25" s="769">
        <f>(Q25+Q26)-N25</f>
        <v>0</v>
      </c>
      <c r="S25" s="217"/>
      <c r="T25" s="217"/>
      <c r="U25" s="473"/>
      <c r="V25" s="473"/>
      <c r="W25" s="473"/>
      <c r="X25" s="473"/>
      <c r="Y25" s="475"/>
      <c r="Z25" s="218"/>
    </row>
    <row r="26" spans="1:26" s="59" customFormat="1" ht="16.5">
      <c r="A26" s="319"/>
      <c r="B26" s="51" t="s">
        <v>544</v>
      </c>
      <c r="C26" s="63">
        <f>SUM(AnxRendInt!C28:'AnxRendInt'!C30)</f>
        <v>0</v>
      </c>
      <c r="D26" s="63">
        <f>SUM(AnxRendInt!E28:'AnxRendInt'!E30)</f>
        <v>0</v>
      </c>
      <c r="E26" s="63">
        <f>SUM(AnxRendInt!G28:'AnxRendInt'!G30)</f>
        <v>0</v>
      </c>
      <c r="F26" s="63">
        <f>SUM(AnxRendInt!I28:'AnxRendInt'!I30)</f>
        <v>0</v>
      </c>
      <c r="G26" s="63">
        <f>SUM(AnxRendInt!K28:'AnxRendInt'!K30)</f>
        <v>0</v>
      </c>
      <c r="H26" s="63">
        <f>SUM(AnxRendInt!M28:'AnxRendInt'!M30)</f>
        <v>0</v>
      </c>
      <c r="I26" s="63">
        <f>SUM(AnxRendInt!O28:'AnxRendInt'!O30)</f>
        <v>0</v>
      </c>
      <c r="J26" s="63">
        <f>SUM(AnxRendInt!Q28:'AnxRendInt'!Q30)</f>
        <v>0</v>
      </c>
      <c r="K26" s="63">
        <f>SUM(AnxRendInt!S28:'AnxRendInt'!S30)</f>
        <v>0</v>
      </c>
      <c r="L26" s="63">
        <f>SUM(AnxRendInt!U28:'AnxRendInt'!U30)</f>
        <v>0</v>
      </c>
      <c r="M26" s="63">
        <f>SUM(AnxRendInt!W28:'AnxRendInt'!W30)</f>
        <v>0</v>
      </c>
      <c r="N26" s="61">
        <f t="shared" si="1"/>
        <v>0</v>
      </c>
      <c r="O26" s="205"/>
      <c r="P26" s="695">
        <v>141412</v>
      </c>
      <c r="Q26" s="694">
        <v>308442.36</v>
      </c>
      <c r="R26" s="769"/>
      <c r="S26" s="217"/>
      <c r="T26" s="217"/>
      <c r="U26" s="473"/>
      <c r="V26" s="473"/>
      <c r="W26" s="473"/>
      <c r="X26" s="473"/>
      <c r="Y26" s="475"/>
      <c r="Z26" s="218"/>
    </row>
    <row r="27" spans="1:26" s="59" customFormat="1" ht="15" customHeight="1">
      <c r="A27" s="8" t="s">
        <v>168</v>
      </c>
      <c r="B27" s="10" t="s">
        <v>30</v>
      </c>
      <c r="C27" s="61">
        <f>+C28+C33</f>
        <v>9894039.6999999974</v>
      </c>
      <c r="D27" s="61">
        <f t="shared" ref="D27:M27" si="6">+D28+D33</f>
        <v>10523449.01</v>
      </c>
      <c r="E27" s="61">
        <f t="shared" si="6"/>
        <v>10542020.48</v>
      </c>
      <c r="F27" s="61">
        <f t="shared" si="6"/>
        <v>10653470.76</v>
      </c>
      <c r="G27" s="61">
        <f t="shared" si="6"/>
        <v>10499933.859999999</v>
      </c>
      <c r="H27" s="61">
        <f t="shared" si="6"/>
        <v>10099201.309999999</v>
      </c>
      <c r="I27" s="61">
        <f t="shared" si="6"/>
        <v>26838151.439999998</v>
      </c>
      <c r="J27" s="61">
        <f t="shared" si="6"/>
        <v>21286226.200000003</v>
      </c>
      <c r="K27" s="61">
        <f t="shared" si="6"/>
        <v>50360750.760000005</v>
      </c>
      <c r="L27" s="61">
        <f t="shared" si="6"/>
        <v>40690928.789999999</v>
      </c>
      <c r="M27" s="485">
        <f t="shared" si="6"/>
        <v>4217357.6099999994</v>
      </c>
      <c r="N27" s="61">
        <f t="shared" si="1"/>
        <v>205605529.91999996</v>
      </c>
      <c r="O27" s="204"/>
      <c r="P27" s="698"/>
      <c r="Q27" s="823">
        <f>+Q28+Q34</f>
        <v>8038282.2300000004</v>
      </c>
      <c r="R27" s="769"/>
      <c r="S27" s="217"/>
      <c r="T27" s="217"/>
      <c r="U27" s="473"/>
      <c r="V27" s="473"/>
      <c r="W27" s="473"/>
      <c r="X27" s="473"/>
      <c r="Y27" s="475"/>
      <c r="Z27" s="218"/>
    </row>
    <row r="28" spans="1:26" s="59" customFormat="1" ht="15" customHeight="1">
      <c r="A28" s="320"/>
      <c r="B28" s="50" t="s">
        <v>144</v>
      </c>
      <c r="C28" s="63">
        <f>SUM(C29:C32)</f>
        <v>9750381.1699999981</v>
      </c>
      <c r="D28" s="63">
        <f t="shared" ref="D28:N28" si="7">SUM(D29:D32)</f>
        <v>10404170.449999999</v>
      </c>
      <c r="E28" s="63">
        <f t="shared" si="7"/>
        <v>10415990.27</v>
      </c>
      <c r="F28" s="63">
        <f t="shared" si="7"/>
        <v>10514159.33</v>
      </c>
      <c r="G28" s="63">
        <f t="shared" si="7"/>
        <v>10362387.649999999</v>
      </c>
      <c r="H28" s="63">
        <f t="shared" si="7"/>
        <v>9955853.1499999985</v>
      </c>
      <c r="I28" s="63">
        <f t="shared" si="7"/>
        <v>26364640.329999998</v>
      </c>
      <c r="J28" s="63">
        <f t="shared" si="7"/>
        <v>20765606.920000002</v>
      </c>
      <c r="K28" s="63">
        <f t="shared" si="7"/>
        <v>48302975.760000005</v>
      </c>
      <c r="L28" s="63">
        <f t="shared" si="7"/>
        <v>36649034.439999998</v>
      </c>
      <c r="M28" s="488">
        <f t="shared" si="7"/>
        <v>3348812.05</v>
      </c>
      <c r="N28" s="61">
        <f t="shared" si="7"/>
        <v>196834011.51999998</v>
      </c>
      <c r="O28" s="204"/>
      <c r="P28" s="698"/>
      <c r="Q28" s="684"/>
      <c r="R28" s="769"/>
      <c r="S28" s="217"/>
      <c r="T28" s="217"/>
      <c r="U28" s="473"/>
      <c r="V28" s="473"/>
      <c r="W28" s="473"/>
      <c r="X28" s="473"/>
      <c r="Y28" s="475"/>
      <c r="Z28" s="218"/>
    </row>
    <row r="29" spans="1:26" s="59" customFormat="1" ht="17.25" customHeight="1">
      <c r="A29" s="321" t="s">
        <v>161</v>
      </c>
      <c r="B29" s="51" t="s">
        <v>150</v>
      </c>
      <c r="C29" s="63">
        <f>AnxRendInt!C33</f>
        <v>5209248.7</v>
      </c>
      <c r="D29" s="63">
        <f>AnxRendInt!E33</f>
        <v>5577217.3700000001</v>
      </c>
      <c r="E29" s="63">
        <f>AnxRendInt!G33</f>
        <v>5701849.1699999999</v>
      </c>
      <c r="F29" s="63">
        <f>AnxRendInt!I33</f>
        <v>5785925.5300000003</v>
      </c>
      <c r="G29" s="63">
        <f>AnxRendInt!K33</f>
        <v>5815920.3899999997</v>
      </c>
      <c r="H29" s="63">
        <f>AnxRendInt!M33</f>
        <v>5560650.3799999999</v>
      </c>
      <c r="I29" s="63">
        <f>AnxRendInt!O33</f>
        <v>15903174.050000001</v>
      </c>
      <c r="J29" s="63">
        <f>AnxRendInt!Q33</f>
        <v>13828997.32</v>
      </c>
      <c r="K29" s="63">
        <f>AnxRendInt!S33</f>
        <v>37701487.380000003</v>
      </c>
      <c r="L29" s="63">
        <f>AnxRendInt!U33</f>
        <v>32387809.460000001</v>
      </c>
      <c r="M29" s="63">
        <f>AnxRendInt!W33</f>
        <v>2981014.26</v>
      </c>
      <c r="N29" s="61">
        <f t="shared" si="1"/>
        <v>136453294.00999999</v>
      </c>
      <c r="O29" s="205"/>
      <c r="P29" s="695">
        <v>141113</v>
      </c>
      <c r="Q29" s="694">
        <v>154718355.03999999</v>
      </c>
      <c r="R29" s="769">
        <f t="shared" si="2"/>
        <v>18265061.030000001</v>
      </c>
      <c r="S29" s="217"/>
      <c r="T29" s="217"/>
      <c r="U29" s="473"/>
      <c r="V29" s="473"/>
      <c r="W29" s="473"/>
      <c r="X29" s="473"/>
      <c r="Y29" s="475"/>
      <c r="Z29" s="218"/>
    </row>
    <row r="30" spans="1:26" s="59" customFormat="1" ht="18" customHeight="1">
      <c r="A30" s="321" t="s">
        <v>156</v>
      </c>
      <c r="B30" s="51" t="s">
        <v>151</v>
      </c>
      <c r="C30" s="63">
        <f>AnxRendInt!C34</f>
        <v>4244597.5</v>
      </c>
      <c r="D30" s="63">
        <f>AnxRendInt!E34</f>
        <v>4826953.08</v>
      </c>
      <c r="E30" s="63">
        <f>AnxRendInt!G34</f>
        <v>4714141.0999999996</v>
      </c>
      <c r="F30" s="63">
        <f>AnxRendInt!I34</f>
        <v>4728233.8</v>
      </c>
      <c r="G30" s="63">
        <f>AnxRendInt!K34</f>
        <v>4546467.26</v>
      </c>
      <c r="H30" s="63">
        <f>AnxRendInt!M34</f>
        <v>4395202.7699999996</v>
      </c>
      <c r="I30" s="63">
        <f>AnxRendInt!O34</f>
        <v>10461466.279999999</v>
      </c>
      <c r="J30" s="63">
        <f>AnxRendInt!Q34</f>
        <v>6936609.5999999996</v>
      </c>
      <c r="K30" s="63">
        <f>AnxRendInt!S34</f>
        <v>10601488.380000001</v>
      </c>
      <c r="L30" s="63">
        <f>AnxRendInt!U34</f>
        <v>4261224.9800000004</v>
      </c>
      <c r="M30" s="63">
        <f>AnxRendInt!W34</f>
        <v>367797.79</v>
      </c>
      <c r="N30" s="61">
        <f t="shared" si="1"/>
        <v>60084182.539999999</v>
      </c>
      <c r="O30" s="205"/>
      <c r="P30" s="695">
        <v>141102</v>
      </c>
      <c r="Q30" s="694">
        <v>74792795.170000002</v>
      </c>
      <c r="R30" s="769">
        <f t="shared" si="2"/>
        <v>14708612.630000003</v>
      </c>
      <c r="S30" s="204"/>
      <c r="T30" s="204"/>
      <c r="U30" s="473"/>
      <c r="V30" s="475"/>
      <c r="W30" s="475"/>
      <c r="X30" s="475"/>
      <c r="Y30" s="475"/>
      <c r="Z30" s="218"/>
    </row>
    <row r="31" spans="1:26" s="59" customFormat="1" ht="18" customHeight="1">
      <c r="A31" s="322" t="s">
        <v>167</v>
      </c>
      <c r="B31" s="51" t="s">
        <v>536</v>
      </c>
      <c r="C31" s="63">
        <f>AnxRendInt!C35+AnxRendInt!C37</f>
        <v>160794.20000000001</v>
      </c>
      <c r="D31" s="63">
        <f>AnxRendInt!E35+AnxRendInt!E37</f>
        <v>0</v>
      </c>
      <c r="E31" s="63">
        <f>AnxRendInt!G35+AnxRendInt!G37</f>
        <v>0</v>
      </c>
      <c r="F31" s="63">
        <f>AnxRendInt!I35+AnxRendInt!I37</f>
        <v>0</v>
      </c>
      <c r="G31" s="63">
        <f>AnxRendInt!K35+AnxRendInt!K37</f>
        <v>0</v>
      </c>
      <c r="H31" s="63">
        <f>AnxRendInt!M35+AnxRendInt!M37</f>
        <v>0</v>
      </c>
      <c r="I31" s="63">
        <f>AnxRendInt!O35+AnxRendInt!O37</f>
        <v>0</v>
      </c>
      <c r="J31" s="63">
        <f>AnxRendInt!Q35+AnxRendInt!Q37</f>
        <v>0</v>
      </c>
      <c r="K31" s="63">
        <f>AnxRendInt!S35+AnxRendInt!S37</f>
        <v>0</v>
      </c>
      <c r="L31" s="63">
        <f>AnxRendInt!U35+AnxRendInt!U37</f>
        <v>0</v>
      </c>
      <c r="M31" s="63">
        <f>AnxRendInt!W35+AnxRendInt!W37</f>
        <v>0</v>
      </c>
      <c r="N31" s="61">
        <f t="shared" si="1"/>
        <v>160794.20000000001</v>
      </c>
      <c r="O31" s="206"/>
      <c r="P31" s="698">
        <v>141802</v>
      </c>
      <c r="Q31" s="694">
        <v>1831669.73</v>
      </c>
      <c r="R31" s="769"/>
      <c r="S31" s="204"/>
      <c r="T31" s="204"/>
      <c r="U31" s="473"/>
      <c r="V31" s="475"/>
      <c r="W31" s="475"/>
      <c r="X31" s="475"/>
      <c r="Y31" s="475"/>
      <c r="Z31" s="218"/>
    </row>
    <row r="32" spans="1:26" s="59" customFormat="1" ht="18" customHeight="1">
      <c r="A32" s="807">
        <v>140813</v>
      </c>
      <c r="B32" s="51" t="s">
        <v>537</v>
      </c>
      <c r="C32" s="63">
        <f>AnxRendInt!C36+AnxRendInt!C38</f>
        <v>135740.76999999999</v>
      </c>
      <c r="D32" s="63">
        <f>AnxRendInt!E36+AnxRendInt!E38</f>
        <v>0</v>
      </c>
      <c r="E32" s="63">
        <f>AnxRendInt!G36+AnxRendInt!G38</f>
        <v>0</v>
      </c>
      <c r="F32" s="63">
        <f>AnxRendInt!I36+AnxRendInt!I38</f>
        <v>0</v>
      </c>
      <c r="G32" s="63">
        <f>AnxRendInt!K36+AnxRendInt!K38</f>
        <v>0</v>
      </c>
      <c r="H32" s="63">
        <f>AnxRendInt!M36+AnxRendInt!M38</f>
        <v>0</v>
      </c>
      <c r="I32" s="63">
        <f>AnxRendInt!O36+AnxRendInt!O38</f>
        <v>0</v>
      </c>
      <c r="J32" s="63">
        <f>AnxRendInt!Q36+AnxRendInt!Q38</f>
        <v>0</v>
      </c>
      <c r="K32" s="63">
        <f>AnxRendInt!S36+AnxRendInt!S38</f>
        <v>0</v>
      </c>
      <c r="L32" s="63">
        <f>AnxRendInt!U36+AnxRendInt!U38</f>
        <v>0</v>
      </c>
      <c r="M32" s="63">
        <f>AnxRendInt!W36+AnxRendInt!W38</f>
        <v>0</v>
      </c>
      <c r="N32" s="61">
        <f t="shared" si="1"/>
        <v>135740.76999999999</v>
      </c>
      <c r="O32" s="206"/>
      <c r="P32" s="698">
        <v>141813</v>
      </c>
      <c r="Q32" s="694">
        <v>3478633.11</v>
      </c>
      <c r="R32" s="769"/>
      <c r="S32" s="204"/>
      <c r="T32" s="204"/>
      <c r="U32" s="473"/>
      <c r="V32" s="475"/>
      <c r="W32" s="475"/>
      <c r="X32" s="475"/>
      <c r="Y32" s="475"/>
      <c r="Z32" s="218"/>
    </row>
    <row r="33" spans="1:26" s="59" customFormat="1" ht="15" customHeight="1">
      <c r="A33" s="320"/>
      <c r="B33" s="50" t="s">
        <v>149</v>
      </c>
      <c r="C33" s="63">
        <f>SUM(C34:C35)</f>
        <v>143658.53</v>
      </c>
      <c r="D33" s="63">
        <f t="shared" ref="D33:M33" si="8">SUM(D34:D35)</f>
        <v>119278.56</v>
      </c>
      <c r="E33" s="63">
        <f t="shared" si="8"/>
        <v>126030.21</v>
      </c>
      <c r="F33" s="63">
        <f t="shared" si="8"/>
        <v>139311.43</v>
      </c>
      <c r="G33" s="63">
        <f t="shared" si="8"/>
        <v>137546.21000000002</v>
      </c>
      <c r="H33" s="63">
        <f t="shared" si="8"/>
        <v>143348.16</v>
      </c>
      <c r="I33" s="63">
        <f t="shared" si="8"/>
        <v>473511.11</v>
      </c>
      <c r="J33" s="63">
        <f t="shared" si="8"/>
        <v>520619.28</v>
      </c>
      <c r="K33" s="63">
        <f t="shared" si="8"/>
        <v>2057775</v>
      </c>
      <c r="L33" s="63">
        <f t="shared" si="8"/>
        <v>4041894.35</v>
      </c>
      <c r="M33" s="488">
        <f t="shared" si="8"/>
        <v>868545.56</v>
      </c>
      <c r="N33" s="61">
        <f t="shared" si="1"/>
        <v>8771518.4000000004</v>
      </c>
      <c r="O33" s="204"/>
      <c r="P33" s="699"/>
      <c r="Q33" s="684"/>
      <c r="R33" s="769"/>
      <c r="S33" s="204"/>
      <c r="T33" s="204"/>
      <c r="U33" s="473"/>
      <c r="V33" s="475"/>
      <c r="W33" s="475"/>
      <c r="X33" s="475"/>
      <c r="Y33" s="475"/>
      <c r="Z33" s="218"/>
    </row>
    <row r="34" spans="1:26" s="59" customFormat="1" ht="17.25" customHeight="1">
      <c r="A34" s="321" t="s">
        <v>546</v>
      </c>
      <c r="B34" s="51" t="s">
        <v>541</v>
      </c>
      <c r="C34" s="63">
        <f>AnxRendInt!C40+AnxRendInt!C41</f>
        <v>143658.53</v>
      </c>
      <c r="D34" s="63">
        <f>AnxRendInt!E40+AnxRendInt!E41</f>
        <v>119278.56</v>
      </c>
      <c r="E34" s="63">
        <f>AnxRendInt!G40+AnxRendInt!G41</f>
        <v>126030.21</v>
      </c>
      <c r="F34" s="63">
        <f>AnxRendInt!I40+AnxRendInt!I41</f>
        <v>139311.43</v>
      </c>
      <c r="G34" s="63">
        <f>AnxRendInt!K40+AnxRendInt!K41</f>
        <v>137546.21000000002</v>
      </c>
      <c r="H34" s="63">
        <f>AnxRendInt!M40+AnxRendInt!M41</f>
        <v>143348.16</v>
      </c>
      <c r="I34" s="63">
        <f>AnxRendInt!O40+AnxRendInt!O41</f>
        <v>473511.11</v>
      </c>
      <c r="J34" s="63">
        <f>AnxRendInt!Q40+AnxRendInt!Q41</f>
        <v>520619.28</v>
      </c>
      <c r="K34" s="63">
        <f>AnxRendInt!S40+AnxRendInt!S41</f>
        <v>2057775</v>
      </c>
      <c r="L34" s="63">
        <f>AnxRendInt!U40+AnxRendInt!U41</f>
        <v>4041894.35</v>
      </c>
      <c r="M34" s="63">
        <f>AnxRendInt!W40+AnxRendInt!W41</f>
        <v>868545.56</v>
      </c>
      <c r="N34" s="61">
        <f t="shared" si="1"/>
        <v>8771518.4000000004</v>
      </c>
      <c r="O34" s="200"/>
      <c r="P34" s="695">
        <v>141413</v>
      </c>
      <c r="Q34" s="694">
        <v>8038282.2300000004</v>
      </c>
      <c r="R34" s="769">
        <f>(Q34+Q35)-N34</f>
        <v>0</v>
      </c>
      <c r="S34" s="189"/>
      <c r="T34" s="189"/>
      <c r="U34" s="473"/>
      <c r="V34" s="475"/>
      <c r="W34" s="475"/>
      <c r="X34" s="475"/>
      <c r="Y34" s="475"/>
      <c r="Z34" s="218"/>
    </row>
    <row r="35" spans="1:26" s="59" customFormat="1" ht="17.25" customHeight="1">
      <c r="A35" s="321"/>
      <c r="B35" s="51" t="s">
        <v>542</v>
      </c>
      <c r="C35" s="63">
        <f>AnxRendInt!C42+AnxRendInt!C43</f>
        <v>0</v>
      </c>
      <c r="D35" s="63">
        <f>AnxRendInt!E42+AnxRendInt!E43</f>
        <v>0</v>
      </c>
      <c r="E35" s="63">
        <f>AnxRendInt!G42+AnxRendInt!G43</f>
        <v>0</v>
      </c>
      <c r="F35" s="63">
        <f>AnxRendInt!I42+AnxRendInt!I43</f>
        <v>0</v>
      </c>
      <c r="G35" s="63">
        <f>AnxRendInt!K42+AnxRendInt!K43</f>
        <v>0</v>
      </c>
      <c r="H35" s="63">
        <f>AnxRendInt!M42+AnxRendInt!M43</f>
        <v>0</v>
      </c>
      <c r="I35" s="63">
        <f>AnxRendInt!O42+AnxRendInt!O43</f>
        <v>0</v>
      </c>
      <c r="J35" s="63">
        <f>AnxRendInt!Q42+AnxRendInt!Q43</f>
        <v>0</v>
      </c>
      <c r="K35" s="63">
        <f>AnxRendInt!S42+AnxRendInt!S43</f>
        <v>0</v>
      </c>
      <c r="L35" s="63">
        <f>AnxRendInt!U42+AnxRendInt!U43</f>
        <v>0</v>
      </c>
      <c r="M35" s="63">
        <f>AnxRendInt!W42+AnxRendInt!W43</f>
        <v>0</v>
      </c>
      <c r="N35" s="61">
        <f t="shared" si="1"/>
        <v>0</v>
      </c>
      <c r="O35" s="200"/>
      <c r="P35" s="695">
        <v>141402</v>
      </c>
      <c r="Q35" s="694">
        <v>733236.17</v>
      </c>
      <c r="R35" s="769"/>
      <c r="S35" s="189"/>
      <c r="T35" s="189"/>
      <c r="U35" s="473"/>
      <c r="V35" s="475"/>
      <c r="W35" s="475"/>
      <c r="X35" s="475"/>
      <c r="Y35" s="475"/>
      <c r="Z35" s="218"/>
    </row>
    <row r="36" spans="1:26" s="59" customFormat="1" ht="17.25" customHeight="1">
      <c r="A36" s="323" t="s">
        <v>31</v>
      </c>
      <c r="B36" s="10" t="s">
        <v>32</v>
      </c>
      <c r="C36" s="61">
        <f>SUM(C37:C39)</f>
        <v>275498.28000000003</v>
      </c>
      <c r="D36" s="61">
        <f t="shared" ref="D36:M36" si="9">SUM(D37:D39)</f>
        <v>177137.52</v>
      </c>
      <c r="E36" s="61">
        <f t="shared" si="9"/>
        <v>161289.37</v>
      </c>
      <c r="F36" s="61">
        <f t="shared" si="9"/>
        <v>183059.26</v>
      </c>
      <c r="G36" s="61">
        <f>SUM(G37:G39)</f>
        <v>182406.44</v>
      </c>
      <c r="H36" s="61">
        <f>SUM(H37:H39)</f>
        <v>174197.69999999998</v>
      </c>
      <c r="I36" s="61">
        <f>SUM(I37:I39)</f>
        <v>567146.13</v>
      </c>
      <c r="J36" s="61">
        <f t="shared" si="9"/>
        <v>557638.42000000004</v>
      </c>
      <c r="K36" s="61">
        <f t="shared" si="9"/>
        <v>2261165.77</v>
      </c>
      <c r="L36" s="61">
        <f t="shared" si="9"/>
        <v>5588994.5599999996</v>
      </c>
      <c r="M36" s="485">
        <f t="shared" si="9"/>
        <v>5839786.3700000001</v>
      </c>
      <c r="N36" s="61">
        <f t="shared" si="1"/>
        <v>15968319.82</v>
      </c>
      <c r="O36" s="189"/>
      <c r="P36" s="536"/>
      <c r="Q36" s="684"/>
      <c r="R36" s="769"/>
      <c r="S36" s="189"/>
      <c r="T36" s="189"/>
      <c r="U36" s="473"/>
      <c r="X36" s="475"/>
      <c r="Y36" s="475"/>
      <c r="Z36" s="218"/>
    </row>
    <row r="37" spans="1:26" s="59" customFormat="1" ht="17.25" customHeight="1">
      <c r="A37" s="321" t="s">
        <v>158</v>
      </c>
      <c r="B37" s="54" t="s">
        <v>152</v>
      </c>
      <c r="C37" s="63">
        <f>AnxRendInt!C45</f>
        <v>137525.76000000001</v>
      </c>
      <c r="D37" s="63">
        <f>AnxRendInt!E45</f>
        <v>164492.59</v>
      </c>
      <c r="E37" s="63">
        <f>AnxRendInt!G45</f>
        <v>150696.46</v>
      </c>
      <c r="F37" s="63">
        <f>AnxRendInt!I45</f>
        <v>169665.67</v>
      </c>
      <c r="G37" s="63">
        <f>AnxRendInt!K45</f>
        <v>169473.13</v>
      </c>
      <c r="H37" s="63">
        <f>AnxRendInt!M45</f>
        <v>162770.29999999999</v>
      </c>
      <c r="I37" s="63">
        <f>AnxRendInt!O45</f>
        <v>523727.75</v>
      </c>
      <c r="J37" s="63">
        <f>AnxRendInt!Q45</f>
        <v>513517.39</v>
      </c>
      <c r="K37" s="63">
        <f>AnxRendInt!S45</f>
        <v>2098675.4900000002</v>
      </c>
      <c r="L37" s="63">
        <f>AnxRendInt!U45</f>
        <v>5151358.8</v>
      </c>
      <c r="M37" s="63">
        <f>AnxRendInt!W45</f>
        <v>5659613.3399999999</v>
      </c>
      <c r="N37" s="61">
        <f t="shared" si="1"/>
        <v>14901516.68</v>
      </c>
      <c r="O37" s="200"/>
      <c r="P37" s="695">
        <v>141104</v>
      </c>
      <c r="Q37" s="694">
        <v>14901516.68</v>
      </c>
      <c r="R37" s="769">
        <f t="shared" si="2"/>
        <v>0</v>
      </c>
      <c r="S37" s="207"/>
      <c r="T37" s="189"/>
      <c r="U37" s="473"/>
      <c r="X37" s="475"/>
      <c r="Y37" s="475"/>
      <c r="Z37" s="218"/>
    </row>
    <row r="38" spans="1:26" s="59" customFormat="1" ht="17.25" customHeight="1">
      <c r="A38" s="321" t="s">
        <v>165</v>
      </c>
      <c r="B38" s="54" t="s">
        <v>153</v>
      </c>
      <c r="C38" s="63">
        <f>AnxRendInt!C46</f>
        <v>16985.29</v>
      </c>
      <c r="D38" s="63">
        <f>AnxRendInt!E46</f>
        <v>12644.93</v>
      </c>
      <c r="E38" s="63">
        <f>AnxRendInt!G46</f>
        <v>10592.91</v>
      </c>
      <c r="F38" s="63">
        <f>AnxRendInt!I46</f>
        <v>13393.59</v>
      </c>
      <c r="G38" s="63">
        <f>AnxRendInt!K46</f>
        <v>12933.31</v>
      </c>
      <c r="H38" s="63">
        <f>AnxRendInt!M46</f>
        <v>11427.4</v>
      </c>
      <c r="I38" s="63">
        <f>AnxRendInt!O46</f>
        <v>43418.38</v>
      </c>
      <c r="J38" s="63">
        <f>AnxRendInt!Q46</f>
        <v>44121.03</v>
      </c>
      <c r="K38" s="63">
        <f>AnxRendInt!S46</f>
        <v>162490.28</v>
      </c>
      <c r="L38" s="63">
        <f>AnxRendInt!U46</f>
        <v>437635.76</v>
      </c>
      <c r="M38" s="63">
        <f>AnxRendInt!W46</f>
        <v>180173.03</v>
      </c>
      <c r="N38" s="61">
        <f t="shared" si="1"/>
        <v>945815.91</v>
      </c>
      <c r="O38" s="200"/>
      <c r="P38" s="695">
        <v>141404</v>
      </c>
      <c r="Q38" s="694">
        <v>945815.91</v>
      </c>
      <c r="R38" s="769">
        <f t="shared" si="2"/>
        <v>0</v>
      </c>
      <c r="S38" s="217"/>
      <c r="T38" s="217"/>
      <c r="U38" s="473"/>
      <c r="X38" s="475"/>
      <c r="Y38" s="475"/>
      <c r="Z38" s="218"/>
    </row>
    <row r="39" spans="1:26" s="59" customFormat="1" ht="17.25" customHeight="1">
      <c r="A39" s="322" t="s">
        <v>170</v>
      </c>
      <c r="B39" s="51" t="s">
        <v>538</v>
      </c>
      <c r="C39" s="63">
        <f>SUM(AnxRendInt!C47:'AnxRendInt'!C49)</f>
        <v>120987.23</v>
      </c>
      <c r="D39" s="63">
        <f>SUM(AnxRendInt!E47:'AnxRendInt'!E49)</f>
        <v>0</v>
      </c>
      <c r="E39" s="63">
        <f>SUM(AnxRendInt!G47:'AnxRendInt'!G49)</f>
        <v>0</v>
      </c>
      <c r="F39" s="63">
        <f>SUM(AnxRendInt!I47:'AnxRendInt'!I49)</f>
        <v>0</v>
      </c>
      <c r="G39" s="63">
        <f>SUM(AnxRendInt!K47:'AnxRendInt'!K49)</f>
        <v>0</v>
      </c>
      <c r="H39" s="63">
        <f>SUM(AnxRendInt!M47:'AnxRendInt'!M49)</f>
        <v>0</v>
      </c>
      <c r="I39" s="63">
        <f>SUM(AnxRendInt!O47:'AnxRendInt'!O49)</f>
        <v>0</v>
      </c>
      <c r="J39" s="63">
        <f>SUM(AnxRendInt!Q47:'AnxRendInt'!Q49)</f>
        <v>0</v>
      </c>
      <c r="K39" s="63">
        <f>SUM(AnxRendInt!S47:'AnxRendInt'!S49)</f>
        <v>0</v>
      </c>
      <c r="L39" s="63">
        <f>SUM(AnxRendInt!U47:'AnxRendInt'!U49)</f>
        <v>0</v>
      </c>
      <c r="M39" s="63">
        <f>SUM(AnxRendInt!W47:'AnxRendInt'!W49)</f>
        <v>0</v>
      </c>
      <c r="N39" s="61">
        <f t="shared" si="1"/>
        <v>120987.23</v>
      </c>
      <c r="O39" s="200"/>
      <c r="P39" s="695">
        <v>141804</v>
      </c>
      <c r="Q39" s="694">
        <v>120987.23</v>
      </c>
      <c r="R39" s="769"/>
      <c r="S39" s="217"/>
      <c r="T39" s="217"/>
      <c r="U39" s="473"/>
      <c r="X39" s="475"/>
      <c r="Y39" s="475"/>
      <c r="Z39" s="218"/>
    </row>
    <row r="40" spans="1:26" s="59" customFormat="1" ht="17.25" customHeight="1">
      <c r="A40" s="323" t="s">
        <v>33</v>
      </c>
      <c r="B40" s="10" t="s">
        <v>34</v>
      </c>
      <c r="C40" s="61">
        <f>SUM(C41:C43)</f>
        <v>10400368.940000001</v>
      </c>
      <c r="D40" s="61">
        <f t="shared" ref="D40:M40" si="10">SUM(D41:D43)</f>
        <v>3560491.1399999997</v>
      </c>
      <c r="E40" s="61">
        <f t="shared" si="10"/>
        <v>3457811.46</v>
      </c>
      <c r="F40" s="61">
        <f t="shared" si="10"/>
        <v>3511399.28</v>
      </c>
      <c r="G40" s="61">
        <f>SUM(G41:G43)</f>
        <v>3317382.7600000002</v>
      </c>
      <c r="H40" s="61">
        <f t="shared" si="10"/>
        <v>3183854.83</v>
      </c>
      <c r="I40" s="61">
        <f t="shared" si="10"/>
        <v>9006451.3699999992</v>
      </c>
      <c r="J40" s="61">
        <f t="shared" si="10"/>
        <v>7813991.4799999995</v>
      </c>
      <c r="K40" s="61">
        <f t="shared" si="10"/>
        <v>22784945.75</v>
      </c>
      <c r="L40" s="61">
        <f t="shared" si="10"/>
        <v>32460068.18</v>
      </c>
      <c r="M40" s="485">
        <f t="shared" si="10"/>
        <v>2432835.92</v>
      </c>
      <c r="N40" s="61">
        <f t="shared" si="1"/>
        <v>101929601.11</v>
      </c>
      <c r="O40" s="207"/>
      <c r="P40" s="623"/>
      <c r="Q40" s="684"/>
      <c r="R40" s="764"/>
      <c r="S40" s="217"/>
      <c r="T40" s="217"/>
      <c r="U40" s="473"/>
      <c r="X40" s="475"/>
      <c r="Y40" s="475"/>
      <c r="Z40" s="218"/>
    </row>
    <row r="41" spans="1:26" s="59" customFormat="1" ht="17.25" customHeight="1">
      <c r="A41" s="321" t="s">
        <v>157</v>
      </c>
      <c r="B41" s="54" t="s">
        <v>154</v>
      </c>
      <c r="C41" s="63">
        <f>AnxRendInt!C51</f>
        <v>9096513.1500000004</v>
      </c>
      <c r="D41" s="63">
        <f>AnxRendInt!E51</f>
        <v>3539611.28</v>
      </c>
      <c r="E41" s="63">
        <f>AnxRendInt!G51</f>
        <v>3437979.93</v>
      </c>
      <c r="F41" s="63">
        <f>AnxRendInt!I51</f>
        <v>3490643.15</v>
      </c>
      <c r="G41" s="63">
        <f>AnxRendInt!K51</f>
        <v>3297477.77</v>
      </c>
      <c r="H41" s="63">
        <f>AnxRendInt!M51</f>
        <v>3163099.15</v>
      </c>
      <c r="I41" s="63">
        <f>AnxRendInt!O51</f>
        <v>8940600.25</v>
      </c>
      <c r="J41" s="63">
        <f>AnxRendInt!Q51</f>
        <v>7749187.2599999998</v>
      </c>
      <c r="K41" s="63">
        <f>AnxRendInt!S51</f>
        <v>22566894.559999999</v>
      </c>
      <c r="L41" s="63">
        <f>AnxRendInt!U51</f>
        <v>31865252.91</v>
      </c>
      <c r="M41" s="63">
        <f>AnxRendInt!W51</f>
        <v>2374298.63</v>
      </c>
      <c r="N41" s="61">
        <f t="shared" si="1"/>
        <v>99521558.039999977</v>
      </c>
      <c r="O41" s="196"/>
      <c r="P41" s="693">
        <v>141103</v>
      </c>
      <c r="Q41" s="694">
        <v>99521558.040000007</v>
      </c>
      <c r="R41" s="764">
        <f t="shared" si="2"/>
        <v>0</v>
      </c>
      <c r="S41" s="217"/>
      <c r="T41" s="217"/>
      <c r="U41" s="473"/>
      <c r="X41" s="475"/>
      <c r="Y41" s="475"/>
      <c r="Z41" s="218"/>
    </row>
    <row r="42" spans="1:26" s="59" customFormat="1" ht="17.25" customHeight="1">
      <c r="A42" s="321" t="s">
        <v>164</v>
      </c>
      <c r="B42" s="54" t="s">
        <v>155</v>
      </c>
      <c r="C42" s="63">
        <f>AnxRendInt!C52</f>
        <v>22582.560000000001</v>
      </c>
      <c r="D42" s="63">
        <f>AnxRendInt!E52</f>
        <v>20879.86</v>
      </c>
      <c r="E42" s="63">
        <f>AnxRendInt!G52</f>
        <v>19831.53</v>
      </c>
      <c r="F42" s="63">
        <f>AnxRendInt!I52</f>
        <v>20756.13</v>
      </c>
      <c r="G42" s="63">
        <f>AnxRendInt!K52</f>
        <v>19904.990000000002</v>
      </c>
      <c r="H42" s="63">
        <f>AnxRendInt!M52</f>
        <v>20755.68</v>
      </c>
      <c r="I42" s="63">
        <f>AnxRendInt!O52</f>
        <v>65851.12</v>
      </c>
      <c r="J42" s="63">
        <f>AnxRendInt!Q52</f>
        <v>64804.22</v>
      </c>
      <c r="K42" s="63">
        <f>AnxRendInt!S52</f>
        <v>218051.19</v>
      </c>
      <c r="L42" s="63">
        <f>AnxRendInt!U52</f>
        <v>594815.27</v>
      </c>
      <c r="M42" s="63">
        <f>AnxRendInt!W52</f>
        <v>58537.29</v>
      </c>
      <c r="N42" s="61">
        <f t="shared" si="1"/>
        <v>1126769.8400000001</v>
      </c>
      <c r="O42" s="196"/>
      <c r="P42" s="693">
        <v>141403</v>
      </c>
      <c r="Q42" s="694">
        <v>1126769.8400000001</v>
      </c>
      <c r="R42" s="764">
        <f t="shared" si="2"/>
        <v>0</v>
      </c>
      <c r="S42" s="217"/>
      <c r="T42" s="217"/>
      <c r="U42" s="473"/>
      <c r="X42" s="475"/>
      <c r="Y42" s="475"/>
      <c r="Z42" s="218"/>
    </row>
    <row r="43" spans="1:26" s="59" customFormat="1" ht="17.25" customHeight="1">
      <c r="A43" s="322" t="s">
        <v>169</v>
      </c>
      <c r="B43" s="51" t="s">
        <v>539</v>
      </c>
      <c r="C43" s="63">
        <f>SUM(AnxRendInt!C53:'AnxRendInt'!C55)</f>
        <v>1281273.23</v>
      </c>
      <c r="D43" s="63">
        <f>SUM(AnxRendInt!E53:'AnxRendInt'!E55)</f>
        <v>0</v>
      </c>
      <c r="E43" s="63">
        <f>SUM(AnxRendInt!G53:'AnxRendInt'!G55)</f>
        <v>0</v>
      </c>
      <c r="F43" s="63">
        <f>SUM(AnxRendInt!I53:'AnxRendInt'!I55)</f>
        <v>0</v>
      </c>
      <c r="G43" s="63">
        <f>SUM(AnxRendInt!K53:'AnxRendInt'!K55)</f>
        <v>0</v>
      </c>
      <c r="H43" s="63">
        <f>SUM(AnxRendInt!M53:'AnxRendInt'!M55)</f>
        <v>0</v>
      </c>
      <c r="I43" s="63">
        <f>SUM(AnxRendInt!O53:'AnxRendInt'!O55)</f>
        <v>0</v>
      </c>
      <c r="J43" s="63">
        <f>SUM(AnxRendInt!Q53:'AnxRendInt'!Q55)</f>
        <v>0</v>
      </c>
      <c r="K43" s="63">
        <f>SUM(AnxRendInt!S53:'AnxRendInt'!S55)</f>
        <v>0</v>
      </c>
      <c r="L43" s="63">
        <f>SUM(AnxRendInt!U53:'AnxRendInt'!U55)</f>
        <v>0</v>
      </c>
      <c r="M43" s="63">
        <f>SUM(AnxRendInt!W53:'AnxRendInt'!W55)</f>
        <v>0</v>
      </c>
      <c r="N43" s="61">
        <f t="shared" si="1"/>
        <v>1281273.23</v>
      </c>
      <c r="O43" s="196"/>
      <c r="P43" s="693">
        <v>141803</v>
      </c>
      <c r="Q43" s="694">
        <v>1281273.23</v>
      </c>
      <c r="R43" s="769"/>
      <c r="T43" s="207"/>
      <c r="U43" s="473"/>
      <c r="X43" s="475"/>
      <c r="Y43" s="475"/>
      <c r="Z43" s="218"/>
    </row>
    <row r="44" spans="1:26" s="59" customFormat="1" ht="17.25" customHeight="1">
      <c r="A44" s="11" t="s">
        <v>35</v>
      </c>
      <c r="B44" s="10" t="s">
        <v>36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85"/>
      <c r="N44" s="61">
        <f t="shared" si="1"/>
        <v>0</v>
      </c>
      <c r="O44" s="189"/>
      <c r="P44" s="634" t="s">
        <v>288</v>
      </c>
      <c r="Q44" s="700" t="s">
        <v>293</v>
      </c>
      <c r="R44" s="682"/>
      <c r="T44" s="537"/>
      <c r="U44" s="473"/>
      <c r="X44" s="475"/>
      <c r="Y44" s="475"/>
      <c r="Z44" s="218"/>
    </row>
    <row r="45" spans="1:26" s="59" customFormat="1" ht="17.25" customHeight="1">
      <c r="A45" s="11" t="s">
        <v>37</v>
      </c>
      <c r="B45" s="10" t="s">
        <v>38</v>
      </c>
      <c r="C45" s="849">
        <v>994124.09</v>
      </c>
      <c r="D45" s="849">
        <v>2110535.7799999998</v>
      </c>
      <c r="E45" s="849">
        <v>268812.37</v>
      </c>
      <c r="F45" s="849">
        <v>483710.98</v>
      </c>
      <c r="G45" s="849"/>
      <c r="H45" s="849"/>
      <c r="I45" s="849"/>
      <c r="J45" s="849"/>
      <c r="K45" s="849"/>
      <c r="L45" s="849"/>
      <c r="M45" s="850"/>
      <c r="N45" s="61">
        <f t="shared" si="1"/>
        <v>3857183.2199999997</v>
      </c>
      <c r="O45" s="208"/>
      <c r="P45" s="701" t="s">
        <v>469</v>
      </c>
      <c r="Q45" s="684">
        <f>+T81+T82</f>
        <v>2863059.14</v>
      </c>
      <c r="R45" s="769">
        <f>+Q45-N45</f>
        <v>-994124.07999999961</v>
      </c>
      <c r="S45" s="601">
        <v>2313</v>
      </c>
      <c r="T45" s="725">
        <v>1000000</v>
      </c>
      <c r="U45" s="475"/>
      <c r="V45" s="608" t="s">
        <v>451</v>
      </c>
      <c r="W45" s="727"/>
      <c r="X45" s="475"/>
      <c r="Y45" s="475"/>
      <c r="Z45" s="218"/>
    </row>
    <row r="46" spans="1:26" s="59" customFormat="1" ht="17.25" customHeight="1">
      <c r="A46" s="1"/>
      <c r="B46" s="1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489"/>
      <c r="N46" s="61">
        <f t="shared" si="1"/>
        <v>0</v>
      </c>
      <c r="O46" s="189"/>
      <c r="P46" s="634" t="s">
        <v>288</v>
      </c>
      <c r="Q46" s="537"/>
      <c r="R46" s="682"/>
      <c r="S46" s="601">
        <v>2318</v>
      </c>
      <c r="T46" s="738">
        <v>74.84</v>
      </c>
      <c r="U46" s="475"/>
      <c r="V46" s="609">
        <v>2411</v>
      </c>
      <c r="W46" s="727">
        <v>0</v>
      </c>
      <c r="X46" s="475"/>
      <c r="Y46" s="475"/>
      <c r="Z46" s="218"/>
    </row>
    <row r="47" spans="1:26" s="59" customFormat="1" ht="16.5">
      <c r="A47" s="1"/>
      <c r="B47" s="15" t="s">
        <v>0</v>
      </c>
      <c r="C47" s="64">
        <f>+C9+SUM(C10:C12)+C13+C27+C36+C40+C45</f>
        <v>65098137.909999996</v>
      </c>
      <c r="D47" s="64">
        <f t="shared" ref="D47:M47" si="11">+D9+SUM(D10:D12)+D13+D27+D36+D40+D45</f>
        <v>29461822.740000002</v>
      </c>
      <c r="E47" s="64">
        <f t="shared" si="11"/>
        <v>21750680.520000003</v>
      </c>
      <c r="F47" s="64">
        <f t="shared" si="11"/>
        <v>16168501.33</v>
      </c>
      <c r="G47" s="64">
        <f t="shared" si="11"/>
        <v>18803035.689999998</v>
      </c>
      <c r="H47" s="64">
        <f t="shared" si="11"/>
        <v>16638816.949999997</v>
      </c>
      <c r="I47" s="64">
        <f t="shared" si="11"/>
        <v>43807509.459999993</v>
      </c>
      <c r="J47" s="64">
        <f t="shared" si="11"/>
        <v>34521814.780000001</v>
      </c>
      <c r="K47" s="64">
        <f t="shared" si="11"/>
        <v>87154477.420000017</v>
      </c>
      <c r="L47" s="64">
        <f t="shared" si="11"/>
        <v>98629254.210000008</v>
      </c>
      <c r="M47" s="64">
        <f t="shared" si="11"/>
        <v>16471110.159999998</v>
      </c>
      <c r="N47" s="64">
        <f t="shared" si="1"/>
        <v>448505161.17000002</v>
      </c>
      <c r="O47" s="189"/>
      <c r="P47" s="702"/>
      <c r="Q47" s="537"/>
      <c r="R47" s="682"/>
      <c r="S47" s="613">
        <v>25170301</v>
      </c>
      <c r="T47" s="726">
        <f>IF(U47&lt;0,0,U47)</f>
        <v>0</v>
      </c>
      <c r="U47" s="754">
        <v>-1459991.67</v>
      </c>
      <c r="V47" s="609">
        <v>2412</v>
      </c>
      <c r="W47" s="727">
        <v>7825935.04</v>
      </c>
      <c r="X47" s="475"/>
      <c r="Y47" s="475"/>
      <c r="Z47" s="218"/>
    </row>
    <row r="48" spans="1:26" s="59" customFormat="1" ht="16.5">
      <c r="A48" s="1"/>
      <c r="B48" s="6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223"/>
      <c r="M48" s="337"/>
      <c r="N48" s="61"/>
      <c r="O48" s="189"/>
      <c r="P48" s="696"/>
      <c r="Q48" s="537"/>
      <c r="R48" s="682"/>
      <c r="S48" s="613">
        <v>25170302</v>
      </c>
      <c r="T48" s="726">
        <f t="shared" ref="T48:T49" si="12">IF(U48&lt;0,0,U48)</f>
        <v>1397.06</v>
      </c>
      <c r="U48" s="754">
        <v>1397.06</v>
      </c>
      <c r="V48" s="609">
        <v>2413</v>
      </c>
      <c r="W48" s="727">
        <v>0</v>
      </c>
      <c r="X48" s="475"/>
      <c r="Y48" s="475"/>
      <c r="Z48" s="218"/>
    </row>
    <row r="49" spans="1:26" s="59" customFormat="1" ht="17.25" customHeight="1">
      <c r="A49" s="17" t="s">
        <v>41</v>
      </c>
      <c r="B49" s="10" t="s">
        <v>42</v>
      </c>
      <c r="C49" s="62">
        <v>5276808.3600000003</v>
      </c>
      <c r="D49" s="62">
        <v>4641760.58</v>
      </c>
      <c r="E49" s="62">
        <v>5536606.9299999997</v>
      </c>
      <c r="F49" s="62">
        <v>6569459.1500000004</v>
      </c>
      <c r="G49" s="62">
        <v>5437058.3300000001</v>
      </c>
      <c r="H49" s="62">
        <v>4970182.2</v>
      </c>
      <c r="I49" s="62">
        <v>10635453.9</v>
      </c>
      <c r="J49" s="62">
        <v>12752010.82</v>
      </c>
      <c r="K49" s="62">
        <v>20266937.43</v>
      </c>
      <c r="L49" s="62">
        <v>1143815.3700000001</v>
      </c>
      <c r="M49" s="489"/>
      <c r="N49" s="61">
        <f>SUM(C49:M49)</f>
        <v>77230093.070000008</v>
      </c>
      <c r="O49" s="196"/>
      <c r="P49" s="703" t="s">
        <v>415</v>
      </c>
      <c r="Q49" s="537">
        <v>174369351.44999999</v>
      </c>
      <c r="R49" s="776">
        <f>+Q49-SUM(N49:N51)</f>
        <v>-1.0000020265579224E-2</v>
      </c>
      <c r="S49" s="613">
        <v>25170303</v>
      </c>
      <c r="T49" s="726">
        <f t="shared" si="12"/>
        <v>10867.36</v>
      </c>
      <c r="U49" s="755">
        <v>10867.36</v>
      </c>
      <c r="V49" s="609">
        <v>2416</v>
      </c>
      <c r="W49" s="727">
        <v>295788.42</v>
      </c>
      <c r="X49" s="475"/>
      <c r="Y49" s="475"/>
      <c r="Z49" s="218"/>
    </row>
    <row r="50" spans="1:26" s="59" customFormat="1" ht="17.25" customHeight="1">
      <c r="A50" s="17" t="s">
        <v>41</v>
      </c>
      <c r="B50" s="10" t="s">
        <v>43</v>
      </c>
      <c r="C50" s="62">
        <v>2389039.48</v>
      </c>
      <c r="D50" s="62">
        <v>3479771.62</v>
      </c>
      <c r="E50" s="62">
        <v>3148473.75</v>
      </c>
      <c r="F50" s="62">
        <v>4503239.3899999997</v>
      </c>
      <c r="G50" s="62">
        <v>3983613.35</v>
      </c>
      <c r="H50" s="62">
        <v>4187939.88</v>
      </c>
      <c r="I50" s="62">
        <v>10703341.380000001</v>
      </c>
      <c r="J50" s="62">
        <v>10328606.779999999</v>
      </c>
      <c r="K50" s="62">
        <v>18739263.52</v>
      </c>
      <c r="L50" s="62">
        <v>1933679.23</v>
      </c>
      <c r="M50" s="489"/>
      <c r="N50" s="61">
        <f>SUM(C50:M50)</f>
        <v>63396968.380000003</v>
      </c>
      <c r="O50" s="189"/>
      <c r="P50" s="703">
        <v>211704</v>
      </c>
      <c r="Q50" s="537">
        <v>48614007.07</v>
      </c>
      <c r="R50" s="720"/>
      <c r="S50" s="613">
        <v>25170309</v>
      </c>
      <c r="T50" s="727">
        <v>123049.91</v>
      </c>
      <c r="U50" s="728"/>
      <c r="V50" s="609" t="s">
        <v>452</v>
      </c>
      <c r="W50" s="727">
        <v>0</v>
      </c>
      <c r="X50" s="475"/>
      <c r="Y50" s="475"/>
      <c r="Z50" s="218"/>
    </row>
    <row r="51" spans="1:26" s="59" customFormat="1" ht="17.25" customHeight="1">
      <c r="A51" s="17" t="s">
        <v>41</v>
      </c>
      <c r="B51" s="10" t="s">
        <v>44</v>
      </c>
      <c r="C51" s="62">
        <v>2524427.35</v>
      </c>
      <c r="D51" s="62">
        <v>513908</v>
      </c>
      <c r="E51" s="62">
        <v>1609458.06</v>
      </c>
      <c r="F51" s="62">
        <v>1554616.89</v>
      </c>
      <c r="G51" s="62">
        <v>6109800.9800000004</v>
      </c>
      <c r="H51" s="62">
        <v>1000000</v>
      </c>
      <c r="I51" s="62">
        <v>1298418.18</v>
      </c>
      <c r="J51" s="62">
        <v>9221591.6999999993</v>
      </c>
      <c r="K51" s="62">
        <v>5910068.8499999996</v>
      </c>
      <c r="L51" s="62">
        <v>4000000</v>
      </c>
      <c r="M51" s="489"/>
      <c r="N51" s="61">
        <f>SUM(C51:M51)</f>
        <v>33742290.009999998</v>
      </c>
      <c r="O51" s="189"/>
      <c r="P51" s="703">
        <v>2118</v>
      </c>
      <c r="Q51" s="537">
        <v>6657505.0499999998</v>
      </c>
      <c r="R51" s="720"/>
      <c r="S51" s="613" t="s">
        <v>462</v>
      </c>
      <c r="T51" s="727">
        <v>169491.33</v>
      </c>
      <c r="U51" s="728"/>
      <c r="V51" s="609" t="s">
        <v>453</v>
      </c>
      <c r="W51" s="727">
        <v>0</v>
      </c>
      <c r="X51" s="475"/>
      <c r="Y51" s="475"/>
      <c r="Z51" s="218"/>
    </row>
    <row r="52" spans="1:26" s="59" customFormat="1" ht="17.25" customHeight="1">
      <c r="A52" s="8" t="s">
        <v>130</v>
      </c>
      <c r="B52" s="48" t="s">
        <v>131</v>
      </c>
      <c r="C52" s="61">
        <v>2499662.94</v>
      </c>
      <c r="D52" s="61">
        <v>2697997.37</v>
      </c>
      <c r="E52" s="61">
        <v>6199835.1500000004</v>
      </c>
      <c r="F52" s="61">
        <v>3542577.49</v>
      </c>
      <c r="G52" s="61">
        <v>3141042.76</v>
      </c>
      <c r="H52" s="61">
        <v>3048392.33</v>
      </c>
      <c r="I52" s="61">
        <v>6863561.3600000003</v>
      </c>
      <c r="J52" s="61">
        <v>6912571.7000000002</v>
      </c>
      <c r="K52" s="61">
        <v>14479484.210000001</v>
      </c>
      <c r="L52" s="61">
        <v>5886386.8099999996</v>
      </c>
      <c r="M52" s="485"/>
      <c r="N52" s="61">
        <f t="shared" ref="N52:N61" si="13">SUM(C52:M52)</f>
        <v>55271512.120000005</v>
      </c>
      <c r="O52" s="189"/>
      <c r="P52" s="703" t="s">
        <v>416</v>
      </c>
      <c r="Q52" s="709">
        <f>+Q50+Q51</f>
        <v>55271512.119999997</v>
      </c>
      <c r="R52" s="768">
        <f>+Q52-N52</f>
        <v>0</v>
      </c>
      <c r="S52" s="614">
        <v>25170501</v>
      </c>
      <c r="T52" s="727">
        <v>77644.28</v>
      </c>
      <c r="U52" s="728"/>
      <c r="V52" s="609">
        <v>2612</v>
      </c>
      <c r="W52" s="727">
        <v>7718405.1299999999</v>
      </c>
      <c r="X52" s="475"/>
      <c r="Y52" s="475"/>
    </row>
    <row r="53" spans="1:26" s="59" customFormat="1" ht="17.25" customHeight="1">
      <c r="A53" s="17">
        <v>2210</v>
      </c>
      <c r="B53" s="14" t="s">
        <v>45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85"/>
      <c r="N53" s="61">
        <f t="shared" si="13"/>
        <v>0</v>
      </c>
      <c r="O53" s="189"/>
      <c r="P53" s="634" t="s">
        <v>288</v>
      </c>
      <c r="Q53" s="709"/>
      <c r="R53" s="721"/>
      <c r="S53" s="614">
        <v>2517050201</v>
      </c>
      <c r="T53" s="727">
        <v>6589.15</v>
      </c>
      <c r="U53" s="728"/>
      <c r="V53" s="609">
        <v>2613</v>
      </c>
      <c r="W53" s="727">
        <v>0</v>
      </c>
      <c r="X53" s="475"/>
      <c r="Y53" s="475"/>
    </row>
    <row r="54" spans="1:26" s="59" customFormat="1" ht="17.25" customHeight="1">
      <c r="A54" s="17" t="s">
        <v>46</v>
      </c>
      <c r="B54" s="14" t="s">
        <v>8</v>
      </c>
      <c r="C54" s="61">
        <v>1000074.84</v>
      </c>
      <c r="D54" s="61"/>
      <c r="E54" s="61"/>
      <c r="F54" s="61"/>
      <c r="G54" s="61"/>
      <c r="H54" s="61"/>
      <c r="I54" s="61"/>
      <c r="J54" s="61"/>
      <c r="K54" s="61"/>
      <c r="L54" s="61"/>
      <c r="M54" s="485"/>
      <c r="N54" s="61">
        <f t="shared" si="13"/>
        <v>1000074.84</v>
      </c>
      <c r="O54" s="209"/>
      <c r="P54" s="704" t="s">
        <v>417</v>
      </c>
      <c r="Q54" s="709">
        <f>+T45+T46</f>
        <v>1000074.84</v>
      </c>
      <c r="R54" s="776">
        <f>+Q54-N54</f>
        <v>0</v>
      </c>
      <c r="S54" s="613" t="s">
        <v>463</v>
      </c>
      <c r="T54" s="728">
        <v>0</v>
      </c>
      <c r="U54" s="743"/>
      <c r="V54" s="609">
        <v>2616</v>
      </c>
      <c r="W54" s="727">
        <v>3892906.67</v>
      </c>
      <c r="X54" s="475"/>
      <c r="Y54" s="475"/>
    </row>
    <row r="55" spans="1:26" s="59" customFormat="1" ht="17.25" customHeight="1">
      <c r="A55" s="173" t="s">
        <v>123</v>
      </c>
      <c r="B55" s="171" t="s">
        <v>119</v>
      </c>
      <c r="C55" s="178">
        <v>575234.64</v>
      </c>
      <c r="D55" s="178">
        <v>505437.66</v>
      </c>
      <c r="E55" s="178">
        <v>495504.77</v>
      </c>
      <c r="F55" s="178">
        <v>548051.68000000005</v>
      </c>
      <c r="G55" s="178">
        <v>833960.64</v>
      </c>
      <c r="H55" s="178">
        <v>819825.8</v>
      </c>
      <c r="I55" s="178">
        <v>2270106.56</v>
      </c>
      <c r="J55" s="178">
        <v>2007408.19</v>
      </c>
      <c r="K55" s="178">
        <v>6409223.4199999999</v>
      </c>
      <c r="L55" s="178">
        <v>3238862.95</v>
      </c>
      <c r="M55" s="491">
        <v>1950301.4</v>
      </c>
      <c r="N55" s="139">
        <f t="shared" si="13"/>
        <v>19653917.709999997</v>
      </c>
      <c r="O55" s="221"/>
      <c r="P55" s="703" t="s">
        <v>450</v>
      </c>
      <c r="Q55" s="709">
        <f>SUM(W46:W56)</f>
        <v>19733035.259999998</v>
      </c>
      <c r="R55" s="776">
        <f>+Q55-N55</f>
        <v>79117.550000000745</v>
      </c>
      <c r="S55" s="615" t="s">
        <v>464</v>
      </c>
      <c r="T55" s="727">
        <v>609459.59</v>
      </c>
      <c r="U55" s="728"/>
      <c r="V55" s="609" t="s">
        <v>454</v>
      </c>
      <c r="W55" s="727">
        <v>0</v>
      </c>
      <c r="X55" s="475"/>
      <c r="Y55" s="475"/>
    </row>
    <row r="56" spans="1:26" s="59" customFormat="1" ht="17.25" customHeight="1">
      <c r="A56" s="173" t="s">
        <v>124</v>
      </c>
      <c r="B56" s="171" t="s">
        <v>120</v>
      </c>
      <c r="C56" s="178">
        <v>0</v>
      </c>
      <c r="D56" s="178"/>
      <c r="E56" s="178"/>
      <c r="F56" s="178"/>
      <c r="G56" s="178"/>
      <c r="H56" s="178"/>
      <c r="I56" s="178"/>
      <c r="J56" s="178"/>
      <c r="K56" s="178"/>
      <c r="L56" s="178"/>
      <c r="M56" s="492"/>
      <c r="N56" s="139">
        <f t="shared" si="13"/>
        <v>0</v>
      </c>
      <c r="O56" s="221"/>
      <c r="P56" s="703" t="s">
        <v>124</v>
      </c>
      <c r="Q56" s="709">
        <f>SUM(W59:W68)</f>
        <v>0</v>
      </c>
      <c r="R56" s="768">
        <f>+Q56-N56</f>
        <v>0</v>
      </c>
      <c r="S56" s="615" t="s">
        <v>465</v>
      </c>
      <c r="T56" s="729">
        <v>48614007.07</v>
      </c>
      <c r="U56" s="189" t="s">
        <v>423</v>
      </c>
      <c r="V56" s="609" t="s">
        <v>455</v>
      </c>
      <c r="W56" s="727">
        <v>0</v>
      </c>
      <c r="X56" s="475"/>
      <c r="Y56" s="475"/>
    </row>
    <row r="57" spans="1:26" s="59" customFormat="1" ht="17.25" customHeight="1">
      <c r="A57" s="17" t="s">
        <v>47</v>
      </c>
      <c r="B57" s="10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337"/>
      <c r="N57" s="61">
        <f t="shared" si="13"/>
        <v>0</v>
      </c>
      <c r="O57" s="189"/>
      <c r="P57" s="634" t="s">
        <v>288</v>
      </c>
      <c r="Q57" s="623"/>
      <c r="R57" s="721"/>
      <c r="S57" s="615" t="s">
        <v>466</v>
      </c>
      <c r="T57" s="727">
        <v>2678998.4700000002</v>
      </c>
      <c r="U57" s="189"/>
      <c r="V57" s="475"/>
      <c r="W57" s="739"/>
      <c r="X57" s="475"/>
      <c r="Y57" s="475"/>
    </row>
    <row r="58" spans="1:26" s="59" customFormat="1" ht="17.25" customHeight="1">
      <c r="A58" s="17" t="s">
        <v>49</v>
      </c>
      <c r="B58" s="1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337"/>
      <c r="N58" s="61">
        <f t="shared" si="13"/>
        <v>0</v>
      </c>
      <c r="O58" s="189"/>
      <c r="P58" s="634" t="s">
        <v>288</v>
      </c>
      <c r="Q58" s="715"/>
      <c r="R58" s="722"/>
      <c r="S58" s="615" t="s">
        <v>467</v>
      </c>
      <c r="T58" s="729">
        <v>6657505.0499999998</v>
      </c>
      <c r="U58" s="189" t="s">
        <v>423</v>
      </c>
      <c r="V58" s="608" t="s">
        <v>456</v>
      </c>
      <c r="W58" s="754"/>
      <c r="X58" s="475"/>
      <c r="Y58" s="475"/>
    </row>
    <row r="59" spans="1:26" s="59" customFormat="1" ht="17.25" customHeight="1">
      <c r="A59" s="17" t="s">
        <v>51</v>
      </c>
      <c r="B59" s="1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337"/>
      <c r="N59" s="61">
        <f t="shared" si="13"/>
        <v>0</v>
      </c>
      <c r="O59" s="208"/>
      <c r="P59" s="704" t="s">
        <v>418</v>
      </c>
      <c r="Q59" s="709"/>
      <c r="R59" s="722"/>
      <c r="S59" s="615" t="s">
        <v>468</v>
      </c>
      <c r="T59" s="733">
        <v>39732.230000000003</v>
      </c>
      <c r="U59" s="473"/>
      <c r="V59" s="609">
        <v>2414</v>
      </c>
      <c r="W59" s="754">
        <v>0</v>
      </c>
      <c r="X59" s="475"/>
      <c r="Y59" s="475"/>
    </row>
    <row r="60" spans="1:26" s="59" customFormat="1" ht="17.25" customHeight="1">
      <c r="A60" s="1"/>
      <c r="B60" s="1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224"/>
      <c r="M60" s="337"/>
      <c r="N60" s="61">
        <f t="shared" si="13"/>
        <v>0</v>
      </c>
      <c r="O60" s="189"/>
      <c r="P60" s="634" t="s">
        <v>288</v>
      </c>
      <c r="Q60" s="684"/>
      <c r="R60" s="722"/>
      <c r="T60" s="730">
        <f>SUM(T47:T59)</f>
        <v>58988741.499999993</v>
      </c>
      <c r="U60" s="472"/>
      <c r="V60" s="609">
        <v>2415</v>
      </c>
      <c r="W60" s="754">
        <v>0</v>
      </c>
      <c r="X60" s="475"/>
      <c r="Y60" s="475"/>
    </row>
    <row r="61" spans="1:26" s="59" customFormat="1" ht="16.5">
      <c r="A61" s="1"/>
      <c r="B61" s="15" t="s">
        <v>1</v>
      </c>
      <c r="C61" s="64">
        <f t="shared" ref="C61:M61" si="14">SUM(C49:C60)</f>
        <v>14265247.609999999</v>
      </c>
      <c r="D61" s="64">
        <f t="shared" si="14"/>
        <v>11838875.23</v>
      </c>
      <c r="E61" s="64">
        <f t="shared" si="14"/>
        <v>16989878.66</v>
      </c>
      <c r="F61" s="64">
        <f t="shared" si="14"/>
        <v>16717944.6</v>
      </c>
      <c r="G61" s="64">
        <f t="shared" si="14"/>
        <v>19505476.060000002</v>
      </c>
      <c r="H61" s="64">
        <f t="shared" si="14"/>
        <v>14026340.210000001</v>
      </c>
      <c r="I61" s="64">
        <f t="shared" si="14"/>
        <v>31770881.379999999</v>
      </c>
      <c r="J61" s="64">
        <f t="shared" si="14"/>
        <v>41222189.189999998</v>
      </c>
      <c r="K61" s="64">
        <f t="shared" si="14"/>
        <v>65804977.430000007</v>
      </c>
      <c r="L61" s="64">
        <f t="shared" si="14"/>
        <v>16202744.359999999</v>
      </c>
      <c r="M61" s="490">
        <f t="shared" si="14"/>
        <v>1950301.4</v>
      </c>
      <c r="N61" s="64">
        <f t="shared" si="13"/>
        <v>250294856.13000003</v>
      </c>
      <c r="O61" s="207"/>
      <c r="P61" s="705"/>
      <c r="Q61" s="684"/>
      <c r="R61" s="722"/>
      <c r="S61" s="594">
        <v>151401</v>
      </c>
      <c r="T61" s="731">
        <v>0</v>
      </c>
      <c r="U61" s="595" t="s">
        <v>12</v>
      </c>
      <c r="V61" s="609">
        <v>2417</v>
      </c>
      <c r="W61" s="754">
        <v>0</v>
      </c>
      <c r="X61" s="475"/>
      <c r="Y61" s="475"/>
    </row>
    <row r="62" spans="1:26" s="59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493" t="s">
        <v>143</v>
      </c>
      <c r="N62" s="318" t="s">
        <v>20</v>
      </c>
      <c r="O62" s="189"/>
      <c r="P62" s="634"/>
      <c r="Q62" s="706"/>
      <c r="R62" s="683"/>
      <c r="S62" s="594">
        <v>151402</v>
      </c>
      <c r="T62" s="731">
        <v>292796.40000000002</v>
      </c>
      <c r="U62" s="595" t="s">
        <v>12</v>
      </c>
      <c r="V62" s="610" t="s">
        <v>457</v>
      </c>
      <c r="W62" s="754">
        <v>0</v>
      </c>
      <c r="X62" s="475"/>
      <c r="Y62" s="475"/>
    </row>
    <row r="63" spans="1:26" s="59" customFormat="1" ht="16.5">
      <c r="A63" s="1"/>
      <c r="B63" s="6" t="s">
        <v>21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484"/>
      <c r="N63" s="7"/>
      <c r="O63" s="196"/>
      <c r="P63" s="693"/>
      <c r="Q63" s="537"/>
      <c r="R63" s="683"/>
      <c r="S63" s="594">
        <v>151509</v>
      </c>
      <c r="T63" s="731">
        <v>0</v>
      </c>
      <c r="U63" s="595" t="s">
        <v>12</v>
      </c>
      <c r="V63" s="609" t="s">
        <v>453</v>
      </c>
      <c r="W63" s="754">
        <v>0</v>
      </c>
      <c r="X63" s="475"/>
      <c r="Y63" s="475"/>
    </row>
    <row r="64" spans="1:26" s="59" customFormat="1" ht="16.5">
      <c r="A64" s="8" t="s">
        <v>22</v>
      </c>
      <c r="B64" s="9" t="s">
        <v>23</v>
      </c>
      <c r="C64" s="281">
        <f>+Disponible!C65</f>
        <v>982506.84000000008</v>
      </c>
      <c r="D64" s="281">
        <f>+Disponible!D65</f>
        <v>755171.55</v>
      </c>
      <c r="E64" s="281">
        <f>+Disponible!E65</f>
        <v>804949.89</v>
      </c>
      <c r="F64" s="281">
        <f>+Disponible!F65</f>
        <v>704782.39</v>
      </c>
      <c r="G64" s="281">
        <f>+Disponible!G65</f>
        <v>746051.08</v>
      </c>
      <c r="H64" s="281">
        <f>+Disponible!H65</f>
        <v>619378.12</v>
      </c>
      <c r="I64" s="281">
        <f>+Disponible!I65</f>
        <v>1437403.65</v>
      </c>
      <c r="J64" s="281">
        <f>+Disponible!J65</f>
        <v>1868898.11</v>
      </c>
      <c r="K64" s="281">
        <f>+Disponible!K65+W8</f>
        <v>9417580.7799999975</v>
      </c>
      <c r="L64" s="281">
        <f>+Disponible!L65</f>
        <v>518767.08</v>
      </c>
      <c r="M64" s="494">
        <f>+Disponible!M65</f>
        <v>0</v>
      </c>
      <c r="N64" s="282">
        <f t="shared" ref="N64:N93" si="15">SUM(C64:M64)</f>
        <v>17855489.489999995</v>
      </c>
      <c r="O64" s="210"/>
      <c r="P64" s="707" t="s">
        <v>292</v>
      </c>
      <c r="Q64" s="708">
        <f>+S9</f>
        <v>17855489.490000002</v>
      </c>
      <c r="R64" s="752">
        <f>+Q64-N64</f>
        <v>0</v>
      </c>
      <c r="S64" s="594">
        <v>151701</v>
      </c>
      <c r="T64" s="731">
        <v>0</v>
      </c>
      <c r="U64" s="595" t="s">
        <v>12</v>
      </c>
      <c r="V64" s="609">
        <v>2614</v>
      </c>
      <c r="W64" s="754">
        <v>0</v>
      </c>
      <c r="X64" s="471"/>
      <c r="Y64" s="475"/>
    </row>
    <row r="65" spans="1:25" s="59" customFormat="1" ht="15" customHeight="1">
      <c r="A65" s="12" t="s">
        <v>132</v>
      </c>
      <c r="B65" s="10" t="s">
        <v>55</v>
      </c>
      <c r="C65" s="219">
        <v>0</v>
      </c>
      <c r="D65" s="219"/>
      <c r="E65" s="219"/>
      <c r="F65" s="219"/>
      <c r="G65" s="219"/>
      <c r="H65" s="219"/>
      <c r="I65" s="219"/>
      <c r="J65" s="219"/>
      <c r="K65" s="219"/>
      <c r="L65" s="219"/>
      <c r="M65" s="495"/>
      <c r="N65" s="61">
        <f t="shared" si="15"/>
        <v>0</v>
      </c>
      <c r="O65" s="189"/>
      <c r="P65" s="717" t="s">
        <v>458</v>
      </c>
      <c r="Q65" s="684"/>
      <c r="R65" s="709"/>
      <c r="S65" s="594">
        <v>151702</v>
      </c>
      <c r="T65" s="727">
        <v>70375.42</v>
      </c>
      <c r="U65" s="595" t="s">
        <v>12</v>
      </c>
      <c r="V65" s="609">
        <v>2615</v>
      </c>
      <c r="W65" s="754">
        <v>0</v>
      </c>
      <c r="X65" s="471"/>
      <c r="Y65" s="475"/>
    </row>
    <row r="66" spans="1:25" s="59" customFormat="1" ht="15" customHeight="1">
      <c r="A66" s="12" t="s">
        <v>128</v>
      </c>
      <c r="B66" s="10" t="s">
        <v>25</v>
      </c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495"/>
      <c r="N66" s="61">
        <f t="shared" si="15"/>
        <v>0</v>
      </c>
      <c r="O66" s="189"/>
      <c r="P66" s="634" t="s">
        <v>419</v>
      </c>
      <c r="Q66" s="684"/>
      <c r="R66" s="709"/>
      <c r="S66" s="594">
        <v>15171905</v>
      </c>
      <c r="T66" s="727">
        <v>0</v>
      </c>
      <c r="U66" s="595" t="s">
        <v>12</v>
      </c>
      <c r="V66" s="609">
        <v>2617</v>
      </c>
      <c r="W66" s="754">
        <v>0</v>
      </c>
      <c r="X66" s="471"/>
      <c r="Y66" s="475"/>
    </row>
    <row r="67" spans="1:25" s="59" customFormat="1" ht="17.25" customHeight="1">
      <c r="A67" s="17" t="s">
        <v>27</v>
      </c>
      <c r="B67" s="9" t="s">
        <v>56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487"/>
      <c r="N67" s="61">
        <f t="shared" si="15"/>
        <v>0</v>
      </c>
      <c r="O67" s="210"/>
      <c r="P67" s="634" t="s">
        <v>419</v>
      </c>
      <c r="Q67" s="684"/>
      <c r="R67" s="722"/>
      <c r="S67" s="594">
        <v>15171909</v>
      </c>
      <c r="T67" s="731">
        <v>77470.740000000005</v>
      </c>
      <c r="U67" s="595" t="s">
        <v>12</v>
      </c>
      <c r="V67" s="609" t="s">
        <v>454</v>
      </c>
      <c r="W67" s="754">
        <v>0</v>
      </c>
      <c r="X67" s="471"/>
      <c r="Y67" s="475"/>
    </row>
    <row r="68" spans="1:25" s="59" customFormat="1" ht="15" customHeight="1">
      <c r="A68" s="8" t="s">
        <v>29</v>
      </c>
      <c r="B68" s="10" t="s">
        <v>30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487"/>
      <c r="N68" s="61">
        <f t="shared" si="15"/>
        <v>0</v>
      </c>
      <c r="O68" s="210"/>
      <c r="P68" s="634" t="s">
        <v>419</v>
      </c>
      <c r="Q68" s="684"/>
      <c r="R68" s="722"/>
      <c r="S68" s="594">
        <v>15171910</v>
      </c>
      <c r="T68" s="727">
        <v>1285.72</v>
      </c>
      <c r="U68" s="595" t="s">
        <v>12</v>
      </c>
      <c r="V68" s="609" t="s">
        <v>455</v>
      </c>
      <c r="W68" s="754">
        <v>0</v>
      </c>
      <c r="X68" s="471"/>
      <c r="Y68" s="475"/>
    </row>
    <row r="69" spans="1:25" s="59" customFormat="1" ht="15" customHeight="1">
      <c r="A69" s="8" t="s">
        <v>31</v>
      </c>
      <c r="B69" s="10" t="s">
        <v>32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487"/>
      <c r="N69" s="61">
        <f t="shared" si="15"/>
        <v>0</v>
      </c>
      <c r="O69" s="210"/>
      <c r="P69" s="634" t="s">
        <v>419</v>
      </c>
      <c r="Q69" s="684"/>
      <c r="R69" s="722"/>
      <c r="S69" s="597" t="s">
        <v>439</v>
      </c>
      <c r="T69" s="727">
        <v>0</v>
      </c>
      <c r="U69" s="595" t="s">
        <v>12</v>
      </c>
      <c r="V69" s="189"/>
      <c r="W69" s="217"/>
      <c r="X69" s="471"/>
      <c r="Y69" s="475"/>
    </row>
    <row r="70" spans="1:25" s="59" customFormat="1" ht="15" customHeight="1">
      <c r="A70" s="8" t="s">
        <v>33</v>
      </c>
      <c r="B70" s="10" t="s">
        <v>34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487"/>
      <c r="N70" s="61">
        <f t="shared" si="15"/>
        <v>0</v>
      </c>
      <c r="O70" s="210"/>
      <c r="P70" s="634" t="s">
        <v>419</v>
      </c>
      <c r="Q70" s="684"/>
      <c r="R70" s="722"/>
      <c r="S70" s="598" t="s">
        <v>440</v>
      </c>
      <c r="T70" s="731">
        <v>50000</v>
      </c>
      <c r="U70" s="595" t="s">
        <v>12</v>
      </c>
      <c r="V70" s="217"/>
      <c r="W70" s="217"/>
      <c r="X70" s="478"/>
      <c r="Y70" s="475"/>
    </row>
    <row r="71" spans="1:25" s="59" customFormat="1" ht="15" customHeight="1">
      <c r="A71" s="11" t="s">
        <v>35</v>
      </c>
      <c r="B71" s="10" t="s">
        <v>36</v>
      </c>
      <c r="C71" s="67"/>
      <c r="D71" s="67"/>
      <c r="E71" s="67"/>
      <c r="F71" s="67"/>
      <c r="G71" s="67"/>
      <c r="H71" s="67"/>
      <c r="I71" s="67"/>
      <c r="J71" s="249"/>
      <c r="K71" s="67"/>
      <c r="L71" s="67"/>
      <c r="M71" s="487"/>
      <c r="N71" s="61">
        <f t="shared" si="15"/>
        <v>0</v>
      </c>
      <c r="O71" s="210"/>
      <c r="P71" s="634" t="s">
        <v>288</v>
      </c>
      <c r="Q71" s="709" t="s">
        <v>293</v>
      </c>
      <c r="R71" s="722"/>
      <c r="S71" s="598" t="s">
        <v>441</v>
      </c>
      <c r="T71" s="732">
        <v>2843948.35</v>
      </c>
      <c r="U71" s="595" t="s">
        <v>442</v>
      </c>
      <c r="V71" s="220"/>
      <c r="W71" s="217"/>
      <c r="X71" s="479"/>
      <c r="Y71" s="475"/>
    </row>
    <row r="72" spans="1:25" s="59" customFormat="1" ht="15" customHeight="1">
      <c r="A72" s="11" t="s">
        <v>37</v>
      </c>
      <c r="B72" s="10" t="s">
        <v>38</v>
      </c>
      <c r="C72" s="624">
        <f>+V72</f>
        <v>441928.27999999997</v>
      </c>
      <c r="D72" s="624"/>
      <c r="E72" s="624">
        <f>+V73</f>
        <v>663241.04999999993</v>
      </c>
      <c r="F72" s="624"/>
      <c r="G72" s="624"/>
      <c r="H72" s="624"/>
      <c r="I72" s="625"/>
      <c r="J72" s="624">
        <f>+V74</f>
        <v>73005.36</v>
      </c>
      <c r="K72" s="624">
        <f>+V75</f>
        <v>131846.82</v>
      </c>
      <c r="L72" s="625"/>
      <c r="M72" s="626"/>
      <c r="N72" s="61">
        <f t="shared" si="15"/>
        <v>1310021.51</v>
      </c>
      <c r="O72" s="209"/>
      <c r="P72" s="704">
        <v>15</v>
      </c>
      <c r="Q72" s="684">
        <f>SUM(T61:T80)-T69-T70-T71</f>
        <v>1310021.5099999993</v>
      </c>
      <c r="R72" s="752">
        <f>+Q72-N72</f>
        <v>0</v>
      </c>
      <c r="S72" s="594">
        <v>15150101</v>
      </c>
      <c r="T72" s="733">
        <v>129974.72</v>
      </c>
      <c r="U72" s="595" t="s">
        <v>14</v>
      </c>
      <c r="V72" s="623">
        <f>SUM(T61:T70)-T69-T70</f>
        <v>441928.27999999997</v>
      </c>
      <c r="W72" s="713">
        <f>+V72-C72</f>
        <v>0</v>
      </c>
      <c r="X72" s="479"/>
      <c r="Y72" s="475"/>
    </row>
    <row r="73" spans="1:25" s="59" customFormat="1" ht="16.5">
      <c r="A73" s="1"/>
      <c r="B73" s="14" t="s">
        <v>39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84"/>
      <c r="N73" s="61">
        <f t="shared" si="15"/>
        <v>0</v>
      </c>
      <c r="O73" s="189"/>
      <c r="P73" s="536" t="s">
        <v>288</v>
      </c>
      <c r="Q73" s="633" t="s">
        <v>460</v>
      </c>
      <c r="R73" s="753">
        <v>4223080.6500000004</v>
      </c>
      <c r="S73" s="594">
        <v>15150102</v>
      </c>
      <c r="T73" s="733">
        <v>533266.32999999996</v>
      </c>
      <c r="U73" s="595" t="s">
        <v>14</v>
      </c>
      <c r="V73" s="623">
        <f>SUM(T72:T74)</f>
        <v>663241.04999999993</v>
      </c>
      <c r="W73" s="713">
        <f>+V73-E72</f>
        <v>0</v>
      </c>
      <c r="X73" s="475"/>
      <c r="Y73" s="475"/>
    </row>
    <row r="74" spans="1:25" s="59" customFormat="1" ht="16.5">
      <c r="A74" s="1"/>
      <c r="B74" s="10" t="s">
        <v>57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496"/>
      <c r="N74" s="61">
        <f t="shared" si="15"/>
        <v>0</v>
      </c>
      <c r="O74" s="189"/>
      <c r="P74" s="536" t="s">
        <v>459</v>
      </c>
      <c r="Q74" s="611" t="s">
        <v>461</v>
      </c>
      <c r="R74" s="775">
        <f>+R73-Q45-Q72</f>
        <v>50000.000000000931</v>
      </c>
      <c r="S74" s="594">
        <v>15150103</v>
      </c>
      <c r="T74" s="733">
        <v>0</v>
      </c>
      <c r="U74" s="595" t="s">
        <v>14</v>
      </c>
      <c r="V74" s="623">
        <f>T75</f>
        <v>73005.36</v>
      </c>
      <c r="W74" s="713">
        <f>+V74-J72</f>
        <v>0</v>
      </c>
      <c r="X74" s="480"/>
      <c r="Y74" s="475"/>
    </row>
    <row r="75" spans="1:25" s="59" customFormat="1" ht="16.5">
      <c r="A75" s="1"/>
      <c r="B75" s="15" t="s">
        <v>2</v>
      </c>
      <c r="C75" s="65">
        <f>SUM(C64:C74)</f>
        <v>1424435.12</v>
      </c>
      <c r="D75" s="65">
        <f t="shared" ref="D75:M75" si="16">SUM(D64:D74)</f>
        <v>755171.55</v>
      </c>
      <c r="E75" s="65">
        <f t="shared" si="16"/>
        <v>1468190.94</v>
      </c>
      <c r="F75" s="65">
        <f t="shared" si="16"/>
        <v>704782.39</v>
      </c>
      <c r="G75" s="65">
        <f t="shared" si="16"/>
        <v>746051.08</v>
      </c>
      <c r="H75" s="65">
        <f t="shared" si="16"/>
        <v>619378.12</v>
      </c>
      <c r="I75" s="65">
        <f t="shared" si="16"/>
        <v>1437403.65</v>
      </c>
      <c r="J75" s="65">
        <f t="shared" si="16"/>
        <v>1941903.4700000002</v>
      </c>
      <c r="K75" s="65">
        <f t="shared" si="16"/>
        <v>9549427.5999999978</v>
      </c>
      <c r="L75" s="65">
        <f t="shared" si="16"/>
        <v>518767.08</v>
      </c>
      <c r="M75" s="497">
        <f t="shared" si="16"/>
        <v>0</v>
      </c>
      <c r="N75" s="64">
        <f t="shared" si="15"/>
        <v>19165510.999999996</v>
      </c>
      <c r="O75" s="23"/>
      <c r="P75" s="595"/>
      <c r="Q75" s="595"/>
      <c r="R75" s="683"/>
      <c r="S75" s="594">
        <v>15171903</v>
      </c>
      <c r="T75" s="734">
        <v>73005.36</v>
      </c>
      <c r="U75" s="595" t="s">
        <v>222</v>
      </c>
      <c r="V75" s="623">
        <f>SUM(T76:T80)</f>
        <v>131846.82</v>
      </c>
      <c r="W75" s="713">
        <f>+V75-K72</f>
        <v>0</v>
      </c>
      <c r="X75" s="480"/>
      <c r="Y75" s="475"/>
    </row>
    <row r="76" spans="1:25" s="59" customFormat="1" ht="16.5">
      <c r="A76" s="1"/>
      <c r="B76" s="18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489"/>
      <c r="N76" s="62"/>
      <c r="O76" s="23"/>
      <c r="P76" s="595"/>
      <c r="Q76" s="715"/>
      <c r="R76" s="683"/>
      <c r="S76" s="594">
        <v>151703</v>
      </c>
      <c r="T76" s="734">
        <v>0</v>
      </c>
      <c r="U76" s="595" t="s">
        <v>443</v>
      </c>
      <c r="V76" s="213"/>
      <c r="W76" s="220"/>
      <c r="X76" s="473"/>
      <c r="Y76" s="475"/>
    </row>
    <row r="77" spans="1:25" s="59" customFormat="1" ht="17.25" customHeight="1">
      <c r="A77" s="17" t="s">
        <v>58</v>
      </c>
      <c r="B77" s="10" t="s">
        <v>59</v>
      </c>
      <c r="C77" s="283">
        <f>ROUND(Disponible!C103,2)</f>
        <v>137544.45000000001</v>
      </c>
      <c r="D77" s="283">
        <f>Disponible!D103</f>
        <v>0</v>
      </c>
      <c r="E77" s="283">
        <f>Disponible!E103</f>
        <v>0</v>
      </c>
      <c r="F77" s="62"/>
      <c r="G77" s="62"/>
      <c r="H77" s="62"/>
      <c r="I77" s="62"/>
      <c r="J77" s="62"/>
      <c r="K77" s="283">
        <f>Disponible!K103</f>
        <v>0</v>
      </c>
      <c r="L77" s="62"/>
      <c r="M77" s="489"/>
      <c r="N77" s="61">
        <f t="shared" si="15"/>
        <v>137544.45000000001</v>
      </c>
      <c r="O77" s="205"/>
      <c r="P77" s="710" t="s">
        <v>293</v>
      </c>
      <c r="Q77" s="713"/>
      <c r="R77" s="711"/>
      <c r="S77" s="594">
        <v>15171904</v>
      </c>
      <c r="T77" s="734">
        <v>7278</v>
      </c>
      <c r="U77" s="595" t="s">
        <v>443</v>
      </c>
      <c r="V77" s="220"/>
      <c r="W77" s="220"/>
      <c r="X77" s="475"/>
      <c r="Y77" s="475"/>
    </row>
    <row r="78" spans="1:25" s="59" customFormat="1" ht="17.25" customHeight="1">
      <c r="A78" s="17" t="s">
        <v>58</v>
      </c>
      <c r="B78" s="10" t="s">
        <v>60</v>
      </c>
      <c r="C78" s="283">
        <f>ROUND(Disponible!C104,2)</f>
        <v>0</v>
      </c>
      <c r="D78" s="283">
        <f>Disponible!D104</f>
        <v>0</v>
      </c>
      <c r="E78" s="283">
        <f>Disponible!E104</f>
        <v>0</v>
      </c>
      <c r="F78" s="62"/>
      <c r="G78" s="62"/>
      <c r="H78" s="62"/>
      <c r="I78" s="62"/>
      <c r="J78" s="62"/>
      <c r="K78" s="283">
        <f>Disponible!K104</f>
        <v>0</v>
      </c>
      <c r="L78" s="62"/>
      <c r="M78" s="489"/>
      <c r="N78" s="61">
        <f t="shared" si="15"/>
        <v>0</v>
      </c>
      <c r="O78" s="212"/>
      <c r="P78" s="718">
        <v>2111</v>
      </c>
      <c r="Q78" s="537">
        <v>137544.45000000001</v>
      </c>
      <c r="R78" s="774">
        <f>+Q78-SUM(N77:N79)</f>
        <v>0</v>
      </c>
      <c r="S78" s="595">
        <v>15171902</v>
      </c>
      <c r="T78" s="734">
        <v>427139.51</v>
      </c>
      <c r="U78" s="595" t="s">
        <v>443</v>
      </c>
      <c r="V78" s="220"/>
      <c r="W78" s="220"/>
      <c r="X78" s="475"/>
      <c r="Y78" s="475"/>
    </row>
    <row r="79" spans="1:25" s="59" customFormat="1" ht="17.25" customHeight="1">
      <c r="A79" s="17" t="s">
        <v>58</v>
      </c>
      <c r="B79" s="10" t="s">
        <v>61</v>
      </c>
      <c r="C79" s="283">
        <f>ROUND(Disponible!C105,2)</f>
        <v>0</v>
      </c>
      <c r="D79" s="283">
        <f>Disponible!D105</f>
        <v>0</v>
      </c>
      <c r="E79" s="283">
        <f>Disponible!E105</f>
        <v>0</v>
      </c>
      <c r="F79" s="62"/>
      <c r="G79" s="62"/>
      <c r="H79" s="62"/>
      <c r="I79" s="62"/>
      <c r="J79" s="62"/>
      <c r="K79" s="283">
        <f>Disponible!K105</f>
        <v>0</v>
      </c>
      <c r="L79" s="62"/>
      <c r="M79" s="489"/>
      <c r="N79" s="61">
        <f t="shared" si="15"/>
        <v>0</v>
      </c>
      <c r="O79" s="205"/>
      <c r="P79" s="712" t="s">
        <v>293</v>
      </c>
      <c r="Q79" s="713"/>
      <c r="R79" s="723"/>
      <c r="S79" s="600">
        <v>1519071901</v>
      </c>
      <c r="T79" s="734">
        <v>-213241.45</v>
      </c>
      <c r="U79" s="595" t="s">
        <v>443</v>
      </c>
      <c r="V79" s="220"/>
      <c r="W79" s="220"/>
      <c r="X79" s="475"/>
      <c r="Y79" s="475"/>
    </row>
    <row r="80" spans="1:25" s="59" customFormat="1" ht="17.25" customHeight="1">
      <c r="A80" s="17" t="s">
        <v>62</v>
      </c>
      <c r="B80" s="10" t="s">
        <v>63</v>
      </c>
      <c r="C80" s="283">
        <f>ROUND(Disponible!C76,2)</f>
        <v>4842275.97</v>
      </c>
      <c r="D80" s="283">
        <f>Disponible!D76</f>
        <v>2005736.3778733234</v>
      </c>
      <c r="E80" s="283">
        <f>Disponible!E76</f>
        <v>1539055.6535133661</v>
      </c>
      <c r="F80" s="283"/>
      <c r="G80" s="283"/>
      <c r="H80" s="283"/>
      <c r="I80" s="283"/>
      <c r="J80" s="283"/>
      <c r="K80" s="283">
        <f>ROUND(Disponible!K76,2)</f>
        <v>34843842.359999999</v>
      </c>
      <c r="L80" s="283"/>
      <c r="M80" s="498"/>
      <c r="N80" s="61">
        <f t="shared" si="15"/>
        <v>43230910.361386687</v>
      </c>
      <c r="O80" s="212"/>
      <c r="P80" s="718">
        <v>2112</v>
      </c>
      <c r="Q80" s="694">
        <v>64528299.079999998</v>
      </c>
      <c r="R80" s="774">
        <f>+Q80-SUM(N80:N82)</f>
        <v>-6.6565796732902527E-3</v>
      </c>
      <c r="S80" s="600">
        <v>1519071902</v>
      </c>
      <c r="T80" s="734">
        <v>-89329.24</v>
      </c>
      <c r="U80" s="595" t="s">
        <v>443</v>
      </c>
      <c r="V80" s="220"/>
      <c r="W80" s="220"/>
      <c r="X80" s="475"/>
      <c r="Y80" s="475"/>
    </row>
    <row r="81" spans="1:25" s="59" customFormat="1" ht="17.25" customHeight="1">
      <c r="A81" s="17" t="s">
        <v>62</v>
      </c>
      <c r="B81" s="10" t="s">
        <v>64</v>
      </c>
      <c r="C81" s="283">
        <f>ROUND(Disponible!C77,2)</f>
        <v>1936977.14</v>
      </c>
      <c r="D81" s="283">
        <f>Disponible!D77</f>
        <v>802322.20244769321</v>
      </c>
      <c r="E81" s="283">
        <f>Disponible!E77</f>
        <v>615643.47899283364</v>
      </c>
      <c r="F81" s="283"/>
      <c r="G81" s="283"/>
      <c r="H81" s="283"/>
      <c r="I81" s="283"/>
      <c r="J81" s="283"/>
      <c r="K81" s="283">
        <f>ROUND(Disponible!K77,2)</f>
        <v>13938017.310000001</v>
      </c>
      <c r="L81" s="283"/>
      <c r="M81" s="498"/>
      <c r="N81" s="61">
        <f t="shared" si="15"/>
        <v>17292960.131440528</v>
      </c>
      <c r="O81" s="23"/>
      <c r="P81" s="599"/>
      <c r="Q81" s="713"/>
      <c r="R81" s="723"/>
      <c r="S81" s="595">
        <v>151711</v>
      </c>
      <c r="T81" s="734">
        <v>2843948.35</v>
      </c>
      <c r="U81" s="601" t="s">
        <v>444</v>
      </c>
      <c r="V81" s="220"/>
      <c r="W81" s="197"/>
      <c r="X81" s="475"/>
      <c r="Y81" s="475"/>
    </row>
    <row r="82" spans="1:25" s="59" customFormat="1" ht="17.25" customHeight="1">
      <c r="A82" s="17" t="s">
        <v>62</v>
      </c>
      <c r="B82" s="10" t="s">
        <v>65</v>
      </c>
      <c r="C82" s="283">
        <f>ROUND(Disponible!C78,2)</f>
        <v>448534.35</v>
      </c>
      <c r="D82" s="283">
        <f>Disponible!D78</f>
        <v>185789.01135032633</v>
      </c>
      <c r="E82" s="283">
        <f>Disponible!E78</f>
        <v>142560.92247903469</v>
      </c>
      <c r="F82" s="283"/>
      <c r="G82" s="283"/>
      <c r="H82" s="283"/>
      <c r="I82" s="283"/>
      <c r="J82" s="283"/>
      <c r="K82" s="283">
        <f>ROUND(Disponible!K78,2)</f>
        <v>3227544.31</v>
      </c>
      <c r="L82" s="283"/>
      <c r="M82" s="498"/>
      <c r="N82" s="61">
        <f t="shared" si="15"/>
        <v>4004428.5938293608</v>
      </c>
      <c r="O82" s="23"/>
      <c r="P82" s="712"/>
      <c r="Q82" s="713"/>
      <c r="R82" s="723"/>
      <c r="S82" s="602">
        <v>1518071101</v>
      </c>
      <c r="T82" s="734">
        <v>19110.79</v>
      </c>
      <c r="U82" s="601" t="s">
        <v>444</v>
      </c>
      <c r="V82" s="220"/>
      <c r="W82" s="220"/>
      <c r="X82" s="475"/>
      <c r="Y82" s="475"/>
    </row>
    <row r="83" spans="1:25" s="59" customFormat="1" ht="17.25" customHeight="1">
      <c r="A83" s="17" t="s">
        <v>66</v>
      </c>
      <c r="B83" s="10" t="s">
        <v>42</v>
      </c>
      <c r="C83" s="283">
        <f>ROUND(Disponible!C87,2)</f>
        <v>4067882.82</v>
      </c>
      <c r="D83" s="283">
        <f>Disponible!D87</f>
        <v>1684972.2357837628</v>
      </c>
      <c r="E83" s="283">
        <f>Disponible!E87</f>
        <v>1292924.6705121286</v>
      </c>
      <c r="F83" s="283"/>
      <c r="G83" s="283"/>
      <c r="H83" s="283"/>
      <c r="I83" s="283"/>
      <c r="J83" s="283"/>
      <c r="K83" s="283">
        <f>ROUND(Disponible!K87,2)</f>
        <v>50526696.5</v>
      </c>
      <c r="L83" s="283"/>
      <c r="M83" s="498"/>
      <c r="N83" s="61">
        <f>SUM(C83:M83)</f>
        <v>57572476.226295888</v>
      </c>
      <c r="O83" s="209"/>
      <c r="P83" s="703">
        <v>211305</v>
      </c>
      <c r="Q83" s="694">
        <v>66636389.030000001</v>
      </c>
      <c r="R83" s="774">
        <f>+Q83-SUM(N83:N85)</f>
        <v>1.125992089509964E-2</v>
      </c>
      <c r="S83" s="603">
        <v>2514190201</v>
      </c>
      <c r="T83" s="735">
        <v>0</v>
      </c>
      <c r="U83" s="601" t="s">
        <v>12</v>
      </c>
      <c r="V83" s="220"/>
      <c r="W83" s="197"/>
      <c r="X83" s="475"/>
      <c r="Y83" s="475"/>
    </row>
    <row r="84" spans="1:25" s="59" customFormat="1" ht="17.25" customHeight="1">
      <c r="A84" s="17" t="s">
        <v>67</v>
      </c>
      <c r="B84" s="10" t="s">
        <v>43</v>
      </c>
      <c r="C84" s="283">
        <f>ROUND(Disponible!C88,2)</f>
        <v>620488.35</v>
      </c>
      <c r="D84" s="283">
        <f>Disponible!D88</f>
        <v>257014.69078071992</v>
      </c>
      <c r="E84" s="283">
        <f>Disponible!E88</f>
        <v>197214.30854311358</v>
      </c>
      <c r="F84" s="283"/>
      <c r="G84" s="283"/>
      <c r="H84" s="283"/>
      <c r="I84" s="283"/>
      <c r="J84" s="283"/>
      <c r="K84" s="283">
        <f>ROUND(Disponible!K88,2)</f>
        <v>7707013.21</v>
      </c>
      <c r="L84" s="283"/>
      <c r="M84" s="498"/>
      <c r="N84" s="61">
        <f t="shared" si="15"/>
        <v>8781730.5593238324</v>
      </c>
      <c r="O84" s="210"/>
      <c r="P84" s="714"/>
      <c r="Q84" s="713"/>
      <c r="R84" s="723"/>
      <c r="S84" s="603">
        <v>25141903</v>
      </c>
      <c r="T84" s="735">
        <v>383130.79</v>
      </c>
      <c r="U84" s="601" t="s">
        <v>12</v>
      </c>
      <c r="V84" s="220"/>
      <c r="W84" s="197"/>
      <c r="X84" s="475"/>
      <c r="Y84" s="475"/>
    </row>
    <row r="85" spans="1:25" s="59" customFormat="1" ht="17.25" customHeight="1">
      <c r="A85" s="17" t="s">
        <v>67</v>
      </c>
      <c r="B85" s="10" t="s">
        <v>68</v>
      </c>
      <c r="C85" s="283">
        <f>ROUND(Disponible!C89,2)</f>
        <v>19938.07</v>
      </c>
      <c r="D85" s="283">
        <f>Disponible!D89</f>
        <v>8258.6206285758435</v>
      </c>
      <c r="E85" s="283">
        <f>Disponible!E89</f>
        <v>6337.0624917860068</v>
      </c>
      <c r="F85" s="283"/>
      <c r="G85" s="283"/>
      <c r="H85" s="283"/>
      <c r="I85" s="283"/>
      <c r="J85" s="283"/>
      <c r="K85" s="283">
        <f>ROUND(Disponible!K89,2)</f>
        <v>247648.48</v>
      </c>
      <c r="L85" s="283"/>
      <c r="M85" s="498"/>
      <c r="N85" s="178">
        <f>SUM(C85:M85)</f>
        <v>282182.23312036187</v>
      </c>
      <c r="O85" s="210"/>
      <c r="P85" s="824" t="s">
        <v>548</v>
      </c>
      <c r="Q85" s="825">
        <f>+Q86+Q52</f>
        <v>58988859.43</v>
      </c>
      <c r="R85" s="723"/>
      <c r="S85" s="603">
        <v>25141904</v>
      </c>
      <c r="T85" s="735">
        <v>9.09</v>
      </c>
      <c r="U85" s="601" t="s">
        <v>12</v>
      </c>
      <c r="V85" s="220"/>
      <c r="W85" s="220"/>
      <c r="X85" s="475"/>
      <c r="Y85" s="475"/>
    </row>
    <row r="86" spans="1:25" s="59" customFormat="1" ht="17.25" customHeight="1">
      <c r="A86" s="8" t="s">
        <v>130</v>
      </c>
      <c r="B86" s="48" t="s">
        <v>131</v>
      </c>
      <c r="C86" s="61">
        <f>IF(IF(Creditos!A54=1,Creditos!C54,0)&gt;0,IF(Creditos!A54=1,Creditos!C54,0),0)+Creditos!H57+DepInmov210701!E280</f>
        <v>746289.39870396163</v>
      </c>
      <c r="D86" s="61">
        <f>IF(IF(Creditos!A54=2,Creditos!C54,0)&gt;0,IF(Creditos!A54=2,Creditos!C54,0),0)+DepInmov210701!E281</f>
        <v>740931.03629241791</v>
      </c>
      <c r="E86" s="61">
        <f>IF(IF(Creditos!A54=3,Creditos!C54,0)&gt;0,IF(Creditos!A54=3,Creditos!C54,0),0)+DepInmov210701!E282</f>
        <v>100881.58888879867</v>
      </c>
      <c r="F86" s="61">
        <f>IF(IF(Creditos!A54=4,Creditos!C54,0)&gt;0,IF(Creditos!A54=4,Creditos!C54,0),0)</f>
        <v>0</v>
      </c>
      <c r="G86" s="61">
        <f>IF(IF(Creditos!A54=5,Creditos!C54,0)&gt;0,IF(Creditos!A54=5,Creditos!C54,0),0)</f>
        <v>0</v>
      </c>
      <c r="H86" s="61">
        <f>IF(IF(Creditos!A54=6,Creditos!C54,0)&gt;0,IF(Creditos!A54=6,Creditos!C54,0),0)</f>
        <v>0</v>
      </c>
      <c r="I86" s="61"/>
      <c r="J86" s="61"/>
      <c r="K86" s="61">
        <f>+DepInmov210701!E283</f>
        <v>2129245.2861148221</v>
      </c>
      <c r="L86" s="61"/>
      <c r="M86" s="61"/>
      <c r="N86" s="61">
        <f t="shared" si="15"/>
        <v>3717347.3100000005</v>
      </c>
      <c r="O86" s="23"/>
      <c r="P86" s="703" t="s">
        <v>420</v>
      </c>
      <c r="Q86" s="823">
        <f>SUM(T47:T55)+T57+T59+T103+T108+T109</f>
        <v>3717347.3100000005</v>
      </c>
      <c r="R86" s="774">
        <f>+Q86-N86</f>
        <v>0</v>
      </c>
      <c r="S86" s="603">
        <v>25141905</v>
      </c>
      <c r="T86" s="735">
        <v>440652.99</v>
      </c>
      <c r="U86" s="601" t="s">
        <v>12</v>
      </c>
      <c r="V86" s="220"/>
      <c r="W86" s="197"/>
      <c r="X86" s="475"/>
      <c r="Y86" s="475"/>
    </row>
    <row r="87" spans="1:25" s="59" customFormat="1" ht="17.25" customHeight="1">
      <c r="A87" s="17" t="s">
        <v>46</v>
      </c>
      <c r="B87" s="10" t="s">
        <v>8</v>
      </c>
      <c r="C87" s="61">
        <v>7176.65</v>
      </c>
      <c r="D87" s="61"/>
      <c r="E87" s="61"/>
      <c r="F87" s="61"/>
      <c r="G87" s="61"/>
      <c r="H87" s="61"/>
      <c r="I87" s="61"/>
      <c r="J87" s="61"/>
      <c r="K87" s="61"/>
      <c r="L87" s="61"/>
      <c r="M87" s="485"/>
      <c r="N87" s="61">
        <f t="shared" si="15"/>
        <v>7176.65</v>
      </c>
      <c r="O87" s="212"/>
      <c r="P87" s="1">
        <v>2312</v>
      </c>
      <c r="Q87" s="537">
        <v>7176.65</v>
      </c>
      <c r="R87" s="752">
        <f>+Q87-N87</f>
        <v>0</v>
      </c>
      <c r="S87" s="603">
        <v>25141906</v>
      </c>
      <c r="T87" s="735">
        <v>800.96</v>
      </c>
      <c r="U87" s="601" t="s">
        <v>12</v>
      </c>
      <c r="V87" s="220"/>
      <c r="W87" s="197"/>
      <c r="X87" s="475"/>
      <c r="Y87" s="475"/>
    </row>
    <row r="88" spans="1:25" s="59" customFormat="1" ht="17.25" customHeight="1">
      <c r="A88" s="17" t="s">
        <v>49</v>
      </c>
      <c r="B88" s="1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485"/>
      <c r="N88" s="61">
        <f t="shared" si="15"/>
        <v>0</v>
      </c>
      <c r="O88" s="189"/>
      <c r="P88" s="536" t="s">
        <v>288</v>
      </c>
      <c r="Q88" s="715"/>
      <c r="R88" s="722"/>
      <c r="S88" s="603">
        <v>25141907</v>
      </c>
      <c r="T88" s="735">
        <v>2085.39</v>
      </c>
      <c r="U88" s="601" t="s">
        <v>12</v>
      </c>
      <c r="V88" s="220"/>
      <c r="W88" s="80"/>
      <c r="X88" s="475"/>
      <c r="Y88" s="475"/>
    </row>
    <row r="89" spans="1:25" s="59" customFormat="1" ht="17.25" customHeight="1">
      <c r="A89" s="17" t="s">
        <v>69</v>
      </c>
      <c r="B89" s="14" t="s">
        <v>52</v>
      </c>
      <c r="C89" s="622">
        <f>+V104</f>
        <v>4471708.99</v>
      </c>
      <c r="D89" s="622"/>
      <c r="E89" s="622">
        <f>+V105</f>
        <v>750835.34</v>
      </c>
      <c r="F89" s="622"/>
      <c r="G89" s="622"/>
      <c r="H89" s="622">
        <f>+V107</f>
        <v>701700.8</v>
      </c>
      <c r="I89" s="622"/>
      <c r="J89" s="622"/>
      <c r="K89" s="622">
        <f>+V110</f>
        <v>229119.87</v>
      </c>
      <c r="L89" s="622"/>
      <c r="M89" s="621"/>
      <c r="N89" s="61">
        <f t="shared" si="15"/>
        <v>6153365</v>
      </c>
      <c r="O89" s="212"/>
      <c r="P89" s="1">
        <v>25</v>
      </c>
      <c r="Q89" s="823">
        <f>SUM(T83:T102)+SUM(T104:T107)+SUM(T110:T111)</f>
        <v>43849520.979999997</v>
      </c>
      <c r="R89" s="752">
        <f>+Q89-N89</f>
        <v>37696155.979999997</v>
      </c>
      <c r="S89" s="603">
        <v>25141910</v>
      </c>
      <c r="T89" s="735">
        <v>28890.16</v>
      </c>
      <c r="U89" s="601" t="s">
        <v>12</v>
      </c>
      <c r="V89" s="220"/>
      <c r="W89" s="80"/>
      <c r="X89" s="475"/>
      <c r="Y89" s="475"/>
    </row>
    <row r="90" spans="1:25" s="59" customFormat="1" ht="17.25" customHeight="1">
      <c r="A90" s="1"/>
      <c r="B90" s="14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485"/>
      <c r="N90" s="61">
        <f t="shared" si="15"/>
        <v>0</v>
      </c>
      <c r="O90" s="189"/>
      <c r="P90" s="536" t="s">
        <v>288</v>
      </c>
      <c r="Q90" s="715"/>
      <c r="R90" s="722"/>
      <c r="S90" s="603">
        <v>25141912</v>
      </c>
      <c r="T90" s="735">
        <v>29906.16</v>
      </c>
      <c r="U90" s="601" t="s">
        <v>12</v>
      </c>
      <c r="V90" s="220"/>
      <c r="W90" s="80"/>
      <c r="X90" s="475"/>
      <c r="Y90" s="475"/>
    </row>
    <row r="91" spans="1:25" s="59" customFormat="1" ht="17.25" customHeight="1">
      <c r="A91" s="1"/>
      <c r="B91" s="10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485"/>
      <c r="N91" s="61">
        <f t="shared" si="15"/>
        <v>0</v>
      </c>
      <c r="O91" s="189"/>
      <c r="P91" s="536" t="s">
        <v>288</v>
      </c>
      <c r="Q91" s="715"/>
      <c r="R91" s="724"/>
      <c r="S91" s="603">
        <v>25141913</v>
      </c>
      <c r="T91" s="735">
        <v>177040.16</v>
      </c>
      <c r="U91" s="601" t="s">
        <v>12</v>
      </c>
      <c r="V91" s="220"/>
      <c r="W91" s="80"/>
      <c r="X91" s="475"/>
      <c r="Y91" s="475"/>
    </row>
    <row r="92" spans="1:25" s="59" customFormat="1" ht="16.5">
      <c r="A92" s="1"/>
      <c r="B92" s="19" t="s">
        <v>71</v>
      </c>
      <c r="C92" s="64">
        <f t="shared" ref="C92:M92" si="17">SUM(C77:C91)</f>
        <v>17298816.188703962</v>
      </c>
      <c r="D92" s="64">
        <f t="shared" si="17"/>
        <v>5685024.1751568187</v>
      </c>
      <c r="E92" s="64">
        <f t="shared" si="17"/>
        <v>4645453.0254210616</v>
      </c>
      <c r="F92" s="64">
        <f t="shared" si="17"/>
        <v>0</v>
      </c>
      <c r="G92" s="64">
        <f t="shared" si="17"/>
        <v>0</v>
      </c>
      <c r="H92" s="64">
        <f t="shared" si="17"/>
        <v>701700.8</v>
      </c>
      <c r="I92" s="64">
        <f t="shared" si="17"/>
        <v>0</v>
      </c>
      <c r="J92" s="64">
        <f t="shared" si="17"/>
        <v>0</v>
      </c>
      <c r="K92" s="64">
        <f t="shared" si="17"/>
        <v>112849127.32611483</v>
      </c>
      <c r="L92" s="64">
        <f t="shared" si="17"/>
        <v>0</v>
      </c>
      <c r="M92" s="490">
        <f t="shared" si="17"/>
        <v>0</v>
      </c>
      <c r="N92" s="64">
        <f>SUM(C92:M92)</f>
        <v>141180121.51539668</v>
      </c>
      <c r="O92" s="23"/>
      <c r="P92" s="705"/>
      <c r="Q92" s="713"/>
      <c r="R92" s="713"/>
      <c r="S92" s="603">
        <v>25141914</v>
      </c>
      <c r="T92" s="735">
        <v>365793.81</v>
      </c>
      <c r="U92" s="601" t="s">
        <v>12</v>
      </c>
      <c r="V92" s="220"/>
      <c r="W92" s="80"/>
      <c r="X92" s="475"/>
      <c r="Y92" s="475"/>
    </row>
    <row r="93" spans="1:25" s="59" customFormat="1" ht="16.5">
      <c r="A93" s="1"/>
      <c r="B93" s="20" t="s">
        <v>72</v>
      </c>
      <c r="C93" s="64">
        <f t="shared" ref="C93:M93" si="18">+C47-C61+C75-C92</f>
        <v>34958509.231296033</v>
      </c>
      <c r="D93" s="64">
        <f t="shared" si="18"/>
        <v>12693094.884843184</v>
      </c>
      <c r="E93" s="64">
        <f t="shared" si="18"/>
        <v>1583539.7745789411</v>
      </c>
      <c r="F93" s="64">
        <f t="shared" si="18"/>
        <v>155339.12000000046</v>
      </c>
      <c r="G93" s="64">
        <f t="shared" si="18"/>
        <v>43610.70999999519</v>
      </c>
      <c r="H93" s="64">
        <f t="shared" si="18"/>
        <v>2530154.0599999968</v>
      </c>
      <c r="I93" s="64">
        <f t="shared" si="18"/>
        <v>13474031.729999995</v>
      </c>
      <c r="J93" s="64">
        <f t="shared" si="18"/>
        <v>-4758470.9399999958</v>
      </c>
      <c r="K93" s="64">
        <f t="shared" si="18"/>
        <v>-81950199.73611483</v>
      </c>
      <c r="L93" s="64">
        <f t="shared" si="18"/>
        <v>82945276.930000007</v>
      </c>
      <c r="M93" s="490">
        <f t="shared" si="18"/>
        <v>14520808.759999998</v>
      </c>
      <c r="N93" s="64">
        <f t="shared" si="15"/>
        <v>76195694.524603322</v>
      </c>
      <c r="O93" s="23"/>
      <c r="P93" s="23"/>
      <c r="Q93" s="80"/>
      <c r="R93" s="510"/>
      <c r="S93" s="603">
        <v>251501</v>
      </c>
      <c r="T93" s="735">
        <v>0</v>
      </c>
      <c r="U93" s="601" t="s">
        <v>12</v>
      </c>
      <c r="V93" s="220"/>
      <c r="W93" s="80"/>
      <c r="X93" s="475"/>
      <c r="Y93" s="475"/>
    </row>
    <row r="94" spans="1:25" s="59" customFormat="1" ht="16.5">
      <c r="A94" s="1"/>
      <c r="B94" s="20" t="s">
        <v>73</v>
      </c>
      <c r="C94" s="64">
        <f>+C93</f>
        <v>34958509.231296033</v>
      </c>
      <c r="D94" s="64">
        <f t="shared" ref="D94:M94" si="19">+C94+D93</f>
        <v>47651604.116139218</v>
      </c>
      <c r="E94" s="64">
        <f t="shared" si="19"/>
        <v>49235143.890718162</v>
      </c>
      <c r="F94" s="64">
        <f t="shared" si="19"/>
        <v>49390483.010718159</v>
      </c>
      <c r="G94" s="64">
        <f t="shared" si="19"/>
        <v>49434093.720718153</v>
      </c>
      <c r="H94" s="64">
        <f t="shared" si="19"/>
        <v>51964247.780718148</v>
      </c>
      <c r="I94" s="64">
        <f t="shared" si="19"/>
        <v>65438279.510718144</v>
      </c>
      <c r="J94" s="64">
        <f t="shared" si="19"/>
        <v>60679808.570718147</v>
      </c>
      <c r="K94" s="64">
        <f t="shared" si="19"/>
        <v>-21270391.165396683</v>
      </c>
      <c r="L94" s="64">
        <f t="shared" si="19"/>
        <v>61674885.764603324</v>
      </c>
      <c r="M94" s="490">
        <f t="shared" si="19"/>
        <v>76195694.524603322</v>
      </c>
      <c r="N94" s="16"/>
      <c r="O94" s="23"/>
      <c r="P94" s="505"/>
      <c r="Q94" s="213"/>
      <c r="R94" s="510"/>
      <c r="S94" s="603">
        <v>251502</v>
      </c>
      <c r="T94" s="735">
        <v>42266</v>
      </c>
      <c r="U94" s="601" t="s">
        <v>12</v>
      </c>
      <c r="V94" s="220"/>
      <c r="W94" s="80"/>
      <c r="X94" s="475"/>
      <c r="Y94" s="475"/>
    </row>
    <row r="95" spans="1:25" s="59" customFormat="1" ht="16.5">
      <c r="A95" s="1"/>
      <c r="B95" s="20" t="s">
        <v>74</v>
      </c>
      <c r="C95" s="222">
        <f t="shared" ref="C95:M95" si="20">+C94/$R$2</f>
        <v>0.37809511476751129</v>
      </c>
      <c r="D95" s="222">
        <f t="shared" si="20"/>
        <v>0.51537777563519183</v>
      </c>
      <c r="E95" s="222">
        <f t="shared" si="20"/>
        <v>0.53250461158940765</v>
      </c>
      <c r="F95" s="228">
        <f t="shared" si="20"/>
        <v>0.5341846878768628</v>
      </c>
      <c r="G95" s="228">
        <f t="shared" si="20"/>
        <v>0.53465636120519167</v>
      </c>
      <c r="H95" s="228">
        <f t="shared" si="20"/>
        <v>0.56202134074038212</v>
      </c>
      <c r="I95" s="228">
        <f t="shared" si="20"/>
        <v>0.70775025439710915</v>
      </c>
      <c r="J95" s="228">
        <f t="shared" si="20"/>
        <v>0.65628482707372371</v>
      </c>
      <c r="K95" s="64">
        <f t="shared" si="20"/>
        <v>-0.23005074202737572</v>
      </c>
      <c r="L95" s="228">
        <f t="shared" si="20"/>
        <v>0.66704712312402936</v>
      </c>
      <c r="M95" s="64">
        <f t="shared" si="20"/>
        <v>0.82409749441715729</v>
      </c>
      <c r="N95" s="16"/>
      <c r="O95" s="23"/>
      <c r="P95" s="506"/>
      <c r="Q95" s="510"/>
      <c r="R95" s="510"/>
      <c r="S95" s="603">
        <v>25150301</v>
      </c>
      <c r="T95" s="735">
        <v>1188179.23</v>
      </c>
      <c r="U95" s="601" t="s">
        <v>12</v>
      </c>
      <c r="V95" s="220"/>
      <c r="W95" s="214"/>
      <c r="X95" s="475"/>
      <c r="Y95" s="475"/>
    </row>
    <row r="96" spans="1:25" s="59" customFormat="1" ht="16.5">
      <c r="A96" s="2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3"/>
      <c r="P96" s="480"/>
      <c r="Q96" s="510"/>
      <c r="R96" s="510"/>
      <c r="S96" s="603">
        <v>25150401</v>
      </c>
      <c r="T96" s="735">
        <v>21565.03</v>
      </c>
      <c r="U96" s="601" t="s">
        <v>12</v>
      </c>
      <c r="V96" s="220"/>
      <c r="W96" s="80"/>
      <c r="X96" s="475"/>
      <c r="Y96" s="475"/>
    </row>
    <row r="97" spans="2:25" s="213" customFormat="1" ht="16.5">
      <c r="P97" s="482"/>
      <c r="S97" s="603">
        <v>251505</v>
      </c>
      <c r="T97" s="735">
        <v>0</v>
      </c>
      <c r="U97" s="601" t="s">
        <v>12</v>
      </c>
      <c r="V97" s="506"/>
      <c r="W97" s="230"/>
      <c r="X97" s="475"/>
      <c r="Y97" s="482"/>
    </row>
    <row r="98" spans="2:25" ht="16.5">
      <c r="B98" s="286"/>
      <c r="C98" s="287"/>
      <c r="D98" s="287"/>
      <c r="E98" s="287"/>
      <c r="F98" s="287"/>
      <c r="G98" s="287"/>
      <c r="H98" s="287"/>
      <c r="I98" s="287"/>
      <c r="J98" s="287"/>
      <c r="K98" s="287"/>
      <c r="L98" s="286"/>
      <c r="M98" s="286"/>
      <c r="N98" s="286"/>
      <c r="O98" s="22"/>
      <c r="P98" s="482"/>
      <c r="Q98" s="23"/>
      <c r="R98" s="211"/>
      <c r="S98" s="603">
        <v>251506</v>
      </c>
      <c r="T98" s="735">
        <v>0</v>
      </c>
      <c r="U98" s="601" t="s">
        <v>12</v>
      </c>
      <c r="V98" s="506"/>
      <c r="W98" s="214"/>
      <c r="X98" s="475"/>
      <c r="Y98" s="482"/>
    </row>
    <row r="99" spans="2:25" ht="16.5">
      <c r="B99" s="286"/>
      <c r="C99" s="288"/>
      <c r="D99" s="288"/>
      <c r="E99" s="288"/>
      <c r="F99" s="288"/>
      <c r="G99" s="288"/>
      <c r="H99" s="288"/>
      <c r="I99" s="288"/>
      <c r="J99" s="289"/>
      <c r="K99" s="289"/>
      <c r="L99" s="289"/>
      <c r="M99" s="289"/>
      <c r="N99" s="290"/>
      <c r="O99" s="22"/>
      <c r="P99" s="482"/>
      <c r="Q99" s="66"/>
      <c r="R99" s="511"/>
      <c r="S99" s="603">
        <v>251509</v>
      </c>
      <c r="T99" s="735">
        <v>265663.34999999998</v>
      </c>
      <c r="U99" s="601" t="s">
        <v>12</v>
      </c>
      <c r="V99" s="516"/>
      <c r="W99" s="214"/>
      <c r="X99" s="473"/>
      <c r="Y99" s="478"/>
    </row>
    <row r="100" spans="2:25" ht="16.5">
      <c r="B100" s="252"/>
      <c r="C100" s="291"/>
      <c r="D100" s="291"/>
      <c r="E100" s="291"/>
      <c r="F100" s="254"/>
      <c r="G100" s="291"/>
      <c r="H100" s="291"/>
      <c r="I100" s="291"/>
      <c r="J100" s="291"/>
      <c r="K100" s="291"/>
      <c r="L100" s="291"/>
      <c r="M100" s="291"/>
      <c r="N100" s="290"/>
      <c r="O100" s="80"/>
      <c r="P100" s="471"/>
      <c r="Q100" s="23"/>
      <c r="R100" s="211"/>
      <c r="S100" s="603">
        <v>251601</v>
      </c>
      <c r="T100" s="735">
        <v>4577.5</v>
      </c>
      <c r="U100" s="601" t="s">
        <v>12</v>
      </c>
      <c r="V100" s="506"/>
      <c r="W100" s="230"/>
      <c r="X100" s="473"/>
      <c r="Y100" s="475"/>
    </row>
    <row r="101" spans="2:25" ht="16.5">
      <c r="B101" s="252"/>
      <c r="C101" s="291"/>
      <c r="D101" s="291"/>
      <c r="E101" s="291"/>
      <c r="F101" s="254"/>
      <c r="G101" s="291"/>
      <c r="H101" s="291"/>
      <c r="I101" s="291"/>
      <c r="J101" s="291"/>
      <c r="K101" s="291"/>
      <c r="L101" s="291"/>
      <c r="M101" s="291"/>
      <c r="N101" s="290"/>
      <c r="O101" s="80"/>
      <c r="P101" s="471"/>
      <c r="Q101" s="23"/>
      <c r="R101" s="211"/>
      <c r="S101" s="603">
        <v>251602</v>
      </c>
      <c r="T101" s="727">
        <v>1521148.37</v>
      </c>
      <c r="U101" s="601" t="s">
        <v>12</v>
      </c>
      <c r="V101" s="213"/>
      <c r="W101" s="213"/>
      <c r="X101" s="473"/>
      <c r="Y101" s="475"/>
    </row>
    <row r="102" spans="2:25" ht="16.5">
      <c r="B102" s="252"/>
      <c r="C102" s="291"/>
      <c r="D102" s="291"/>
      <c r="E102" s="291"/>
      <c r="F102" s="254"/>
      <c r="G102" s="291"/>
      <c r="H102" s="291"/>
      <c r="I102" s="291"/>
      <c r="J102" s="291"/>
      <c r="K102" s="291"/>
      <c r="L102" s="291"/>
      <c r="M102" s="291"/>
      <c r="N102" s="290"/>
      <c r="O102" s="22"/>
      <c r="P102" s="480"/>
      <c r="Q102" s="23"/>
      <c r="R102" s="211"/>
      <c r="S102" s="603">
        <v>251702</v>
      </c>
      <c r="T102" s="727">
        <v>0</v>
      </c>
      <c r="U102" s="601" t="s">
        <v>12</v>
      </c>
      <c r="V102" s="213"/>
      <c r="W102" s="213"/>
      <c r="X102" s="480"/>
      <c r="Y102" s="478"/>
    </row>
    <row r="103" spans="2:25" ht="16.5">
      <c r="B103" s="25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0"/>
      <c r="O103" s="80"/>
      <c r="P103" s="471"/>
      <c r="Q103" s="515"/>
      <c r="R103" s="211"/>
      <c r="S103" s="603">
        <v>2517050205</v>
      </c>
      <c r="T103" s="728">
        <v>117.93</v>
      </c>
      <c r="U103" s="601" t="s">
        <v>12</v>
      </c>
      <c r="V103" s="213"/>
      <c r="W103" s="213"/>
      <c r="X103" s="480"/>
      <c r="Y103" s="480"/>
    </row>
    <row r="104" spans="2:25" ht="16.5">
      <c r="B104" s="25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50"/>
      <c r="P104" s="480"/>
      <c r="Q104" s="515"/>
      <c r="R104" s="211"/>
      <c r="S104" s="604" t="s">
        <v>448</v>
      </c>
      <c r="T104" s="735">
        <v>0</v>
      </c>
      <c r="U104" s="601" t="s">
        <v>12</v>
      </c>
      <c r="V104" s="822">
        <f>SUM(T83:T102)+T104</f>
        <v>4471708.99</v>
      </c>
      <c r="W104" s="776">
        <f>+V104-C89</f>
        <v>0</v>
      </c>
      <c r="X104" s="480"/>
      <c r="Y104" s="482"/>
    </row>
    <row r="105" spans="2:25" ht="16.5">
      <c r="B105" s="251"/>
      <c r="C105" s="291"/>
      <c r="D105" s="291"/>
      <c r="E105" s="291"/>
      <c r="F105" s="254"/>
      <c r="G105" s="291"/>
      <c r="H105" s="291"/>
      <c r="I105" s="291"/>
      <c r="J105" s="291"/>
      <c r="K105" s="291"/>
      <c r="L105" s="291"/>
      <c r="M105" s="291"/>
      <c r="N105" s="291"/>
      <c r="O105" s="22"/>
      <c r="P105" s="480"/>
      <c r="Q105" s="515"/>
      <c r="R105" s="211"/>
      <c r="S105" s="603">
        <v>251402</v>
      </c>
      <c r="T105" s="736">
        <v>153357.35999999999</v>
      </c>
      <c r="U105" s="601" t="s">
        <v>14</v>
      </c>
      <c r="V105" s="620">
        <f>SUM(T105:T106)</f>
        <v>750835.34</v>
      </c>
      <c r="W105" s="776">
        <f>+V105-E89</f>
        <v>0</v>
      </c>
      <c r="X105" s="480"/>
      <c r="Y105" s="482"/>
    </row>
    <row r="106" spans="2:25" ht="16.5">
      <c r="B106" s="252"/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254"/>
      <c r="P106" s="480"/>
      <c r="Q106" s="481"/>
      <c r="R106" s="480"/>
      <c r="S106" s="603">
        <v>251701</v>
      </c>
      <c r="T106" s="736">
        <v>597477.98</v>
      </c>
      <c r="U106" s="601" t="s">
        <v>14</v>
      </c>
      <c r="V106" s="715"/>
      <c r="W106" s="720"/>
      <c r="X106" s="473"/>
      <c r="Y106" s="482"/>
    </row>
    <row r="107" spans="2:25">
      <c r="C107" s="253"/>
      <c r="D107" s="253"/>
      <c r="E107" s="253"/>
      <c r="F107" s="253"/>
      <c r="G107" s="253"/>
      <c r="H107" s="253"/>
      <c r="I107" s="253"/>
      <c r="J107" s="253"/>
      <c r="K107" s="253"/>
      <c r="L107" s="254"/>
      <c r="M107" s="254"/>
      <c r="N107" s="254"/>
      <c r="P107" s="480"/>
      <c r="Q107" s="481"/>
      <c r="R107" s="480"/>
      <c r="S107" s="604">
        <v>25150402</v>
      </c>
      <c r="T107" s="736">
        <v>701700.8</v>
      </c>
      <c r="U107" s="601" t="s">
        <v>17</v>
      </c>
      <c r="V107" s="822">
        <f>+T107</f>
        <v>701700.8</v>
      </c>
      <c r="W107" s="776">
        <f>+V107-H89</f>
        <v>0</v>
      </c>
      <c r="X107" s="480"/>
      <c r="Y107" s="480"/>
    </row>
    <row r="108" spans="2:25"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  <c r="M108" s="253"/>
      <c r="N108" s="254"/>
      <c r="P108" s="480"/>
      <c r="Q108" s="481"/>
      <c r="R108" s="480"/>
      <c r="S108" s="604">
        <v>2517050202</v>
      </c>
      <c r="T108" s="736">
        <v>0</v>
      </c>
      <c r="U108" s="601" t="s">
        <v>17</v>
      </c>
      <c r="V108" s="715"/>
      <c r="W108" s="720"/>
      <c r="X108" s="480"/>
      <c r="Y108" s="480"/>
    </row>
    <row r="109" spans="2:25"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  <c r="M109" s="254"/>
      <c r="N109" s="254"/>
      <c r="P109" s="480"/>
      <c r="Q109" s="481"/>
      <c r="R109" s="480"/>
      <c r="S109" s="604">
        <v>2517050203</v>
      </c>
      <c r="T109" s="736">
        <v>0</v>
      </c>
      <c r="U109" s="601" t="s">
        <v>17</v>
      </c>
      <c r="V109" s="620"/>
      <c r="W109" s="720"/>
      <c r="X109" s="480"/>
      <c r="Y109" s="480"/>
    </row>
    <row r="110" spans="2:25">
      <c r="C110" s="213"/>
      <c r="S110" s="605">
        <v>25141915</v>
      </c>
      <c r="T110" s="735">
        <v>229119.87</v>
      </c>
      <c r="U110" s="595" t="s">
        <v>443</v>
      </c>
      <c r="V110" s="620">
        <f>SUM(T110:T110)</f>
        <v>229119.87</v>
      </c>
      <c r="W110" s="776">
        <f>+V110-K89</f>
        <v>0</v>
      </c>
    </row>
    <row r="111" spans="2:25">
      <c r="S111" s="606" t="s">
        <v>449</v>
      </c>
      <c r="T111" s="737">
        <v>37696155.979999997</v>
      </c>
      <c r="U111" s="607" t="s">
        <v>447</v>
      </c>
    </row>
  </sheetData>
  <customSheetViews>
    <customSheetView guid="{D62CAC70-1ACE-4E87-9E99-FED2C7460049}" scale="96" showGridLines="0" fitToPage="1" topLeftCell="A4">
      <selection activeCell="B14" sqref="B14"/>
      <pageMargins left="0.62992125984251968" right="0.70866141732283472" top="0.23622047244094491" bottom="0.31496062992125984" header="0.23622047244094491" footer="0.31496062992125984"/>
      <pageSetup scale="52" fitToHeight="10" orientation="landscape" r:id="rId1"/>
    </customSheetView>
    <customSheetView guid="{4FE66BC3-94B4-4710-8AD9-CFB3A1891FB3}" scale="90" showGridLines="0" fitToPage="1">
      <selection activeCell="B42" sqref="B42"/>
      <pageMargins left="0.62992125984251968" right="0.70866141732283472" top="0.23622047244094491" bottom="0.31496062992125984" header="0.23622047244094491" footer="0.31496062992125984"/>
      <pageSetup scale="52" fitToHeight="10" orientation="landscape" r:id="rId2"/>
    </customSheetView>
    <customSheetView guid="{2FDD5145-1E6D-41A8-8E6A-3079E1C158EF}" scale="70" showGridLines="0" fitToPage="1">
      <selection activeCell="D25" sqref="D25"/>
      <pageMargins left="0.62992125984251968" right="0.70866141732283472" top="0.23622047244094491" bottom="0.31496062992125984" header="0.23622047244094491" footer="0.31496062992125984"/>
      <pageSetup scale="52" fitToHeight="10" orientation="landscape" r:id="rId3"/>
    </customSheetView>
    <customSheetView guid="{D5145478-5081-4F28-88BB-A95644E8496C}" scale="96" showGridLines="0" fitToPage="1">
      <selection activeCell="B30" sqref="B30"/>
      <pageMargins left="0.62992125984251968" right="0.70866141732283472" top="0.23622047244094491" bottom="0.31496062992125984" header="0.23622047244094491" footer="0.31496062992125984"/>
      <pageSetup scale="52" fitToHeight="10" orientation="landscape" r:id="rId4"/>
    </customSheetView>
    <customSheetView guid="{E21B7D27-3E40-4AEF-B95E-08CACAE41300}" scale="96" showGridLines="0" fitToPage="1">
      <pageMargins left="0.62992125984251968" right="0.70866141732283472" top="0.23622047244094491" bottom="0.31496062992125984" header="0.23622047244094491" footer="0.31496062992125984"/>
      <pageSetup scale="52" fitToHeight="10" orientation="landscape" r:id="rId5"/>
    </customSheetView>
  </customSheetViews>
  <mergeCells count="3">
    <mergeCell ref="A5:N5"/>
    <mergeCell ref="A1:N1"/>
    <mergeCell ref="A2:N2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3" fitToHeight="10" orientation="landscape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87"/>
  <sheetViews>
    <sheetView showGridLines="0" topLeftCell="A249" zoomScale="80" zoomScaleNormal="80" workbookViewId="0">
      <selection activeCell="T277" sqref="T277"/>
    </sheetView>
  </sheetViews>
  <sheetFormatPr baseColWidth="10" defaultRowHeight="12.75"/>
  <cols>
    <col min="1" max="1" width="21.85546875" customWidth="1"/>
    <col min="2" max="2" width="21.28515625" customWidth="1"/>
    <col min="3" max="3" width="16.140625" customWidth="1"/>
    <col min="4" max="4" width="26.28515625" customWidth="1"/>
    <col min="5" max="5" width="22.7109375" customWidth="1"/>
    <col min="9" max="9" width="27.140625" customWidth="1"/>
    <col min="10" max="10" width="19.140625" customWidth="1"/>
    <col min="11" max="11" width="19.5703125" customWidth="1"/>
    <col min="12" max="12" width="20.85546875" customWidth="1"/>
    <col min="13" max="13" width="22.7109375" customWidth="1"/>
  </cols>
  <sheetData>
    <row r="1" spans="1:14" ht="15">
      <c r="A1" s="460" t="s">
        <v>181</v>
      </c>
      <c r="B1" s="69" t="s">
        <v>182</v>
      </c>
      <c r="C1" s="70" t="s">
        <v>183</v>
      </c>
      <c r="D1" s="559" t="s">
        <v>429</v>
      </c>
      <c r="F1" s="71"/>
      <c r="I1" s="68" t="s">
        <v>181</v>
      </c>
      <c r="J1" s="69" t="s">
        <v>182</v>
      </c>
      <c r="K1" s="70" t="s">
        <v>183</v>
      </c>
      <c r="L1" s="559" t="s">
        <v>430</v>
      </c>
      <c r="N1" s="71"/>
    </row>
    <row r="2" spans="1:14">
      <c r="A2" s="72">
        <v>43906</v>
      </c>
      <c r="B2" s="73">
        <v>2384014.65</v>
      </c>
      <c r="C2" s="74"/>
      <c r="D2">
        <v>273</v>
      </c>
      <c r="E2" s="75"/>
      <c r="F2" s="71"/>
      <c r="I2" s="72">
        <v>43906</v>
      </c>
      <c r="J2" s="73">
        <v>134735.88500000001</v>
      </c>
      <c r="K2" s="74"/>
      <c r="L2">
        <v>273</v>
      </c>
      <c r="M2" s="75"/>
      <c r="N2" s="71"/>
    </row>
    <row r="3" spans="1:14">
      <c r="A3" s="72">
        <v>43907</v>
      </c>
      <c r="B3" s="73">
        <v>2384014.65</v>
      </c>
      <c r="C3" s="74"/>
      <c r="D3">
        <v>272</v>
      </c>
      <c r="E3" s="74"/>
      <c r="F3" s="71"/>
      <c r="I3" s="72">
        <v>43907</v>
      </c>
      <c r="J3" s="73">
        <v>134735.88500000001</v>
      </c>
      <c r="K3" s="74"/>
      <c r="L3">
        <v>272</v>
      </c>
      <c r="M3" s="74"/>
      <c r="N3" s="71"/>
    </row>
    <row r="4" spans="1:14">
      <c r="A4" s="72">
        <v>43908</v>
      </c>
      <c r="B4" s="73">
        <v>2383969.79</v>
      </c>
      <c r="C4" s="74"/>
      <c r="D4">
        <v>271</v>
      </c>
      <c r="E4" s="74"/>
      <c r="F4" s="71"/>
      <c r="I4" s="72">
        <v>43908</v>
      </c>
      <c r="J4" s="73">
        <v>134735.88500000001</v>
      </c>
      <c r="K4" s="74"/>
      <c r="L4">
        <v>271</v>
      </c>
      <c r="M4" s="74"/>
      <c r="N4" s="71"/>
    </row>
    <row r="5" spans="1:14">
      <c r="A5" s="72">
        <v>43909</v>
      </c>
      <c r="B5" s="73">
        <v>2383968.6800000002</v>
      </c>
      <c r="C5" s="74"/>
      <c r="D5">
        <v>270</v>
      </c>
      <c r="E5" s="74"/>
      <c r="F5" s="71"/>
      <c r="I5" s="72">
        <v>43909</v>
      </c>
      <c r="J5" s="73">
        <v>134735.88500000001</v>
      </c>
      <c r="K5" s="74"/>
      <c r="L5">
        <v>270</v>
      </c>
      <c r="M5" s="74"/>
      <c r="N5" s="71"/>
    </row>
    <row r="6" spans="1:14">
      <c r="A6" s="72">
        <v>43910</v>
      </c>
      <c r="B6" s="73">
        <v>2383968.6800000002</v>
      </c>
      <c r="C6" s="74"/>
      <c r="D6">
        <v>269</v>
      </c>
      <c r="E6" s="74"/>
      <c r="F6" s="71"/>
      <c r="I6" s="72">
        <v>43910</v>
      </c>
      <c r="J6" s="73">
        <v>134735.88500000001</v>
      </c>
      <c r="K6" s="74"/>
      <c r="L6">
        <v>269</v>
      </c>
      <c r="M6" s="74"/>
      <c r="N6" s="71"/>
    </row>
    <row r="7" spans="1:14">
      <c r="A7" s="72">
        <v>43913</v>
      </c>
      <c r="B7" s="73">
        <v>2383968.2599999998</v>
      </c>
      <c r="C7" s="74"/>
      <c r="D7">
        <v>268</v>
      </c>
      <c r="E7" s="74"/>
      <c r="F7" s="71"/>
      <c r="I7" s="72">
        <v>43913</v>
      </c>
      <c r="J7" s="73">
        <v>134735.88500000001</v>
      </c>
      <c r="K7" s="74"/>
      <c r="L7">
        <v>268</v>
      </c>
      <c r="M7" s="74"/>
      <c r="N7" s="71"/>
    </row>
    <row r="8" spans="1:14">
      <c r="A8" s="72">
        <v>43914</v>
      </c>
      <c r="B8" s="73">
        <v>2383966.41</v>
      </c>
      <c r="C8" s="74"/>
      <c r="D8">
        <v>267</v>
      </c>
      <c r="E8" s="74"/>
      <c r="F8" s="71"/>
      <c r="I8" s="72">
        <v>43914</v>
      </c>
      <c r="J8" s="73">
        <v>134735.88500000001</v>
      </c>
      <c r="K8" s="74"/>
      <c r="L8">
        <v>267</v>
      </c>
      <c r="M8" s="74"/>
      <c r="N8" s="71"/>
    </row>
    <row r="9" spans="1:14">
      <c r="A9" s="72">
        <v>43915</v>
      </c>
      <c r="B9" s="73">
        <v>2383964.1800000002</v>
      </c>
      <c r="C9" s="74"/>
      <c r="D9">
        <v>266</v>
      </c>
      <c r="E9" s="74"/>
      <c r="F9" s="71"/>
      <c r="I9" s="72">
        <v>43915</v>
      </c>
      <c r="J9" s="73">
        <v>134735.88500000001</v>
      </c>
      <c r="K9" s="74"/>
      <c r="L9">
        <v>266</v>
      </c>
      <c r="M9" s="74"/>
      <c r="N9" s="71"/>
    </row>
    <row r="10" spans="1:14">
      <c r="A10" s="72">
        <v>43916</v>
      </c>
      <c r="B10" s="73">
        <v>2383964.1600000001</v>
      </c>
      <c r="C10" s="74"/>
      <c r="D10">
        <v>265</v>
      </c>
      <c r="E10" s="74"/>
      <c r="F10" s="71"/>
      <c r="I10" s="72">
        <v>43916</v>
      </c>
      <c r="J10" s="73">
        <v>134735.88500000001</v>
      </c>
      <c r="K10" s="74"/>
      <c r="L10">
        <v>265</v>
      </c>
      <c r="M10" s="74"/>
      <c r="N10" s="71"/>
    </row>
    <row r="11" spans="1:14">
      <c r="A11" s="72">
        <v>43917</v>
      </c>
      <c r="B11" s="73">
        <v>2376314.13</v>
      </c>
      <c r="C11" s="74"/>
      <c r="D11">
        <v>264</v>
      </c>
      <c r="E11" s="74"/>
      <c r="F11" s="71"/>
      <c r="I11" s="72">
        <v>43917</v>
      </c>
      <c r="J11" s="73">
        <v>134735.88500000001</v>
      </c>
      <c r="K11" s="74"/>
      <c r="L11">
        <v>264</v>
      </c>
      <c r="M11" s="74"/>
      <c r="N11" s="71"/>
    </row>
    <row r="12" spans="1:14">
      <c r="A12" s="72">
        <v>43920</v>
      </c>
      <c r="B12" s="73">
        <v>2376295.6800000002</v>
      </c>
      <c r="C12" s="74"/>
      <c r="D12">
        <v>263</v>
      </c>
      <c r="E12" s="74"/>
      <c r="F12" s="71"/>
      <c r="I12" s="72">
        <v>43920</v>
      </c>
      <c r="J12" s="73">
        <v>134735.88500000001</v>
      </c>
      <c r="K12" s="74"/>
      <c r="L12">
        <v>263</v>
      </c>
      <c r="M12" s="74"/>
      <c r="N12" s="71"/>
    </row>
    <row r="13" spans="1:14">
      <c r="A13" s="72">
        <v>43921</v>
      </c>
      <c r="B13" s="73">
        <v>2507919.92</v>
      </c>
      <c r="C13" s="74"/>
      <c r="D13">
        <v>262</v>
      </c>
      <c r="E13" s="74"/>
      <c r="F13" s="71"/>
      <c r="I13" s="72">
        <v>43921</v>
      </c>
      <c r="J13" s="73">
        <v>134189.0338</v>
      </c>
      <c r="K13" s="74"/>
      <c r="L13">
        <v>262</v>
      </c>
      <c r="M13" s="74"/>
      <c r="N13" s="71"/>
    </row>
    <row r="14" spans="1:14">
      <c r="A14" s="72">
        <v>43922</v>
      </c>
      <c r="B14" s="73">
        <v>2507919.92</v>
      </c>
      <c r="C14" s="74"/>
      <c r="D14">
        <v>261</v>
      </c>
      <c r="E14" s="74"/>
      <c r="F14" s="71"/>
      <c r="I14" s="72">
        <v>43922</v>
      </c>
      <c r="J14" s="73">
        <v>134189.0338</v>
      </c>
      <c r="K14" s="74"/>
      <c r="L14">
        <v>261</v>
      </c>
      <c r="M14" s="74"/>
      <c r="N14" s="71"/>
    </row>
    <row r="15" spans="1:14">
      <c r="A15" s="72">
        <v>43923</v>
      </c>
      <c r="B15" s="73">
        <v>2507824.71</v>
      </c>
      <c r="C15" s="74"/>
      <c r="D15">
        <v>260</v>
      </c>
      <c r="E15" s="74"/>
      <c r="F15" s="71"/>
      <c r="I15" s="72">
        <v>43923</v>
      </c>
      <c r="J15" s="73">
        <v>134189.0338</v>
      </c>
      <c r="K15" s="74"/>
      <c r="L15">
        <v>260</v>
      </c>
      <c r="M15" s="74"/>
      <c r="N15" s="71"/>
    </row>
    <row r="16" spans="1:14">
      <c r="A16" s="72">
        <v>43924</v>
      </c>
      <c r="B16" s="73">
        <v>2507824.71</v>
      </c>
      <c r="C16" s="74"/>
      <c r="D16">
        <v>259</v>
      </c>
      <c r="E16" s="74"/>
      <c r="F16" s="71"/>
      <c r="I16" s="72">
        <v>43924</v>
      </c>
      <c r="J16" s="73">
        <v>134189.0338</v>
      </c>
      <c r="K16" s="74"/>
      <c r="L16">
        <v>259</v>
      </c>
      <c r="M16" s="74"/>
      <c r="N16" s="71"/>
    </row>
    <row r="17" spans="1:14">
      <c r="A17" s="72">
        <v>43927</v>
      </c>
      <c r="B17" s="76">
        <v>2507457.44</v>
      </c>
      <c r="C17" s="77"/>
      <c r="D17">
        <v>258</v>
      </c>
      <c r="E17" s="74"/>
      <c r="F17" s="71"/>
      <c r="I17" s="72">
        <v>43927</v>
      </c>
      <c r="J17" s="76">
        <v>134179.8775</v>
      </c>
      <c r="K17" s="77"/>
      <c r="L17">
        <v>258</v>
      </c>
      <c r="M17" s="74"/>
      <c r="N17" s="71"/>
    </row>
    <row r="18" spans="1:14">
      <c r="A18" s="72">
        <v>43928</v>
      </c>
      <c r="B18" s="73">
        <v>2507446.7799999998</v>
      </c>
      <c r="C18" s="74"/>
      <c r="D18">
        <v>257</v>
      </c>
      <c r="E18" s="74"/>
      <c r="F18" s="71"/>
      <c r="I18" s="72">
        <v>43928</v>
      </c>
      <c r="J18" s="73">
        <v>134179.8775</v>
      </c>
      <c r="K18" s="74"/>
      <c r="L18">
        <v>257</v>
      </c>
      <c r="M18" s="74"/>
      <c r="N18" s="71"/>
    </row>
    <row r="19" spans="1:14">
      <c r="A19" s="72">
        <v>43929</v>
      </c>
      <c r="B19" s="73">
        <v>2507443.75</v>
      </c>
      <c r="C19" s="74"/>
      <c r="D19">
        <v>256</v>
      </c>
      <c r="E19" s="74"/>
      <c r="F19" s="71"/>
      <c r="I19" s="72">
        <v>43929</v>
      </c>
      <c r="J19" s="73">
        <v>134179.8775</v>
      </c>
      <c r="K19" s="74"/>
      <c r="L19">
        <v>256</v>
      </c>
      <c r="M19" s="74"/>
      <c r="N19" s="71"/>
    </row>
    <row r="20" spans="1:14">
      <c r="A20" s="72">
        <v>43930</v>
      </c>
      <c r="B20" s="73">
        <v>2507443.75</v>
      </c>
      <c r="C20" s="74"/>
      <c r="D20">
        <v>255</v>
      </c>
      <c r="E20" s="74"/>
      <c r="F20" s="71"/>
      <c r="I20" s="72">
        <v>43930</v>
      </c>
      <c r="J20" s="73">
        <v>134179.8775</v>
      </c>
      <c r="K20" s="74"/>
      <c r="L20">
        <v>255</v>
      </c>
      <c r="M20" s="74"/>
      <c r="N20" s="71"/>
    </row>
    <row r="21" spans="1:14">
      <c r="A21" s="72">
        <v>43931</v>
      </c>
      <c r="B21" s="73">
        <v>2507443.75</v>
      </c>
      <c r="C21" s="74"/>
      <c r="D21">
        <v>254</v>
      </c>
      <c r="E21" s="74"/>
      <c r="F21" s="71"/>
      <c r="I21" s="72">
        <v>43931</v>
      </c>
      <c r="J21" s="73">
        <v>134179.8775</v>
      </c>
      <c r="K21" s="74"/>
      <c r="L21">
        <v>254</v>
      </c>
      <c r="M21" s="74"/>
      <c r="N21" s="71"/>
    </row>
    <row r="22" spans="1:14">
      <c r="A22" s="72">
        <v>43934</v>
      </c>
      <c r="B22" s="73">
        <v>2507443.7000000002</v>
      </c>
      <c r="C22" s="74"/>
      <c r="D22">
        <v>253</v>
      </c>
      <c r="E22" s="74"/>
      <c r="F22" s="71"/>
      <c r="I22" s="72">
        <v>43934</v>
      </c>
      <c r="J22" s="73">
        <v>134179.8775</v>
      </c>
      <c r="K22" s="74"/>
      <c r="L22">
        <v>253</v>
      </c>
      <c r="M22" s="74"/>
      <c r="N22" s="71"/>
    </row>
    <row r="23" spans="1:14">
      <c r="A23" s="72">
        <v>43935</v>
      </c>
      <c r="B23" s="73">
        <v>2502424.71</v>
      </c>
      <c r="C23" s="78">
        <f t="shared" ref="C23:C86" si="0">(B23-B2)/B2</f>
        <v>4.9668344110217637E-2</v>
      </c>
      <c r="D23">
        <v>252</v>
      </c>
      <c r="E23" s="74"/>
      <c r="F23" s="71"/>
      <c r="I23" s="72">
        <v>43935</v>
      </c>
      <c r="J23" s="73">
        <v>134179.8775</v>
      </c>
      <c r="K23" s="78">
        <f t="shared" ref="K23:K86" si="1">(J23-J2)/J2</f>
        <v>-4.1266474777673888E-3</v>
      </c>
      <c r="L23">
        <v>252</v>
      </c>
      <c r="M23" s="74"/>
      <c r="N23" s="71"/>
    </row>
    <row r="24" spans="1:14">
      <c r="A24" s="72">
        <v>43936</v>
      </c>
      <c r="B24" s="73">
        <v>2502424.71</v>
      </c>
      <c r="C24" s="78">
        <f t="shared" si="0"/>
        <v>4.9668344110217637E-2</v>
      </c>
      <c r="D24">
        <v>251</v>
      </c>
      <c r="E24" s="74"/>
      <c r="F24" s="71"/>
      <c r="I24" s="72">
        <v>43936</v>
      </c>
      <c r="J24" s="73">
        <v>134179.8775</v>
      </c>
      <c r="K24" s="78">
        <f t="shared" si="1"/>
        <v>-4.1266474777673888E-3</v>
      </c>
      <c r="L24">
        <v>251</v>
      </c>
      <c r="M24" s="74"/>
      <c r="N24" s="71"/>
    </row>
    <row r="25" spans="1:14">
      <c r="A25" s="72">
        <v>43937</v>
      </c>
      <c r="B25" s="73">
        <v>2502424.71</v>
      </c>
      <c r="C25" s="78">
        <f t="shared" si="0"/>
        <v>4.9688096089506202E-2</v>
      </c>
      <c r="D25">
        <v>250</v>
      </c>
      <c r="E25" s="74"/>
      <c r="F25" s="71"/>
      <c r="I25" s="72">
        <v>43937</v>
      </c>
      <c r="J25" s="73">
        <v>134179.8775</v>
      </c>
      <c r="K25" s="78">
        <f t="shared" si="1"/>
        <v>-4.1266474777673888E-3</v>
      </c>
      <c r="L25">
        <v>250</v>
      </c>
      <c r="M25" s="74"/>
      <c r="N25" s="71"/>
    </row>
    <row r="26" spans="1:14">
      <c r="A26" s="72">
        <v>43938</v>
      </c>
      <c r="B26" s="73">
        <v>2502412.31</v>
      </c>
      <c r="C26" s="78">
        <f t="shared" si="0"/>
        <v>4.968338342431574E-2</v>
      </c>
      <c r="D26">
        <v>249</v>
      </c>
      <c r="E26" s="74"/>
      <c r="F26" s="71"/>
      <c r="I26" s="72">
        <v>43938</v>
      </c>
      <c r="J26" s="73">
        <v>134179.8775</v>
      </c>
      <c r="K26" s="78">
        <f t="shared" si="1"/>
        <v>-4.1266474777673888E-3</v>
      </c>
      <c r="L26">
        <v>249</v>
      </c>
      <c r="M26" s="74"/>
      <c r="N26" s="71"/>
    </row>
    <row r="27" spans="1:14">
      <c r="A27" s="72">
        <v>43941</v>
      </c>
      <c r="B27" s="73">
        <v>2502411.48</v>
      </c>
      <c r="C27" s="78">
        <f t="shared" si="0"/>
        <v>4.968303526537933E-2</v>
      </c>
      <c r="D27">
        <v>248</v>
      </c>
      <c r="E27" s="74"/>
      <c r="F27" s="71"/>
      <c r="I27" s="72">
        <v>43941</v>
      </c>
      <c r="J27" s="73">
        <v>134179.8775</v>
      </c>
      <c r="K27" s="78">
        <f t="shared" si="1"/>
        <v>-4.1266474777673888E-3</v>
      </c>
      <c r="L27">
        <v>248</v>
      </c>
      <c r="M27" s="74"/>
      <c r="N27" s="71"/>
    </row>
    <row r="28" spans="1:14">
      <c r="A28" s="72">
        <v>43942</v>
      </c>
      <c r="B28" s="73">
        <v>2502410.7000000002</v>
      </c>
      <c r="C28" s="78">
        <f t="shared" si="0"/>
        <v>4.9682893009657947E-2</v>
      </c>
      <c r="D28">
        <v>247</v>
      </c>
      <c r="E28" s="74"/>
      <c r="F28" s="71"/>
      <c r="I28" s="72">
        <v>43942</v>
      </c>
      <c r="J28" s="73">
        <v>134179.8775</v>
      </c>
      <c r="K28" s="78">
        <f t="shared" si="1"/>
        <v>-4.1266474777673888E-3</v>
      </c>
      <c r="L28">
        <v>247</v>
      </c>
      <c r="M28" s="74"/>
      <c r="N28" s="71"/>
    </row>
    <row r="29" spans="1:14">
      <c r="A29" s="72">
        <v>43943</v>
      </c>
      <c r="B29" s="73">
        <v>2502410.7000000002</v>
      </c>
      <c r="C29" s="78">
        <f t="shared" si="0"/>
        <v>4.9683707582104747E-2</v>
      </c>
      <c r="D29">
        <v>246</v>
      </c>
      <c r="E29" s="74"/>
      <c r="F29" s="71"/>
      <c r="I29" s="72">
        <v>43943</v>
      </c>
      <c r="J29" s="73">
        <v>134179.8775</v>
      </c>
      <c r="K29" s="78">
        <f t="shared" si="1"/>
        <v>-4.1266474777673888E-3</v>
      </c>
      <c r="L29">
        <v>246</v>
      </c>
      <c r="M29" s="74"/>
      <c r="N29" s="71"/>
    </row>
    <row r="30" spans="1:14">
      <c r="A30" s="72">
        <v>43944</v>
      </c>
      <c r="B30" s="73">
        <v>2502410</v>
      </c>
      <c r="C30" s="78">
        <f t="shared" si="0"/>
        <v>4.9684395845242868E-2</v>
      </c>
      <c r="D30">
        <v>245</v>
      </c>
      <c r="E30" s="74"/>
      <c r="F30" s="71"/>
      <c r="I30" s="72">
        <v>43944</v>
      </c>
      <c r="J30" s="73">
        <v>134179.8775</v>
      </c>
      <c r="K30" s="78">
        <f t="shared" si="1"/>
        <v>-4.1266474777673888E-3</v>
      </c>
      <c r="L30">
        <v>245</v>
      </c>
      <c r="M30" s="74"/>
      <c r="N30" s="71"/>
    </row>
    <row r="31" spans="1:14">
      <c r="A31" s="72">
        <v>43945</v>
      </c>
      <c r="B31" s="73">
        <v>2502374.0699999998</v>
      </c>
      <c r="C31" s="78">
        <f t="shared" si="0"/>
        <v>4.9669333116148726E-2</v>
      </c>
      <c r="D31">
        <v>244</v>
      </c>
      <c r="E31" s="74"/>
      <c r="F31" s="71"/>
      <c r="I31" s="72">
        <v>43945</v>
      </c>
      <c r="J31" s="73">
        <v>134179.8775</v>
      </c>
      <c r="K31" s="78">
        <f t="shared" si="1"/>
        <v>-4.1266474777673888E-3</v>
      </c>
      <c r="L31">
        <v>244</v>
      </c>
      <c r="M31" s="74"/>
      <c r="N31" s="71"/>
    </row>
    <row r="32" spans="1:14">
      <c r="A32" s="72">
        <v>43948</v>
      </c>
      <c r="B32" s="73">
        <v>2490015.4300000002</v>
      </c>
      <c r="C32" s="78">
        <f t="shared" si="0"/>
        <v>4.784775655902037E-2</v>
      </c>
      <c r="D32">
        <v>243</v>
      </c>
      <c r="E32" s="74"/>
      <c r="F32" s="71"/>
      <c r="I32" s="72">
        <v>43948</v>
      </c>
      <c r="J32" s="73">
        <v>134179.8775</v>
      </c>
      <c r="K32" s="78">
        <f t="shared" si="1"/>
        <v>-4.1266474777673888E-3</v>
      </c>
      <c r="L32">
        <v>243</v>
      </c>
      <c r="M32" s="74"/>
      <c r="N32" s="71"/>
    </row>
    <row r="33" spans="1:14">
      <c r="A33" s="72">
        <v>43949</v>
      </c>
      <c r="B33" s="73">
        <v>2489539.7599999998</v>
      </c>
      <c r="C33" s="78">
        <f t="shared" si="0"/>
        <v>4.7655719342131531E-2</v>
      </c>
      <c r="D33">
        <v>242</v>
      </c>
      <c r="E33" s="74"/>
      <c r="F33" s="71"/>
      <c r="I33" s="72">
        <v>43949</v>
      </c>
      <c r="J33" s="73">
        <v>134179.8775</v>
      </c>
      <c r="K33" s="78">
        <f t="shared" si="1"/>
        <v>-4.1266474777673888E-3</v>
      </c>
      <c r="L33">
        <v>242</v>
      </c>
      <c r="M33" s="74"/>
      <c r="N33" s="71"/>
    </row>
    <row r="34" spans="1:14">
      <c r="A34" s="72">
        <v>43950</v>
      </c>
      <c r="B34" s="73">
        <v>2489528.98</v>
      </c>
      <c r="C34" s="78">
        <f t="shared" si="0"/>
        <v>-7.3331448318333641E-3</v>
      </c>
      <c r="D34">
        <v>241</v>
      </c>
      <c r="E34" s="74"/>
      <c r="F34" s="71"/>
      <c r="I34" s="72">
        <v>43950</v>
      </c>
      <c r="J34" s="73">
        <v>134179.8775</v>
      </c>
      <c r="K34" s="78">
        <f t="shared" si="1"/>
        <v>-6.8234338833151164E-5</v>
      </c>
      <c r="L34">
        <v>241</v>
      </c>
      <c r="M34" s="74"/>
      <c r="N34" s="71"/>
    </row>
    <row r="35" spans="1:14">
      <c r="A35" s="72">
        <v>43951</v>
      </c>
      <c r="B35" s="73">
        <v>2599680.65</v>
      </c>
      <c r="C35" s="78">
        <f t="shared" si="0"/>
        <v>3.6588381179252318E-2</v>
      </c>
      <c r="D35">
        <v>240</v>
      </c>
      <c r="E35" s="74"/>
      <c r="F35" s="71"/>
      <c r="I35" s="72">
        <v>43951</v>
      </c>
      <c r="J35" s="73">
        <v>132055.50700000001</v>
      </c>
      <c r="K35" s="78">
        <f t="shared" si="1"/>
        <v>-1.5899412489845294E-2</v>
      </c>
      <c r="L35">
        <v>240</v>
      </c>
      <c r="M35" s="74"/>
      <c r="N35" s="71"/>
    </row>
    <row r="36" spans="1:14">
      <c r="A36" s="72">
        <v>43952</v>
      </c>
      <c r="B36" s="73">
        <v>2599680.65</v>
      </c>
      <c r="C36" s="78">
        <f t="shared" si="0"/>
        <v>3.6627735436899796E-2</v>
      </c>
      <c r="D36">
        <v>239</v>
      </c>
      <c r="E36" s="74"/>
      <c r="F36" s="71"/>
      <c r="I36" s="72">
        <v>43952</v>
      </c>
      <c r="J36" s="73">
        <v>132055.50700000001</v>
      </c>
      <c r="K36" s="78">
        <f t="shared" si="1"/>
        <v>-1.5899412489845294E-2</v>
      </c>
      <c r="L36">
        <v>239</v>
      </c>
      <c r="M36" s="74"/>
      <c r="N36" s="71"/>
    </row>
    <row r="37" spans="1:14">
      <c r="A37" s="72">
        <v>43955</v>
      </c>
      <c r="B37" s="73">
        <v>2599679.7599999998</v>
      </c>
      <c r="C37" s="78">
        <f t="shared" si="0"/>
        <v>3.6627380547661889E-2</v>
      </c>
      <c r="D37">
        <v>238</v>
      </c>
      <c r="E37" s="74"/>
      <c r="F37" s="71"/>
      <c r="I37" s="72">
        <v>43955</v>
      </c>
      <c r="J37" s="73">
        <v>132055.50700000001</v>
      </c>
      <c r="K37" s="78">
        <f t="shared" si="1"/>
        <v>-1.5899412489845294E-2</v>
      </c>
      <c r="L37">
        <v>238</v>
      </c>
      <c r="M37" s="74"/>
      <c r="N37" s="71"/>
    </row>
    <row r="38" spans="1:14">
      <c r="A38" s="72">
        <v>43956</v>
      </c>
      <c r="B38" s="76">
        <v>2599258.9500000002</v>
      </c>
      <c r="C38" s="78">
        <f t="shared" si="0"/>
        <v>3.6611393093076885E-2</v>
      </c>
      <c r="D38">
        <v>237</v>
      </c>
      <c r="E38" s="74"/>
      <c r="F38" s="71"/>
      <c r="I38" s="72">
        <v>43956</v>
      </c>
      <c r="J38" s="76">
        <v>132055.50700000001</v>
      </c>
      <c r="K38" s="78">
        <f t="shared" si="1"/>
        <v>-1.5832258454700036E-2</v>
      </c>
      <c r="L38">
        <v>237</v>
      </c>
      <c r="M38" s="74"/>
      <c r="N38" s="71"/>
    </row>
    <row r="39" spans="1:14">
      <c r="A39" s="72">
        <v>43957</v>
      </c>
      <c r="B39" s="76">
        <v>2598750.7799999998</v>
      </c>
      <c r="C39" s="78">
        <f t="shared" si="0"/>
        <v>3.6413135755567268E-2</v>
      </c>
      <c r="D39">
        <v>236</v>
      </c>
      <c r="E39" s="74"/>
      <c r="F39" s="71"/>
      <c r="I39" s="72">
        <v>43957</v>
      </c>
      <c r="J39" s="76">
        <v>132055.50700000001</v>
      </c>
      <c r="K39" s="78">
        <f t="shared" si="1"/>
        <v>-1.5832258454700036E-2</v>
      </c>
      <c r="L39">
        <v>236</v>
      </c>
      <c r="M39" s="74"/>
      <c r="N39" s="71"/>
    </row>
    <row r="40" spans="1:14">
      <c r="A40" s="72">
        <v>43958</v>
      </c>
      <c r="B40" s="76">
        <v>2598750.7799999998</v>
      </c>
      <c r="C40" s="78">
        <f t="shared" si="0"/>
        <v>3.6414388159255733E-2</v>
      </c>
      <c r="D40">
        <v>235</v>
      </c>
      <c r="E40" s="74"/>
      <c r="F40" s="71"/>
      <c r="I40" s="72">
        <v>43958</v>
      </c>
      <c r="J40" s="76">
        <v>132055.50700000001</v>
      </c>
      <c r="K40" s="78">
        <f t="shared" si="1"/>
        <v>-1.5832258454700036E-2</v>
      </c>
      <c r="L40">
        <v>235</v>
      </c>
      <c r="M40" s="74"/>
      <c r="N40" s="71"/>
    </row>
    <row r="41" spans="1:14">
      <c r="A41" s="72">
        <v>43959</v>
      </c>
      <c r="B41" s="73">
        <v>2598724.33</v>
      </c>
      <c r="C41" s="78">
        <f t="shared" si="0"/>
        <v>3.6403839567687238E-2</v>
      </c>
      <c r="D41">
        <v>234</v>
      </c>
      <c r="E41" s="74"/>
      <c r="F41" s="71"/>
      <c r="I41" s="72">
        <v>43959</v>
      </c>
      <c r="J41" s="73">
        <v>132055.50700000001</v>
      </c>
      <c r="K41" s="78">
        <f t="shared" si="1"/>
        <v>-1.5832258454700036E-2</v>
      </c>
      <c r="L41">
        <v>234</v>
      </c>
      <c r="M41" s="74"/>
      <c r="N41" s="71"/>
    </row>
    <row r="42" spans="1:14">
      <c r="A42" s="72">
        <v>43962</v>
      </c>
      <c r="B42" s="73">
        <v>2598686.69</v>
      </c>
      <c r="C42" s="78">
        <f t="shared" si="0"/>
        <v>3.6388828263844382E-2</v>
      </c>
      <c r="D42">
        <v>233</v>
      </c>
      <c r="E42" s="74"/>
      <c r="F42" s="71"/>
      <c r="I42" s="72">
        <v>43962</v>
      </c>
      <c r="J42" s="73">
        <v>132055.50700000001</v>
      </c>
      <c r="K42" s="78">
        <f t="shared" si="1"/>
        <v>-1.5832258454700036E-2</v>
      </c>
      <c r="L42">
        <v>233</v>
      </c>
      <c r="M42" s="74"/>
      <c r="N42" s="71"/>
    </row>
    <row r="43" spans="1:14">
      <c r="A43" s="72">
        <v>43963</v>
      </c>
      <c r="B43" s="73">
        <v>2598686.69</v>
      </c>
      <c r="C43" s="78">
        <f t="shared" si="0"/>
        <v>3.6388848930087543E-2</v>
      </c>
      <c r="D43">
        <v>232</v>
      </c>
      <c r="E43" s="74"/>
      <c r="F43" s="71"/>
      <c r="I43" s="72">
        <v>43963</v>
      </c>
      <c r="J43" s="73">
        <v>132055.50700000001</v>
      </c>
      <c r="K43" s="78">
        <f t="shared" si="1"/>
        <v>-1.5832258454700036E-2</v>
      </c>
      <c r="L43">
        <v>232</v>
      </c>
      <c r="M43" s="74"/>
      <c r="N43" s="71"/>
    </row>
    <row r="44" spans="1:14">
      <c r="A44" s="72">
        <v>43964</v>
      </c>
      <c r="B44" s="73">
        <v>2598684.69</v>
      </c>
      <c r="C44" s="78">
        <f t="shared" si="0"/>
        <v>3.846668377886981E-2</v>
      </c>
      <c r="D44">
        <v>231</v>
      </c>
      <c r="E44" s="74"/>
      <c r="F44" s="71"/>
      <c r="I44" s="72">
        <v>43964</v>
      </c>
      <c r="J44" s="73">
        <v>132055.50700000001</v>
      </c>
      <c r="K44" s="78">
        <f t="shared" si="1"/>
        <v>-1.5832258454700036E-2</v>
      </c>
      <c r="L44">
        <v>231</v>
      </c>
      <c r="M44" s="74"/>
      <c r="N44" s="71"/>
    </row>
    <row r="45" spans="1:14">
      <c r="A45" s="72">
        <v>43965</v>
      </c>
      <c r="B45" s="73">
        <v>2598639.48</v>
      </c>
      <c r="C45" s="78">
        <f t="shared" si="0"/>
        <v>3.8448617301257398E-2</v>
      </c>
      <c r="D45">
        <v>230</v>
      </c>
      <c r="E45" s="74"/>
      <c r="F45" s="71"/>
      <c r="I45" s="72">
        <v>43965</v>
      </c>
      <c r="J45" s="73">
        <v>132055.50700000001</v>
      </c>
      <c r="K45" s="78">
        <f t="shared" si="1"/>
        <v>-1.5832258454700036E-2</v>
      </c>
      <c r="L45">
        <v>230</v>
      </c>
      <c r="M45" s="74"/>
      <c r="N45" s="71"/>
    </row>
    <row r="46" spans="1:14">
      <c r="A46" s="72">
        <v>43966</v>
      </c>
      <c r="B46" s="73">
        <v>2598639.4300000002</v>
      </c>
      <c r="C46" s="78">
        <f t="shared" si="0"/>
        <v>3.8448597320636352E-2</v>
      </c>
      <c r="D46">
        <v>229</v>
      </c>
      <c r="E46" s="74"/>
      <c r="F46" s="71"/>
      <c r="I46" s="72">
        <v>43966</v>
      </c>
      <c r="J46" s="73">
        <v>132055.50700000001</v>
      </c>
      <c r="K46" s="78">
        <f t="shared" si="1"/>
        <v>-1.5832258454700036E-2</v>
      </c>
      <c r="L46">
        <v>229</v>
      </c>
      <c r="M46" s="74"/>
      <c r="N46" s="71"/>
    </row>
    <row r="47" spans="1:14">
      <c r="A47" s="72">
        <v>43969</v>
      </c>
      <c r="B47" s="73">
        <v>2598573.58</v>
      </c>
      <c r="C47" s="78">
        <f t="shared" si="0"/>
        <v>3.8427428452028359E-2</v>
      </c>
      <c r="D47">
        <v>228</v>
      </c>
      <c r="E47" s="74"/>
      <c r="F47" s="71"/>
      <c r="I47" s="72">
        <v>43969</v>
      </c>
      <c r="J47" s="73">
        <v>132055.50700000001</v>
      </c>
      <c r="K47" s="78">
        <f t="shared" si="1"/>
        <v>-1.5832258454700036E-2</v>
      </c>
      <c r="L47">
        <v>228</v>
      </c>
      <c r="M47" s="74"/>
      <c r="N47" s="71"/>
    </row>
    <row r="48" spans="1:14">
      <c r="A48" s="72">
        <v>43970</v>
      </c>
      <c r="B48" s="73">
        <v>2592002.46</v>
      </c>
      <c r="C48" s="78">
        <f t="shared" si="0"/>
        <v>3.5801857814367115E-2</v>
      </c>
      <c r="D48">
        <v>227</v>
      </c>
      <c r="E48" s="74"/>
      <c r="F48" s="71"/>
      <c r="I48" s="72">
        <v>43970</v>
      </c>
      <c r="J48" s="73">
        <v>132055.50700000001</v>
      </c>
      <c r="K48" s="78">
        <f t="shared" si="1"/>
        <v>-1.5832258454700036E-2</v>
      </c>
      <c r="L48">
        <v>227</v>
      </c>
      <c r="M48" s="74"/>
      <c r="N48" s="71"/>
    </row>
    <row r="49" spans="1:14">
      <c r="A49" s="72">
        <v>43971</v>
      </c>
      <c r="B49" s="73">
        <v>2592000.7400000002</v>
      </c>
      <c r="C49" s="78">
        <f t="shared" si="0"/>
        <v>3.580149333600597E-2</v>
      </c>
      <c r="D49">
        <v>226</v>
      </c>
      <c r="E49" s="74"/>
      <c r="F49" s="71"/>
      <c r="I49" s="72">
        <v>43971</v>
      </c>
      <c r="J49" s="73">
        <v>132055.50700000001</v>
      </c>
      <c r="K49" s="78">
        <f t="shared" si="1"/>
        <v>-1.5832258454700036E-2</v>
      </c>
      <c r="L49">
        <v>226</v>
      </c>
      <c r="M49" s="74"/>
      <c r="N49" s="71"/>
    </row>
    <row r="50" spans="1:14">
      <c r="A50" s="72">
        <v>43972</v>
      </c>
      <c r="B50" s="73">
        <v>2592000.1800000002</v>
      </c>
      <c r="C50" s="78">
        <f t="shared" si="0"/>
        <v>3.5801269551796584E-2</v>
      </c>
      <c r="D50">
        <v>225</v>
      </c>
      <c r="E50" s="74"/>
      <c r="F50" s="71"/>
      <c r="I50" s="72">
        <v>43972</v>
      </c>
      <c r="J50" s="73">
        <v>132055.50700000001</v>
      </c>
      <c r="K50" s="78">
        <f t="shared" si="1"/>
        <v>-1.5832258454700036E-2</v>
      </c>
      <c r="L50">
        <v>225</v>
      </c>
      <c r="M50" s="74"/>
      <c r="N50" s="71"/>
    </row>
    <row r="51" spans="1:14">
      <c r="A51" s="72">
        <v>43973</v>
      </c>
      <c r="B51" s="73">
        <v>2591978.11</v>
      </c>
      <c r="C51" s="78">
        <f t="shared" si="0"/>
        <v>3.5792739798833871E-2</v>
      </c>
      <c r="D51">
        <v>224</v>
      </c>
      <c r="E51" s="74"/>
      <c r="F51" s="71"/>
      <c r="I51" s="72">
        <v>43973</v>
      </c>
      <c r="J51" s="73">
        <v>132055.50700000001</v>
      </c>
      <c r="K51" s="78">
        <f t="shared" si="1"/>
        <v>-1.5832258454700036E-2</v>
      </c>
      <c r="L51">
        <v>224</v>
      </c>
      <c r="M51" s="74"/>
      <c r="N51" s="71"/>
    </row>
    <row r="52" spans="1:14">
      <c r="A52" s="72">
        <v>43976</v>
      </c>
      <c r="B52" s="73">
        <v>2574413.48</v>
      </c>
      <c r="C52" s="78">
        <f t="shared" si="0"/>
        <v>2.8788425704874793E-2</v>
      </c>
      <c r="D52">
        <v>223</v>
      </c>
      <c r="E52" s="74"/>
      <c r="F52" s="71"/>
      <c r="I52" s="72">
        <v>43976</v>
      </c>
      <c r="J52" s="73">
        <v>132055.50700000001</v>
      </c>
      <c r="K52" s="78">
        <f t="shared" si="1"/>
        <v>-1.5832258454700036E-2</v>
      </c>
      <c r="L52">
        <v>223</v>
      </c>
      <c r="M52" s="74"/>
      <c r="N52" s="71"/>
    </row>
    <row r="53" spans="1:14">
      <c r="A53" s="72">
        <v>43977</v>
      </c>
      <c r="B53" s="73">
        <v>2574413.4</v>
      </c>
      <c r="C53" s="78">
        <f t="shared" si="0"/>
        <v>3.3894557030917566E-2</v>
      </c>
      <c r="D53">
        <v>222</v>
      </c>
      <c r="E53" s="74"/>
      <c r="F53" s="71"/>
      <c r="I53" s="72">
        <v>43977</v>
      </c>
      <c r="J53" s="73">
        <v>132055.50700000001</v>
      </c>
      <c r="K53" s="78">
        <f t="shared" si="1"/>
        <v>-1.5832258454700036E-2</v>
      </c>
      <c r="L53">
        <v>222</v>
      </c>
      <c r="M53" s="74"/>
      <c r="N53" s="71"/>
    </row>
    <row r="54" spans="1:14">
      <c r="A54" s="72">
        <v>43978</v>
      </c>
      <c r="B54" s="73">
        <v>2574409.87</v>
      </c>
      <c r="C54" s="78">
        <f t="shared" si="0"/>
        <v>3.4090682689076772E-2</v>
      </c>
      <c r="D54">
        <v>221</v>
      </c>
      <c r="E54" s="74"/>
      <c r="F54" s="71"/>
      <c r="I54" s="72">
        <v>43978</v>
      </c>
      <c r="J54" s="73">
        <v>132055.50700000001</v>
      </c>
      <c r="K54" s="78">
        <f t="shared" si="1"/>
        <v>-1.5832258454700036E-2</v>
      </c>
      <c r="L54">
        <v>221</v>
      </c>
      <c r="M54" s="74"/>
      <c r="N54" s="71"/>
    </row>
    <row r="55" spans="1:14">
      <c r="A55" s="72">
        <v>43979</v>
      </c>
      <c r="B55" s="73">
        <v>2574399.86</v>
      </c>
      <c r="C55" s="78">
        <f t="shared" si="0"/>
        <v>3.4091139601837406E-2</v>
      </c>
      <c r="D55">
        <v>220</v>
      </c>
      <c r="E55" s="74"/>
      <c r="F55" s="71"/>
      <c r="I55" s="72">
        <v>43979</v>
      </c>
      <c r="J55" s="73">
        <v>132055.50700000001</v>
      </c>
      <c r="K55" s="78">
        <f t="shared" si="1"/>
        <v>-1.5832258454700036E-2</v>
      </c>
      <c r="L55">
        <v>220</v>
      </c>
      <c r="M55" s="74"/>
      <c r="N55" s="71"/>
    </row>
    <row r="56" spans="1:14">
      <c r="A56" s="72">
        <v>43980</v>
      </c>
      <c r="B56" s="73">
        <v>2574390.13</v>
      </c>
      <c r="C56" s="78">
        <f t="shared" si="0"/>
        <v>-9.7283179762868259E-3</v>
      </c>
      <c r="D56">
        <v>219</v>
      </c>
      <c r="E56" s="74"/>
      <c r="F56" s="71"/>
      <c r="I56" s="72">
        <v>43980</v>
      </c>
      <c r="J56" s="73">
        <v>132055.50700000001</v>
      </c>
      <c r="K56" s="78">
        <f t="shared" si="1"/>
        <v>0</v>
      </c>
      <c r="L56">
        <v>219</v>
      </c>
      <c r="M56" s="74"/>
      <c r="N56" s="71"/>
    </row>
    <row r="57" spans="1:14">
      <c r="A57" s="72">
        <v>43983</v>
      </c>
      <c r="B57" s="73">
        <v>2584668.08</v>
      </c>
      <c r="C57" s="78">
        <f t="shared" si="0"/>
        <v>-5.774774682421025E-3</v>
      </c>
      <c r="D57">
        <v>218</v>
      </c>
      <c r="E57" s="74"/>
      <c r="F57" s="71"/>
      <c r="I57" s="72">
        <v>43983</v>
      </c>
      <c r="J57" s="73">
        <v>134140.55360000001</v>
      </c>
      <c r="K57" s="78">
        <f t="shared" si="1"/>
        <v>1.5789168110952021E-2</v>
      </c>
      <c r="L57">
        <v>218</v>
      </c>
      <c r="M57" s="74"/>
      <c r="N57" s="71"/>
    </row>
    <row r="58" spans="1:14">
      <c r="A58" s="72">
        <v>43984</v>
      </c>
      <c r="B58" s="73">
        <v>2584666.7200000002</v>
      </c>
      <c r="C58" s="78">
        <f t="shared" si="0"/>
        <v>-5.774957450912944E-3</v>
      </c>
      <c r="D58">
        <v>217</v>
      </c>
      <c r="E58" s="74"/>
      <c r="F58" s="71"/>
      <c r="I58" s="72">
        <v>43984</v>
      </c>
      <c r="J58" s="73">
        <v>134140.55360000001</v>
      </c>
      <c r="K58" s="78">
        <f t="shared" si="1"/>
        <v>1.5789168110952021E-2</v>
      </c>
      <c r="L58">
        <v>217</v>
      </c>
      <c r="M58" s="74"/>
      <c r="N58" s="71"/>
    </row>
    <row r="59" spans="1:14">
      <c r="A59" s="72">
        <v>43985</v>
      </c>
      <c r="B59" s="73">
        <v>2584666.67</v>
      </c>
      <c r="C59" s="78">
        <f t="shared" si="0"/>
        <v>-5.6140154869911132E-3</v>
      </c>
      <c r="D59">
        <v>216</v>
      </c>
      <c r="E59" s="74"/>
      <c r="F59" s="71"/>
      <c r="I59" s="72">
        <v>43985</v>
      </c>
      <c r="J59" s="73">
        <v>134140.55360000001</v>
      </c>
      <c r="K59" s="78">
        <f t="shared" si="1"/>
        <v>1.5789168110952021E-2</v>
      </c>
      <c r="L59">
        <v>216</v>
      </c>
      <c r="M59" s="74"/>
      <c r="N59" s="71"/>
    </row>
    <row r="60" spans="1:14">
      <c r="A60" s="72">
        <v>43986</v>
      </c>
      <c r="B60" s="73">
        <v>2584122.5099999998</v>
      </c>
      <c r="C60" s="78">
        <f t="shared" si="0"/>
        <v>-5.6289622354630019E-3</v>
      </c>
      <c r="D60">
        <v>215</v>
      </c>
      <c r="E60" s="74"/>
      <c r="F60" s="71"/>
      <c r="I60" s="72">
        <v>43986</v>
      </c>
      <c r="J60" s="73">
        <v>134140.55360000001</v>
      </c>
      <c r="K60" s="78">
        <f t="shared" si="1"/>
        <v>1.5789168110952021E-2</v>
      </c>
      <c r="L60">
        <v>215</v>
      </c>
      <c r="M60" s="74"/>
      <c r="N60" s="71"/>
    </row>
    <row r="61" spans="1:14">
      <c r="A61" s="72">
        <v>43987</v>
      </c>
      <c r="B61" s="76">
        <v>2584115.4500000002</v>
      </c>
      <c r="C61" s="78">
        <f t="shared" si="0"/>
        <v>-5.6316789253641362E-3</v>
      </c>
      <c r="D61">
        <v>214</v>
      </c>
      <c r="E61" s="74"/>
      <c r="F61" s="71"/>
      <c r="I61" s="72">
        <v>43987</v>
      </c>
      <c r="J61" s="76">
        <v>134140.55360000001</v>
      </c>
      <c r="K61" s="78">
        <f t="shared" si="1"/>
        <v>1.5789168110952021E-2</v>
      </c>
      <c r="L61">
        <v>214</v>
      </c>
      <c r="M61" s="74"/>
      <c r="N61" s="71"/>
    </row>
    <row r="62" spans="1:14">
      <c r="A62" s="72">
        <v>43990</v>
      </c>
      <c r="B62" s="73">
        <v>2584115.4500000002</v>
      </c>
      <c r="C62" s="78">
        <f t="shared" si="0"/>
        <v>-5.6215581742754097E-3</v>
      </c>
      <c r="D62">
        <v>213</v>
      </c>
      <c r="E62" s="74"/>
      <c r="F62" s="71"/>
      <c r="I62" s="72">
        <v>43990</v>
      </c>
      <c r="J62" s="73">
        <v>134140.55360000001</v>
      </c>
      <c r="K62" s="78">
        <f t="shared" si="1"/>
        <v>1.5789168110952021E-2</v>
      </c>
      <c r="L62">
        <v>213</v>
      </c>
      <c r="M62" s="74"/>
      <c r="N62" s="71"/>
    </row>
    <row r="63" spans="1:14">
      <c r="A63" s="72">
        <v>43991</v>
      </c>
      <c r="B63" s="73">
        <v>2584103.29</v>
      </c>
      <c r="C63" s="78">
        <f t="shared" si="0"/>
        <v>-5.6118346455993539E-3</v>
      </c>
      <c r="D63">
        <v>212</v>
      </c>
      <c r="E63" s="74"/>
      <c r="F63" s="71"/>
      <c r="I63" s="72">
        <v>43991</v>
      </c>
      <c r="J63" s="73">
        <v>134140.55360000001</v>
      </c>
      <c r="K63" s="78">
        <f t="shared" si="1"/>
        <v>1.5789168110952021E-2</v>
      </c>
      <c r="L63">
        <v>212</v>
      </c>
      <c r="M63" s="74"/>
      <c r="N63" s="71"/>
    </row>
    <row r="64" spans="1:14">
      <c r="A64" s="72">
        <v>43992</v>
      </c>
      <c r="B64" s="73">
        <v>2576006.4300000002</v>
      </c>
      <c r="C64" s="78">
        <f t="shared" si="0"/>
        <v>-8.7275853942976774E-3</v>
      </c>
      <c r="D64">
        <v>211</v>
      </c>
      <c r="E64" s="74"/>
      <c r="F64" s="71"/>
      <c r="I64" s="72">
        <v>43992</v>
      </c>
      <c r="J64" s="73">
        <v>134140.55360000001</v>
      </c>
      <c r="K64" s="78">
        <f t="shared" si="1"/>
        <v>1.5789168110952021E-2</v>
      </c>
      <c r="L64">
        <v>211</v>
      </c>
      <c r="M64" s="74"/>
      <c r="N64" s="71"/>
    </row>
    <row r="65" spans="1:14">
      <c r="A65" s="72">
        <v>43993</v>
      </c>
      <c r="B65" s="73">
        <v>2534678.35</v>
      </c>
      <c r="C65" s="78">
        <f t="shared" si="0"/>
        <v>-2.4630283253025149E-2</v>
      </c>
      <c r="D65">
        <v>210</v>
      </c>
      <c r="E65" s="74"/>
      <c r="F65" s="71"/>
      <c r="I65" s="72">
        <v>43993</v>
      </c>
      <c r="J65" s="73">
        <v>134140.55360000001</v>
      </c>
      <c r="K65" s="78">
        <f t="shared" si="1"/>
        <v>1.5789168110952021E-2</v>
      </c>
      <c r="L65">
        <v>210</v>
      </c>
      <c r="M65" s="74"/>
      <c r="N65" s="71"/>
    </row>
    <row r="66" spans="1:14">
      <c r="A66" s="72">
        <v>43994</v>
      </c>
      <c r="B66" s="73">
        <v>2534678</v>
      </c>
      <c r="C66" s="78">
        <f t="shared" si="0"/>
        <v>-2.4613448880565759E-2</v>
      </c>
      <c r="D66">
        <v>209</v>
      </c>
      <c r="E66" s="74"/>
      <c r="F66" s="71"/>
      <c r="I66" s="72">
        <v>43994</v>
      </c>
      <c r="J66" s="73">
        <v>134140.55360000001</v>
      </c>
      <c r="K66" s="78">
        <f t="shared" si="1"/>
        <v>1.5789168110952021E-2</v>
      </c>
      <c r="L66">
        <v>209</v>
      </c>
      <c r="M66" s="74"/>
      <c r="N66" s="71"/>
    </row>
    <row r="67" spans="1:14">
      <c r="A67" s="72">
        <v>43997</v>
      </c>
      <c r="B67" s="73">
        <v>2534662.38</v>
      </c>
      <c r="C67" s="78">
        <f t="shared" si="0"/>
        <v>-2.4619440951067335E-2</v>
      </c>
      <c r="D67">
        <v>208</v>
      </c>
      <c r="E67" s="74"/>
      <c r="F67" s="71"/>
      <c r="I67" s="72">
        <v>43997</v>
      </c>
      <c r="J67" s="73">
        <v>134140.55360000001</v>
      </c>
      <c r="K67" s="78">
        <f t="shared" si="1"/>
        <v>1.5789168110952021E-2</v>
      </c>
      <c r="L67">
        <v>208</v>
      </c>
      <c r="M67" s="74"/>
      <c r="N67" s="71"/>
    </row>
    <row r="68" spans="1:14">
      <c r="A68" s="72">
        <v>43998</v>
      </c>
      <c r="B68" s="73">
        <v>2534642.23</v>
      </c>
      <c r="C68" s="78">
        <f t="shared" si="0"/>
        <v>-2.4602478256551846E-2</v>
      </c>
      <c r="D68">
        <v>207</v>
      </c>
      <c r="E68" s="74"/>
      <c r="F68" s="71"/>
      <c r="I68" s="72">
        <v>43998</v>
      </c>
      <c r="J68" s="73">
        <v>134140.55360000001</v>
      </c>
      <c r="K68" s="78">
        <f t="shared" si="1"/>
        <v>1.5789168110952021E-2</v>
      </c>
      <c r="L68">
        <v>207</v>
      </c>
      <c r="M68" s="74"/>
      <c r="N68" s="71"/>
    </row>
    <row r="69" spans="1:14">
      <c r="A69" s="72">
        <v>43999</v>
      </c>
      <c r="B69" s="73">
        <v>2534596.29</v>
      </c>
      <c r="C69" s="78">
        <f t="shared" si="0"/>
        <v>-2.214742111008642E-2</v>
      </c>
      <c r="D69">
        <v>206</v>
      </c>
      <c r="E69" s="74"/>
      <c r="F69" s="71"/>
      <c r="I69" s="72">
        <v>43999</v>
      </c>
      <c r="J69" s="73">
        <v>134140.55360000001</v>
      </c>
      <c r="K69" s="78">
        <f t="shared" si="1"/>
        <v>1.5789168110952021E-2</v>
      </c>
      <c r="L69">
        <v>206</v>
      </c>
      <c r="M69" s="74"/>
      <c r="N69" s="71"/>
    </row>
    <row r="70" spans="1:14">
      <c r="A70" s="72">
        <v>44000</v>
      </c>
      <c r="B70" s="73">
        <v>2108510.84</v>
      </c>
      <c r="C70" s="78">
        <f t="shared" si="0"/>
        <v>-0.18653154396861799</v>
      </c>
      <c r="D70">
        <v>205</v>
      </c>
      <c r="E70" s="74"/>
      <c r="F70" s="71"/>
      <c r="I70" s="72">
        <v>44000</v>
      </c>
      <c r="J70" s="73">
        <v>134140.55360000001</v>
      </c>
      <c r="K70" s="78">
        <f t="shared" si="1"/>
        <v>1.5789168110952021E-2</v>
      </c>
      <c r="L70">
        <v>205</v>
      </c>
      <c r="M70" s="74"/>
      <c r="N70" s="71"/>
    </row>
    <row r="71" spans="1:14">
      <c r="A71" s="72">
        <v>44001</v>
      </c>
      <c r="B71" s="73">
        <v>2108168.88</v>
      </c>
      <c r="C71" s="78">
        <f t="shared" si="0"/>
        <v>-0.18666329722245631</v>
      </c>
      <c r="D71">
        <v>204</v>
      </c>
      <c r="E71" s="74"/>
      <c r="F71" s="71"/>
      <c r="I71" s="72">
        <v>44001</v>
      </c>
      <c r="J71" s="73">
        <v>134140.55360000001</v>
      </c>
      <c r="K71" s="78">
        <f t="shared" si="1"/>
        <v>1.5789168110952021E-2</v>
      </c>
      <c r="L71">
        <v>204</v>
      </c>
      <c r="M71" s="74"/>
      <c r="N71" s="71"/>
    </row>
    <row r="72" spans="1:14">
      <c r="A72" s="72">
        <v>44004</v>
      </c>
      <c r="B72" s="73">
        <v>2108135.17</v>
      </c>
      <c r="C72" s="78">
        <f t="shared" si="0"/>
        <v>-0.18666937738914777</v>
      </c>
      <c r="D72">
        <v>203</v>
      </c>
      <c r="E72" s="74"/>
      <c r="F72" s="71"/>
      <c r="I72" s="72">
        <v>44004</v>
      </c>
      <c r="J72" s="73">
        <v>134140.55360000001</v>
      </c>
      <c r="K72" s="78">
        <f t="shared" si="1"/>
        <v>1.5789168110952021E-2</v>
      </c>
      <c r="L72">
        <v>203</v>
      </c>
      <c r="M72" s="74"/>
      <c r="N72" s="71"/>
    </row>
    <row r="73" spans="1:14">
      <c r="A73" s="72">
        <v>44005</v>
      </c>
      <c r="B73" s="73">
        <v>2107758.8199999998</v>
      </c>
      <c r="C73" s="78">
        <f t="shared" si="0"/>
        <v>-0.18126639858955373</v>
      </c>
      <c r="D73">
        <v>202</v>
      </c>
      <c r="E73" s="74"/>
      <c r="F73" s="71"/>
      <c r="I73" s="72">
        <v>44005</v>
      </c>
      <c r="J73" s="73">
        <v>134140.55360000001</v>
      </c>
      <c r="K73" s="78">
        <f t="shared" si="1"/>
        <v>1.5789168110952021E-2</v>
      </c>
      <c r="L73">
        <v>202</v>
      </c>
      <c r="M73" s="74"/>
      <c r="N73" s="71"/>
    </row>
    <row r="74" spans="1:14">
      <c r="A74" s="72">
        <v>44006</v>
      </c>
      <c r="B74" s="73">
        <v>2107758.8199999998</v>
      </c>
      <c r="C74" s="78">
        <f t="shared" si="0"/>
        <v>-0.18126637314737412</v>
      </c>
      <c r="D74">
        <v>201</v>
      </c>
      <c r="E74" s="74"/>
      <c r="F74" s="71"/>
      <c r="I74" s="72">
        <v>44006</v>
      </c>
      <c r="J74" s="73">
        <v>134140.55360000001</v>
      </c>
      <c r="K74" s="78">
        <f t="shared" si="1"/>
        <v>1.5789168110952021E-2</v>
      </c>
      <c r="L74">
        <v>201</v>
      </c>
      <c r="M74" s="74"/>
      <c r="N74" s="71"/>
    </row>
    <row r="75" spans="1:14">
      <c r="A75" s="72">
        <v>44007</v>
      </c>
      <c r="B75" s="73">
        <v>2095725.27</v>
      </c>
      <c r="C75" s="78">
        <f t="shared" si="0"/>
        <v>-0.18593954504998852</v>
      </c>
      <c r="D75">
        <v>200</v>
      </c>
      <c r="E75" s="74"/>
      <c r="F75" s="71"/>
      <c r="I75" s="72">
        <v>44007</v>
      </c>
      <c r="J75" s="73">
        <v>134140.55360000001</v>
      </c>
      <c r="K75" s="78">
        <f t="shared" si="1"/>
        <v>1.5789168110952021E-2</v>
      </c>
      <c r="L75">
        <v>200</v>
      </c>
      <c r="M75" s="74"/>
      <c r="N75" s="71"/>
    </row>
    <row r="76" spans="1:14">
      <c r="A76" s="72">
        <v>44008</v>
      </c>
      <c r="B76" s="73">
        <v>2095709.16</v>
      </c>
      <c r="C76" s="78">
        <f t="shared" si="0"/>
        <v>-0.18594263752018694</v>
      </c>
      <c r="D76">
        <v>199</v>
      </c>
      <c r="E76" s="74"/>
      <c r="F76" s="71"/>
      <c r="I76" s="72">
        <v>44008</v>
      </c>
      <c r="J76" s="73">
        <v>134140.55360000001</v>
      </c>
      <c r="K76" s="78">
        <f t="shared" si="1"/>
        <v>1.5789168110952021E-2</v>
      </c>
      <c r="L76">
        <v>199</v>
      </c>
      <c r="M76" s="74"/>
      <c r="N76" s="71"/>
    </row>
    <row r="77" spans="1:14">
      <c r="A77" s="72">
        <v>44011</v>
      </c>
      <c r="B77" s="73">
        <v>2095704.09</v>
      </c>
      <c r="C77" s="78">
        <f t="shared" si="0"/>
        <v>-0.18594153015961098</v>
      </c>
      <c r="D77">
        <v>198</v>
      </c>
      <c r="E77" s="74"/>
      <c r="F77" s="71"/>
      <c r="I77" s="72">
        <v>44011</v>
      </c>
      <c r="J77" s="73">
        <v>134140.55360000001</v>
      </c>
      <c r="K77" s="78">
        <f t="shared" si="1"/>
        <v>1.5789168110952021E-2</v>
      </c>
      <c r="L77">
        <v>198</v>
      </c>
      <c r="M77" s="74"/>
      <c r="N77" s="71"/>
    </row>
    <row r="78" spans="1:14">
      <c r="A78" s="72">
        <v>44012</v>
      </c>
      <c r="B78" s="73">
        <v>2534353.7200000002</v>
      </c>
      <c r="C78" s="78">
        <f t="shared" si="0"/>
        <v>-1.9466468591974824E-2</v>
      </c>
      <c r="D78">
        <v>197</v>
      </c>
      <c r="E78" s="74"/>
      <c r="F78" s="71"/>
      <c r="I78" s="72">
        <v>44012</v>
      </c>
      <c r="J78" s="73">
        <v>246784.28</v>
      </c>
      <c r="K78" s="78">
        <f t="shared" si="1"/>
        <v>0.83974401012163391</v>
      </c>
      <c r="L78">
        <v>197</v>
      </c>
      <c r="M78" s="74"/>
      <c r="N78" s="71"/>
    </row>
    <row r="79" spans="1:14">
      <c r="A79" s="72">
        <v>44013</v>
      </c>
      <c r="B79" s="73">
        <v>2534335.08</v>
      </c>
      <c r="C79" s="78">
        <f t="shared" si="0"/>
        <v>-1.947316441633919E-2</v>
      </c>
      <c r="D79">
        <v>196</v>
      </c>
      <c r="E79" s="74"/>
      <c r="F79" s="71"/>
      <c r="I79" s="72">
        <v>44013</v>
      </c>
      <c r="J79" s="73">
        <v>246784.28</v>
      </c>
      <c r="K79" s="78">
        <f t="shared" si="1"/>
        <v>0.83974401012163391</v>
      </c>
      <c r="L79">
        <v>196</v>
      </c>
      <c r="M79" s="74"/>
      <c r="N79" s="71"/>
    </row>
    <row r="80" spans="1:14">
      <c r="A80" s="72">
        <v>44014</v>
      </c>
      <c r="B80" s="73">
        <v>2480013.71</v>
      </c>
      <c r="C80" s="78">
        <f t="shared" si="0"/>
        <v>-4.0489925147678699E-2</v>
      </c>
      <c r="D80">
        <v>195</v>
      </c>
      <c r="E80" s="74"/>
      <c r="F80" s="71"/>
      <c r="I80" s="72">
        <v>44014</v>
      </c>
      <c r="J80" s="73">
        <v>246784.28</v>
      </c>
      <c r="K80" s="78">
        <f t="shared" si="1"/>
        <v>0.83974401012163391</v>
      </c>
      <c r="L80">
        <v>195</v>
      </c>
      <c r="M80" s="74"/>
      <c r="N80" s="71"/>
    </row>
    <row r="81" spans="1:14">
      <c r="A81" s="72">
        <v>44015</v>
      </c>
      <c r="B81" s="76">
        <v>2479925.73</v>
      </c>
      <c r="C81" s="78">
        <f t="shared" si="0"/>
        <v>-4.0321919567195677E-2</v>
      </c>
      <c r="D81">
        <v>194</v>
      </c>
      <c r="E81" s="74"/>
      <c r="F81" s="71"/>
      <c r="I81" s="72">
        <v>44015</v>
      </c>
      <c r="J81" s="76">
        <v>246784.28</v>
      </c>
      <c r="K81" s="78">
        <f t="shared" si="1"/>
        <v>0.83974401012163391</v>
      </c>
      <c r="L81">
        <v>194</v>
      </c>
      <c r="M81" s="74"/>
      <c r="N81" s="71"/>
    </row>
    <row r="82" spans="1:14">
      <c r="A82" s="72">
        <v>44018</v>
      </c>
      <c r="B82" s="73">
        <v>2479918.94</v>
      </c>
      <c r="C82" s="78">
        <f t="shared" si="0"/>
        <v>-4.0321925245251806E-2</v>
      </c>
      <c r="D82">
        <v>193</v>
      </c>
      <c r="E82" s="74"/>
      <c r="F82" s="71"/>
      <c r="I82" s="72">
        <v>44018</v>
      </c>
      <c r="J82" s="73">
        <v>246784.28</v>
      </c>
      <c r="K82" s="78">
        <f t="shared" si="1"/>
        <v>0.83974401012163391</v>
      </c>
      <c r="L82">
        <v>193</v>
      </c>
      <c r="M82" s="74"/>
      <c r="N82" s="71"/>
    </row>
    <row r="83" spans="1:14">
      <c r="A83" s="72">
        <v>44019</v>
      </c>
      <c r="B83" s="73">
        <v>2479868.7200000002</v>
      </c>
      <c r="C83" s="78">
        <f t="shared" si="0"/>
        <v>-4.0341359361478986E-2</v>
      </c>
      <c r="D83">
        <v>192</v>
      </c>
      <c r="E83" s="74"/>
      <c r="F83" s="71"/>
      <c r="I83" s="72">
        <v>44019</v>
      </c>
      <c r="J83" s="73">
        <v>246784.28</v>
      </c>
      <c r="K83" s="78">
        <f t="shared" si="1"/>
        <v>0.83974401012163391</v>
      </c>
      <c r="L83">
        <v>192</v>
      </c>
      <c r="M83" s="74"/>
      <c r="N83" s="71"/>
    </row>
    <row r="84" spans="1:14">
      <c r="A84" s="72">
        <v>44020</v>
      </c>
      <c r="B84" s="73">
        <v>2479863.7000000002</v>
      </c>
      <c r="C84" s="78">
        <f t="shared" si="0"/>
        <v>-4.0338786148134138E-2</v>
      </c>
      <c r="D84">
        <v>191</v>
      </c>
      <c r="E84" s="74"/>
      <c r="F84" s="71"/>
      <c r="I84" s="72">
        <v>44020</v>
      </c>
      <c r="J84" s="73">
        <v>246784.28</v>
      </c>
      <c r="K84" s="78">
        <f t="shared" si="1"/>
        <v>0.83974401012163391</v>
      </c>
      <c r="L84">
        <v>191</v>
      </c>
      <c r="M84" s="74"/>
      <c r="N84" s="71"/>
    </row>
    <row r="85" spans="1:14">
      <c r="A85" s="72">
        <v>44021</v>
      </c>
      <c r="B85" s="73">
        <v>2479127.52</v>
      </c>
      <c r="C85" s="78">
        <f t="shared" si="0"/>
        <v>-3.7608178641075886E-2</v>
      </c>
      <c r="D85">
        <v>190</v>
      </c>
      <c r="E85" s="74"/>
      <c r="F85" s="71"/>
      <c r="I85" s="72">
        <v>44021</v>
      </c>
      <c r="J85" s="73">
        <v>246784.28</v>
      </c>
      <c r="K85" s="78">
        <f t="shared" si="1"/>
        <v>0.83974401012163391</v>
      </c>
      <c r="L85">
        <v>190</v>
      </c>
      <c r="M85" s="74"/>
      <c r="N85" s="71"/>
    </row>
    <row r="86" spans="1:14">
      <c r="A86" s="72">
        <v>44022</v>
      </c>
      <c r="B86" s="73">
        <v>2425398.5</v>
      </c>
      <c r="C86" s="78">
        <f t="shared" si="0"/>
        <v>-4.3113892537883593E-2</v>
      </c>
      <c r="D86">
        <v>189</v>
      </c>
      <c r="E86" s="74"/>
      <c r="F86" s="71"/>
      <c r="I86" s="72">
        <v>44022</v>
      </c>
      <c r="J86" s="73">
        <v>246784.28</v>
      </c>
      <c r="K86" s="78">
        <f t="shared" si="1"/>
        <v>0.83974401012163391</v>
      </c>
      <c r="L86">
        <v>189</v>
      </c>
      <c r="M86" s="74"/>
      <c r="N86" s="71"/>
    </row>
    <row r="87" spans="1:14">
      <c r="A87" s="72">
        <v>44025</v>
      </c>
      <c r="B87" s="73">
        <v>2423848.39</v>
      </c>
      <c r="C87" s="78">
        <f t="shared" ref="C87:C150" si="2">(B87-B66)/B66</f>
        <v>-4.3725321322866204E-2</v>
      </c>
      <c r="D87">
        <v>188</v>
      </c>
      <c r="E87" s="74"/>
      <c r="F87" s="71"/>
      <c r="I87" s="72">
        <v>44025</v>
      </c>
      <c r="J87" s="73">
        <v>246784.28</v>
      </c>
      <c r="K87" s="78">
        <f t="shared" ref="K87:K150" si="3">(J87-J66)/J66</f>
        <v>0.83974401012163391</v>
      </c>
      <c r="L87">
        <v>188</v>
      </c>
      <c r="M87" s="74"/>
      <c r="N87" s="71"/>
    </row>
    <row r="88" spans="1:14">
      <c r="A88" s="72">
        <v>44026</v>
      </c>
      <c r="B88" s="73">
        <v>2423829.96</v>
      </c>
      <c r="C88" s="78">
        <f t="shared" si="2"/>
        <v>-4.3726699411540532E-2</v>
      </c>
      <c r="D88">
        <v>187</v>
      </c>
      <c r="E88" s="74"/>
      <c r="F88" s="71"/>
      <c r="I88" s="72">
        <v>44026</v>
      </c>
      <c r="J88" s="73">
        <v>246784.28</v>
      </c>
      <c r="K88" s="78">
        <f t="shared" si="3"/>
        <v>0.83974401012163391</v>
      </c>
      <c r="L88">
        <v>187</v>
      </c>
      <c r="M88" s="74"/>
      <c r="N88" s="71"/>
    </row>
    <row r="89" spans="1:14">
      <c r="A89" s="72">
        <v>44027</v>
      </c>
      <c r="B89" s="73">
        <v>2423826.08</v>
      </c>
      <c r="C89" s="78">
        <f t="shared" si="2"/>
        <v>-4.3720627979910172E-2</v>
      </c>
      <c r="D89">
        <v>186</v>
      </c>
      <c r="E89" s="74"/>
      <c r="F89" s="71"/>
      <c r="I89" s="72">
        <v>44027</v>
      </c>
      <c r="J89" s="73">
        <v>246784.28</v>
      </c>
      <c r="K89" s="78">
        <f t="shared" si="3"/>
        <v>0.83974401012163391</v>
      </c>
      <c r="L89">
        <v>186</v>
      </c>
      <c r="M89" s="74"/>
      <c r="N89" s="71"/>
    </row>
    <row r="90" spans="1:14">
      <c r="A90" s="72">
        <v>44028</v>
      </c>
      <c r="B90" s="73">
        <v>2423562.62</v>
      </c>
      <c r="C90" s="78">
        <f t="shared" si="2"/>
        <v>-4.3807240797310534E-2</v>
      </c>
      <c r="D90">
        <v>185</v>
      </c>
      <c r="E90" s="74"/>
      <c r="F90" s="71"/>
      <c r="I90" s="72">
        <v>44028</v>
      </c>
      <c r="J90" s="73">
        <v>246784.28</v>
      </c>
      <c r="K90" s="78">
        <f t="shared" si="3"/>
        <v>0.83974401012163391</v>
      </c>
      <c r="L90">
        <v>185</v>
      </c>
      <c r="M90" s="74"/>
      <c r="N90" s="71"/>
    </row>
    <row r="91" spans="1:14">
      <c r="A91" s="72">
        <v>44029</v>
      </c>
      <c r="B91" s="73">
        <v>2423485.69</v>
      </c>
      <c r="C91" s="78">
        <f t="shared" si="2"/>
        <v>0.14938260881788976</v>
      </c>
      <c r="D91">
        <v>184</v>
      </c>
      <c r="E91" s="74"/>
      <c r="F91" s="71"/>
      <c r="I91" s="72">
        <v>44029</v>
      </c>
      <c r="J91" s="73">
        <v>246784.28</v>
      </c>
      <c r="K91" s="78">
        <f t="shared" si="3"/>
        <v>0.83974401012163391</v>
      </c>
      <c r="L91">
        <v>184</v>
      </c>
      <c r="M91" s="74"/>
      <c r="N91" s="71"/>
    </row>
    <row r="92" spans="1:14">
      <c r="A92" s="72">
        <v>44032</v>
      </c>
      <c r="B92" s="73">
        <v>2396168.34</v>
      </c>
      <c r="C92" s="78">
        <f t="shared" si="2"/>
        <v>0.13661119027617938</v>
      </c>
      <c r="D92">
        <v>183</v>
      </c>
      <c r="E92" s="74"/>
      <c r="F92" s="71"/>
      <c r="I92" s="72">
        <v>44032</v>
      </c>
      <c r="J92" s="73">
        <v>246784.28</v>
      </c>
      <c r="K92" s="78">
        <f t="shared" si="3"/>
        <v>0.83974401012163391</v>
      </c>
      <c r="L92">
        <v>183</v>
      </c>
      <c r="M92" s="74"/>
      <c r="N92" s="71"/>
    </row>
    <row r="93" spans="1:14">
      <c r="A93" s="72">
        <v>44033</v>
      </c>
      <c r="B93" s="73">
        <v>2388613.1200000001</v>
      </c>
      <c r="C93" s="78">
        <f t="shared" si="2"/>
        <v>0.13304552478008333</v>
      </c>
      <c r="D93">
        <v>182</v>
      </c>
      <c r="E93" s="74"/>
      <c r="F93" s="71"/>
      <c r="I93" s="72">
        <v>44033</v>
      </c>
      <c r="J93" s="73">
        <v>246784.28</v>
      </c>
      <c r="K93" s="78">
        <f t="shared" si="3"/>
        <v>0.83974401012163391</v>
      </c>
      <c r="L93">
        <v>182</v>
      </c>
      <c r="M93" s="74"/>
      <c r="N93" s="71"/>
    </row>
    <row r="94" spans="1:14">
      <c r="A94" s="72">
        <v>44034</v>
      </c>
      <c r="B94" s="73">
        <v>2360607.94</v>
      </c>
      <c r="C94" s="78">
        <f t="shared" si="2"/>
        <v>0.11996112534355337</v>
      </c>
      <c r="D94">
        <v>181</v>
      </c>
      <c r="E94" s="74"/>
      <c r="F94" s="71"/>
      <c r="I94" s="72">
        <v>44034</v>
      </c>
      <c r="J94" s="73">
        <v>246784.28</v>
      </c>
      <c r="K94" s="78">
        <f t="shared" si="3"/>
        <v>0.83974401012163391</v>
      </c>
      <c r="L94">
        <v>181</v>
      </c>
      <c r="M94" s="74"/>
      <c r="N94" s="71"/>
    </row>
    <row r="95" spans="1:14">
      <c r="A95" s="72">
        <v>44035</v>
      </c>
      <c r="B95" s="73">
        <v>2343089.54</v>
      </c>
      <c r="C95" s="78">
        <f t="shared" si="2"/>
        <v>0.1116497379904216</v>
      </c>
      <c r="D95">
        <v>180</v>
      </c>
      <c r="E95" s="74"/>
      <c r="F95" s="71"/>
      <c r="I95" s="72">
        <v>44035</v>
      </c>
      <c r="J95" s="73">
        <v>246784.28</v>
      </c>
      <c r="K95" s="78">
        <f t="shared" si="3"/>
        <v>0.83974401012163391</v>
      </c>
      <c r="L95">
        <v>180</v>
      </c>
      <c r="M95" s="74"/>
      <c r="N95" s="71"/>
    </row>
    <row r="96" spans="1:14">
      <c r="A96" s="72">
        <v>44036</v>
      </c>
      <c r="B96" s="73">
        <v>2342894.21</v>
      </c>
      <c r="C96" s="78">
        <f t="shared" si="2"/>
        <v>0.11793957134467341</v>
      </c>
      <c r="D96">
        <v>179</v>
      </c>
      <c r="E96" s="74"/>
      <c r="F96" s="71"/>
      <c r="I96" s="72">
        <v>44036</v>
      </c>
      <c r="J96" s="73">
        <v>246784.28</v>
      </c>
      <c r="K96" s="78">
        <f t="shared" si="3"/>
        <v>0.83974401012163391</v>
      </c>
      <c r="L96">
        <v>179</v>
      </c>
      <c r="M96" s="74"/>
      <c r="N96" s="71"/>
    </row>
    <row r="97" spans="1:14">
      <c r="A97" s="72">
        <v>44039</v>
      </c>
      <c r="B97" s="73">
        <v>2340503.5099999998</v>
      </c>
      <c r="C97" s="78">
        <f t="shared" si="2"/>
        <v>0.11680740566119388</v>
      </c>
      <c r="D97">
        <v>178</v>
      </c>
      <c r="E97" s="74"/>
      <c r="F97" s="71"/>
      <c r="I97" s="72">
        <v>44039</v>
      </c>
      <c r="J97" s="73">
        <v>246784.28</v>
      </c>
      <c r="K97" s="78">
        <f t="shared" si="3"/>
        <v>0.83974401012163391</v>
      </c>
      <c r="L97">
        <v>178</v>
      </c>
      <c r="M97" s="74"/>
      <c r="N97" s="71"/>
    </row>
    <row r="98" spans="1:14">
      <c r="A98" s="72">
        <v>44040</v>
      </c>
      <c r="B98" s="73">
        <v>2340503.5099999998</v>
      </c>
      <c r="C98" s="78">
        <f t="shared" si="2"/>
        <v>0.11681010748039322</v>
      </c>
      <c r="D98">
        <v>177</v>
      </c>
      <c r="E98" s="74"/>
      <c r="F98" s="71"/>
      <c r="I98" s="72">
        <v>44040</v>
      </c>
      <c r="J98" s="73">
        <v>246784.28</v>
      </c>
      <c r="K98" s="78">
        <f t="shared" si="3"/>
        <v>0.83974401012163391</v>
      </c>
      <c r="L98">
        <v>177</v>
      </c>
      <c r="M98" s="74"/>
      <c r="N98" s="71"/>
    </row>
    <row r="99" spans="1:14">
      <c r="A99" s="72">
        <v>44041</v>
      </c>
      <c r="B99" s="73">
        <v>2340155.48</v>
      </c>
      <c r="C99" s="78">
        <f t="shared" si="2"/>
        <v>-7.6626336121699778E-2</v>
      </c>
      <c r="D99">
        <v>176</v>
      </c>
      <c r="E99" s="74"/>
      <c r="F99" s="71"/>
      <c r="I99" s="72">
        <v>44041</v>
      </c>
      <c r="J99" s="73">
        <v>246784.28</v>
      </c>
      <c r="K99" s="78">
        <f t="shared" si="3"/>
        <v>0</v>
      </c>
      <c r="L99">
        <v>176</v>
      </c>
      <c r="M99" s="74"/>
      <c r="N99" s="71"/>
    </row>
    <row r="100" spans="1:14">
      <c r="A100" s="72">
        <v>44042</v>
      </c>
      <c r="B100" s="73">
        <v>2330203.7799999998</v>
      </c>
      <c r="C100" s="78">
        <f t="shared" si="2"/>
        <v>-8.0546294612313177E-2</v>
      </c>
      <c r="D100">
        <v>175</v>
      </c>
      <c r="E100" s="74"/>
      <c r="F100" s="71"/>
      <c r="I100" s="72">
        <v>44042</v>
      </c>
      <c r="J100" s="73">
        <v>246784.28</v>
      </c>
      <c r="K100" s="78">
        <f t="shared" si="3"/>
        <v>0</v>
      </c>
      <c r="L100">
        <v>175</v>
      </c>
      <c r="M100" s="74"/>
      <c r="N100" s="71"/>
    </row>
    <row r="101" spans="1:14">
      <c r="A101" s="72">
        <v>44043</v>
      </c>
      <c r="B101" s="73">
        <v>2689871.09</v>
      </c>
      <c r="C101" s="78">
        <f t="shared" si="2"/>
        <v>8.4619443494931279E-2</v>
      </c>
      <c r="D101">
        <v>174</v>
      </c>
      <c r="E101" s="74"/>
      <c r="F101" s="71"/>
      <c r="I101" s="72">
        <v>44043</v>
      </c>
      <c r="J101" s="73">
        <v>273261.7034</v>
      </c>
      <c r="K101" s="78">
        <f t="shared" si="3"/>
        <v>0.10728974876357603</v>
      </c>
      <c r="L101">
        <v>174</v>
      </c>
      <c r="M101" s="74"/>
      <c r="N101" s="71"/>
    </row>
    <row r="102" spans="1:14">
      <c r="A102" s="72">
        <v>44046</v>
      </c>
      <c r="B102" s="76">
        <v>2625660.2799999998</v>
      </c>
      <c r="C102" s="78">
        <f t="shared" si="2"/>
        <v>5.876569134189346E-2</v>
      </c>
      <c r="D102">
        <v>173</v>
      </c>
      <c r="E102" s="74"/>
      <c r="F102" s="71"/>
      <c r="I102" s="72">
        <v>44046</v>
      </c>
      <c r="J102" s="76">
        <v>273261.7034</v>
      </c>
      <c r="K102" s="78">
        <f t="shared" si="3"/>
        <v>0.10728974876357603</v>
      </c>
      <c r="L102">
        <v>173</v>
      </c>
      <c r="M102" s="74"/>
      <c r="N102" s="71"/>
    </row>
    <row r="103" spans="1:14">
      <c r="A103" s="72">
        <v>44047</v>
      </c>
      <c r="B103" s="76">
        <v>2625640.8199999998</v>
      </c>
      <c r="C103" s="78">
        <f t="shared" si="2"/>
        <v>5.8760743203969359E-2</v>
      </c>
      <c r="D103">
        <v>172</v>
      </c>
      <c r="E103" s="74"/>
      <c r="F103" s="71"/>
      <c r="I103" s="72">
        <v>44047</v>
      </c>
      <c r="J103" s="76">
        <v>273261.7034</v>
      </c>
      <c r="K103" s="78">
        <f t="shared" si="3"/>
        <v>0.10728974876357603</v>
      </c>
      <c r="L103">
        <v>172</v>
      </c>
      <c r="M103" s="74"/>
      <c r="N103" s="71"/>
    </row>
    <row r="104" spans="1:14">
      <c r="A104" s="72">
        <v>44048</v>
      </c>
      <c r="B104" s="76">
        <v>2585692.67</v>
      </c>
      <c r="C104" s="78">
        <f t="shared" si="2"/>
        <v>4.2673206507479841E-2</v>
      </c>
      <c r="D104">
        <v>171</v>
      </c>
      <c r="E104" s="74"/>
      <c r="F104" s="71"/>
      <c r="I104" s="72">
        <v>44048</v>
      </c>
      <c r="J104" s="76">
        <v>273261.7034</v>
      </c>
      <c r="K104" s="78">
        <f t="shared" si="3"/>
        <v>0.10728974876357603</v>
      </c>
      <c r="L104">
        <v>171</v>
      </c>
      <c r="M104" s="74"/>
      <c r="N104" s="71"/>
    </row>
    <row r="105" spans="1:14">
      <c r="A105" s="72">
        <v>44049</v>
      </c>
      <c r="B105" s="73">
        <v>2585664.5</v>
      </c>
      <c r="C105" s="78">
        <f t="shared" si="2"/>
        <v>4.2663957700578382E-2</v>
      </c>
      <c r="D105">
        <v>170</v>
      </c>
      <c r="E105" s="74"/>
      <c r="F105" s="71"/>
      <c r="I105" s="72">
        <v>44049</v>
      </c>
      <c r="J105" s="73">
        <v>273261.7034</v>
      </c>
      <c r="K105" s="78">
        <f t="shared" si="3"/>
        <v>0.10728974876357603</v>
      </c>
      <c r="L105">
        <v>170</v>
      </c>
      <c r="M105" s="74"/>
      <c r="N105" s="71"/>
    </row>
    <row r="106" spans="1:14">
      <c r="A106" s="72">
        <v>44050</v>
      </c>
      <c r="B106" s="73">
        <v>2545335.2799999998</v>
      </c>
      <c r="C106" s="78">
        <f t="shared" si="2"/>
        <v>2.6706072788058831E-2</v>
      </c>
      <c r="D106">
        <v>169</v>
      </c>
      <c r="E106" s="74"/>
      <c r="F106" s="71"/>
      <c r="I106" s="72">
        <v>44050</v>
      </c>
      <c r="J106" s="73">
        <v>273261.7034</v>
      </c>
      <c r="K106" s="78">
        <f t="shared" si="3"/>
        <v>0.10728974876357603</v>
      </c>
      <c r="L106">
        <v>169</v>
      </c>
      <c r="M106" s="74"/>
      <c r="N106" s="71"/>
    </row>
    <row r="107" spans="1:14">
      <c r="A107" s="72">
        <v>44053</v>
      </c>
      <c r="B107" s="73">
        <v>2497140.73</v>
      </c>
      <c r="C107" s="78">
        <f t="shared" si="2"/>
        <v>2.9579563935575939E-2</v>
      </c>
      <c r="D107">
        <v>168</v>
      </c>
      <c r="E107" s="74"/>
      <c r="F107" s="71"/>
      <c r="I107" s="72">
        <v>44053</v>
      </c>
      <c r="J107" s="73">
        <v>273261.7034</v>
      </c>
      <c r="K107" s="78">
        <f t="shared" si="3"/>
        <v>0.10728974876357603</v>
      </c>
      <c r="L107">
        <v>168</v>
      </c>
      <c r="M107" s="74"/>
      <c r="N107" s="71"/>
    </row>
    <row r="108" spans="1:14">
      <c r="A108" s="72">
        <v>44054</v>
      </c>
      <c r="B108" s="73">
        <v>2467135.23</v>
      </c>
      <c r="C108" s="78">
        <f t="shared" si="2"/>
        <v>1.7858724241411755E-2</v>
      </c>
      <c r="D108">
        <v>167</v>
      </c>
      <c r="E108" s="74"/>
      <c r="F108" s="71"/>
      <c r="I108" s="72">
        <v>44054</v>
      </c>
      <c r="J108" s="73">
        <v>273261.7034</v>
      </c>
      <c r="K108" s="78">
        <f t="shared" si="3"/>
        <v>0.10728974876357603</v>
      </c>
      <c r="L108">
        <v>167</v>
      </c>
      <c r="M108" s="74"/>
      <c r="N108" s="71"/>
    </row>
    <row r="109" spans="1:14">
      <c r="A109" s="72">
        <v>44055</v>
      </c>
      <c r="B109" s="73">
        <v>2466782.08</v>
      </c>
      <c r="C109" s="78">
        <f t="shared" si="2"/>
        <v>1.7720764537459598E-2</v>
      </c>
      <c r="D109">
        <v>166</v>
      </c>
      <c r="E109" s="74"/>
      <c r="F109" s="71"/>
      <c r="I109" s="72">
        <v>44055</v>
      </c>
      <c r="J109" s="73">
        <v>273261.7034</v>
      </c>
      <c r="K109" s="78">
        <f t="shared" si="3"/>
        <v>0.10728974876357603</v>
      </c>
      <c r="L109">
        <v>166</v>
      </c>
      <c r="M109" s="74"/>
      <c r="N109" s="71"/>
    </row>
    <row r="110" spans="1:14">
      <c r="A110" s="72">
        <v>44056</v>
      </c>
      <c r="B110" s="73">
        <v>2451945.31</v>
      </c>
      <c r="C110" s="78">
        <f t="shared" si="2"/>
        <v>1.1601174783959738E-2</v>
      </c>
      <c r="D110">
        <v>165</v>
      </c>
      <c r="E110" s="74"/>
      <c r="F110" s="71"/>
      <c r="I110" s="72">
        <v>44056</v>
      </c>
      <c r="J110" s="73">
        <v>273261.7034</v>
      </c>
      <c r="K110" s="78">
        <f t="shared" si="3"/>
        <v>0.10728974876357603</v>
      </c>
      <c r="L110">
        <v>165</v>
      </c>
      <c r="M110" s="74"/>
      <c r="N110" s="71"/>
    </row>
    <row r="111" spans="1:14">
      <c r="A111" s="72">
        <v>44057</v>
      </c>
      <c r="B111" s="73">
        <v>2451927.67</v>
      </c>
      <c r="C111" s="78">
        <f t="shared" si="2"/>
        <v>1.1703865114077313E-2</v>
      </c>
      <c r="D111">
        <v>164</v>
      </c>
      <c r="E111" s="74"/>
      <c r="F111" s="71"/>
      <c r="I111" s="72">
        <v>44057</v>
      </c>
      <c r="J111" s="73">
        <v>273261.7034</v>
      </c>
      <c r="K111" s="78">
        <f t="shared" si="3"/>
        <v>0.10728974876357603</v>
      </c>
      <c r="L111">
        <v>164</v>
      </c>
      <c r="M111" s="74"/>
      <c r="N111" s="71"/>
    </row>
    <row r="112" spans="1:14">
      <c r="A112" s="72">
        <v>44060</v>
      </c>
      <c r="B112" s="73">
        <v>2443057.75</v>
      </c>
      <c r="C112" s="78">
        <f t="shared" si="2"/>
        <v>8.0759956952747916E-3</v>
      </c>
      <c r="D112">
        <v>163</v>
      </c>
      <c r="E112" s="74"/>
      <c r="F112" s="71"/>
      <c r="I112" s="72">
        <v>44060</v>
      </c>
      <c r="J112" s="73">
        <v>273261.7034</v>
      </c>
      <c r="K112" s="78">
        <f t="shared" si="3"/>
        <v>0.10728974876357603</v>
      </c>
      <c r="L112">
        <v>163</v>
      </c>
      <c r="M112" s="74"/>
      <c r="N112" s="71"/>
    </row>
    <row r="113" spans="1:14">
      <c r="A113" s="72">
        <v>44061</v>
      </c>
      <c r="B113" s="73">
        <v>2443023.2400000002</v>
      </c>
      <c r="C113" s="78">
        <f t="shared" si="2"/>
        <v>1.9554093599283753E-2</v>
      </c>
      <c r="D113">
        <v>162</v>
      </c>
      <c r="E113" s="74"/>
      <c r="F113" s="71"/>
      <c r="I113" s="72">
        <v>44061</v>
      </c>
      <c r="J113" s="73">
        <v>273261.7034</v>
      </c>
      <c r="K113" s="78">
        <f t="shared" si="3"/>
        <v>0.10728974876357603</v>
      </c>
      <c r="L113">
        <v>162</v>
      </c>
      <c r="M113" s="74"/>
      <c r="N113" s="71"/>
    </row>
    <row r="114" spans="1:14">
      <c r="A114" s="72">
        <v>44062</v>
      </c>
      <c r="B114" s="73">
        <v>2443002.52</v>
      </c>
      <c r="C114" s="78">
        <f t="shared" si="2"/>
        <v>2.2770284373218173E-2</v>
      </c>
      <c r="D114">
        <v>161</v>
      </c>
      <c r="E114" s="74"/>
      <c r="F114" s="71"/>
      <c r="I114" s="72">
        <v>44062</v>
      </c>
      <c r="J114" s="73">
        <v>273233.56660000002</v>
      </c>
      <c r="K114" s="78">
        <f t="shared" si="3"/>
        <v>0.10717573501845426</v>
      </c>
      <c r="L114">
        <v>161</v>
      </c>
      <c r="M114" s="74"/>
      <c r="N114" s="71"/>
    </row>
    <row r="115" spans="1:14">
      <c r="A115" s="72">
        <v>44063</v>
      </c>
      <c r="B115" s="73">
        <v>2417945.5</v>
      </c>
      <c r="C115" s="78">
        <f t="shared" si="2"/>
        <v>2.4289319301366095E-2</v>
      </c>
      <c r="D115">
        <v>160</v>
      </c>
      <c r="E115" s="74"/>
      <c r="F115" s="71"/>
      <c r="I115" s="72">
        <v>44063</v>
      </c>
      <c r="J115" s="73">
        <v>273233.56660000002</v>
      </c>
      <c r="K115" s="78">
        <f t="shared" si="3"/>
        <v>0.10717573501845426</v>
      </c>
      <c r="L115">
        <v>160</v>
      </c>
      <c r="M115" s="74"/>
      <c r="N115" s="71"/>
    </row>
    <row r="116" spans="1:14">
      <c r="A116" s="72">
        <v>44064</v>
      </c>
      <c r="B116" s="73">
        <v>2416982.86</v>
      </c>
      <c r="C116" s="78">
        <f t="shared" si="2"/>
        <v>3.1536703458630876E-2</v>
      </c>
      <c r="D116">
        <v>159</v>
      </c>
      <c r="E116" s="74"/>
      <c r="F116" s="71"/>
      <c r="I116" s="72">
        <v>44064</v>
      </c>
      <c r="J116" s="73">
        <v>273233.56660000002</v>
      </c>
      <c r="K116" s="78">
        <f t="shared" si="3"/>
        <v>0.10717573501845426</v>
      </c>
      <c r="L116">
        <v>159</v>
      </c>
      <c r="M116" s="74"/>
      <c r="N116" s="71"/>
    </row>
    <row r="117" spans="1:14">
      <c r="A117" s="72">
        <v>44067</v>
      </c>
      <c r="B117" s="73">
        <v>2416914.27</v>
      </c>
      <c r="C117" s="78">
        <f t="shared" si="2"/>
        <v>3.1593428198364984E-2</v>
      </c>
      <c r="D117">
        <v>158</v>
      </c>
      <c r="E117" s="74"/>
      <c r="F117" s="71"/>
      <c r="I117" s="72">
        <v>44067</v>
      </c>
      <c r="J117" s="73">
        <v>273233.10619999998</v>
      </c>
      <c r="K117" s="78">
        <f t="shared" si="3"/>
        <v>0.10717386942150441</v>
      </c>
      <c r="L117">
        <v>158</v>
      </c>
      <c r="M117" s="74"/>
      <c r="N117" s="71"/>
    </row>
    <row r="118" spans="1:14">
      <c r="A118" s="72">
        <v>44068</v>
      </c>
      <c r="B118" s="73">
        <v>2416841.0099999998</v>
      </c>
      <c r="C118" s="78">
        <f t="shared" si="2"/>
        <v>3.2615845126418977E-2</v>
      </c>
      <c r="D118">
        <v>157</v>
      </c>
      <c r="E118" s="74"/>
      <c r="F118" s="71"/>
      <c r="I118" s="72">
        <v>44068</v>
      </c>
      <c r="J118" s="73">
        <v>273233.10619999998</v>
      </c>
      <c r="K118" s="78">
        <f t="shared" si="3"/>
        <v>0.10717386942150441</v>
      </c>
      <c r="L118">
        <v>157</v>
      </c>
      <c r="M118" s="74"/>
      <c r="N118" s="71"/>
    </row>
    <row r="119" spans="1:14">
      <c r="A119" s="72">
        <v>44069</v>
      </c>
      <c r="B119" s="73">
        <v>2387668.89</v>
      </c>
      <c r="C119" s="78">
        <f t="shared" si="2"/>
        <v>2.0151809129310111E-2</v>
      </c>
      <c r="D119">
        <v>156</v>
      </c>
      <c r="E119" s="74"/>
      <c r="F119" s="71"/>
      <c r="I119" s="72">
        <v>44069</v>
      </c>
      <c r="J119" s="73">
        <v>271818.43489999999</v>
      </c>
      <c r="K119" s="78">
        <f t="shared" si="3"/>
        <v>0.10144144878271823</v>
      </c>
      <c r="L119">
        <v>156</v>
      </c>
      <c r="M119" s="74"/>
      <c r="N119" s="71"/>
    </row>
    <row r="120" spans="1:14">
      <c r="A120" s="72">
        <v>44070</v>
      </c>
      <c r="B120" s="73">
        <v>2374670.8199999998</v>
      </c>
      <c r="C120" s="78">
        <f t="shared" si="2"/>
        <v>1.4749165299050921E-2</v>
      </c>
      <c r="D120">
        <v>155</v>
      </c>
      <c r="E120" s="74"/>
      <c r="F120" s="71"/>
      <c r="I120" s="72">
        <v>44070</v>
      </c>
      <c r="J120" s="73">
        <v>271818.43489999999</v>
      </c>
      <c r="K120" s="78">
        <f t="shared" si="3"/>
        <v>0.10144144878271823</v>
      </c>
      <c r="L120">
        <v>155</v>
      </c>
      <c r="M120" s="74"/>
      <c r="N120" s="71"/>
    </row>
    <row r="121" spans="1:14">
      <c r="A121" s="72">
        <v>44071</v>
      </c>
      <c r="B121" s="73">
        <v>2374656.37</v>
      </c>
      <c r="C121" s="78">
        <f t="shared" si="2"/>
        <v>1.9076696373739606E-2</v>
      </c>
      <c r="D121">
        <v>154</v>
      </c>
      <c r="E121" s="74"/>
      <c r="F121" s="71"/>
      <c r="I121" s="72">
        <v>44071</v>
      </c>
      <c r="J121" s="73">
        <v>271818.43489999999</v>
      </c>
      <c r="K121" s="78">
        <f t="shared" si="3"/>
        <v>0.10144144878271823</v>
      </c>
      <c r="L121">
        <v>154</v>
      </c>
      <c r="M121" s="74"/>
      <c r="N121" s="71"/>
    </row>
    <row r="122" spans="1:14">
      <c r="A122" s="72">
        <v>44074</v>
      </c>
      <c r="B122" s="73">
        <v>2525239.23</v>
      </c>
      <c r="C122" s="78">
        <f t="shared" si="2"/>
        <v>-6.1204367975864551E-2</v>
      </c>
      <c r="D122">
        <v>153</v>
      </c>
      <c r="E122" s="74"/>
      <c r="F122" s="71"/>
      <c r="I122" s="72">
        <v>44074</v>
      </c>
      <c r="J122" s="73">
        <v>249579.7072</v>
      </c>
      <c r="K122" s="78">
        <f t="shared" si="3"/>
        <v>-8.6664160785583366E-2</v>
      </c>
      <c r="L122">
        <v>153</v>
      </c>
      <c r="M122" s="74"/>
      <c r="N122" s="71"/>
    </row>
    <row r="123" spans="1:14">
      <c r="A123" s="72">
        <v>44075</v>
      </c>
      <c r="B123" s="73">
        <v>2505258.2999999998</v>
      </c>
      <c r="C123" s="78">
        <f t="shared" si="2"/>
        <v>-4.5855886581031721E-2</v>
      </c>
      <c r="D123">
        <v>152</v>
      </c>
      <c r="E123" s="74"/>
      <c r="F123" s="71"/>
      <c r="I123" s="72">
        <v>44075</v>
      </c>
      <c r="J123" s="73">
        <v>249579.7072</v>
      </c>
      <c r="K123" s="78">
        <f t="shared" si="3"/>
        <v>-8.6664160785583366E-2</v>
      </c>
      <c r="L123">
        <v>152</v>
      </c>
      <c r="M123" s="74"/>
      <c r="N123" s="71"/>
    </row>
    <row r="124" spans="1:14">
      <c r="A124" s="72">
        <v>44076</v>
      </c>
      <c r="B124" s="76">
        <v>2489165.66</v>
      </c>
      <c r="C124" s="78">
        <f t="shared" si="2"/>
        <v>-5.1977848211546197E-2</v>
      </c>
      <c r="D124">
        <v>151</v>
      </c>
      <c r="E124" s="74"/>
      <c r="F124" s="71"/>
      <c r="I124" s="72">
        <v>44076</v>
      </c>
      <c r="J124" s="76">
        <v>249579.7072</v>
      </c>
      <c r="K124" s="78">
        <f t="shared" si="3"/>
        <v>-8.6664160785583366E-2</v>
      </c>
      <c r="L124">
        <v>151</v>
      </c>
      <c r="M124" s="74"/>
      <c r="N124" s="71"/>
    </row>
    <row r="125" spans="1:14">
      <c r="A125" s="72">
        <v>44077</v>
      </c>
      <c r="B125" s="76">
        <v>2449383.44</v>
      </c>
      <c r="C125" s="78">
        <f t="shared" si="2"/>
        <v>-5.2716717489863167E-2</v>
      </c>
      <c r="D125">
        <v>150</v>
      </c>
      <c r="E125" s="74"/>
      <c r="F125" s="71"/>
      <c r="I125" s="72">
        <v>44077</v>
      </c>
      <c r="J125" s="76">
        <v>249579.7072</v>
      </c>
      <c r="K125" s="78">
        <f t="shared" si="3"/>
        <v>-8.6664160785583366E-2</v>
      </c>
      <c r="L125">
        <v>150</v>
      </c>
      <c r="M125" s="74"/>
      <c r="N125" s="71"/>
    </row>
    <row r="126" spans="1:14">
      <c r="A126" s="72">
        <v>44078</v>
      </c>
      <c r="B126" s="76">
        <v>2435385.7799999998</v>
      </c>
      <c r="C126" s="78">
        <f t="shared" si="2"/>
        <v>-5.8119961039028924E-2</v>
      </c>
      <c r="D126">
        <v>149</v>
      </c>
      <c r="E126" s="74"/>
      <c r="F126" s="71"/>
      <c r="I126" s="72">
        <v>44078</v>
      </c>
      <c r="J126" s="76">
        <v>249579.7072</v>
      </c>
      <c r="K126" s="78">
        <f t="shared" si="3"/>
        <v>-8.6664160785583366E-2</v>
      </c>
      <c r="L126">
        <v>149</v>
      </c>
      <c r="M126" s="74"/>
      <c r="N126" s="71"/>
    </row>
    <row r="127" spans="1:14">
      <c r="A127" s="72">
        <v>44081</v>
      </c>
      <c r="B127" s="73">
        <v>2430376.42</v>
      </c>
      <c r="C127" s="78">
        <f t="shared" si="2"/>
        <v>-4.5164525437293226E-2</v>
      </c>
      <c r="D127">
        <v>148</v>
      </c>
      <c r="E127" s="74"/>
      <c r="F127" s="71"/>
      <c r="I127" s="72">
        <v>44081</v>
      </c>
      <c r="J127" s="73">
        <v>249579.7072</v>
      </c>
      <c r="K127" s="78">
        <f t="shared" si="3"/>
        <v>-8.6664160785583366E-2</v>
      </c>
      <c r="L127">
        <v>148</v>
      </c>
      <c r="M127" s="74"/>
      <c r="N127" s="71"/>
    </row>
    <row r="128" spans="1:14">
      <c r="A128" s="72">
        <v>44082</v>
      </c>
      <c r="B128" s="73">
        <v>2430355.88</v>
      </c>
      <c r="C128" s="78">
        <f t="shared" si="2"/>
        <v>-2.6744527930550432E-2</v>
      </c>
      <c r="D128">
        <v>147</v>
      </c>
      <c r="E128" s="74"/>
      <c r="F128" s="71"/>
      <c r="I128" s="72">
        <v>44082</v>
      </c>
      <c r="J128" s="73">
        <v>249503.65710000001</v>
      </c>
      <c r="K128" s="78">
        <f t="shared" si="3"/>
        <v>-8.6942465791567586E-2</v>
      </c>
      <c r="L128">
        <v>147</v>
      </c>
      <c r="M128" s="74"/>
      <c r="N128" s="71"/>
    </row>
    <row r="129" spans="1:14">
      <c r="A129" s="72">
        <v>44083</v>
      </c>
      <c r="B129" s="73">
        <v>2430352.27</v>
      </c>
      <c r="C129" s="78">
        <f t="shared" si="2"/>
        <v>-1.4909178691433125E-2</v>
      </c>
      <c r="D129">
        <v>146</v>
      </c>
      <c r="E129" s="74"/>
      <c r="F129" s="71"/>
      <c r="I129" s="72">
        <v>44083</v>
      </c>
      <c r="J129" s="73">
        <v>249503.65710000001</v>
      </c>
      <c r="K129" s="78">
        <f t="shared" si="3"/>
        <v>-8.6942465791567586E-2</v>
      </c>
      <c r="L129">
        <v>146</v>
      </c>
      <c r="M129" s="74"/>
      <c r="N129" s="71"/>
    </row>
    <row r="130" spans="1:14">
      <c r="A130" s="72">
        <v>44084</v>
      </c>
      <c r="B130" s="73">
        <v>2430300.58</v>
      </c>
      <c r="C130" s="78">
        <f t="shared" si="2"/>
        <v>-1.478910532705021E-2</v>
      </c>
      <c r="D130">
        <v>145</v>
      </c>
      <c r="E130" s="74"/>
      <c r="F130" s="71"/>
      <c r="I130" s="72">
        <v>44084</v>
      </c>
      <c r="J130" s="73">
        <v>249503.65710000001</v>
      </c>
      <c r="K130" s="78">
        <f t="shared" si="3"/>
        <v>-8.6942465791567586E-2</v>
      </c>
      <c r="L130">
        <v>145</v>
      </c>
      <c r="M130" s="74"/>
      <c r="N130" s="71"/>
    </row>
    <row r="131" spans="1:14">
      <c r="A131" s="72">
        <v>44085</v>
      </c>
      <c r="B131" s="73">
        <v>2392348.89</v>
      </c>
      <c r="C131" s="78">
        <f t="shared" si="2"/>
        <v>-2.4305770506765474E-2</v>
      </c>
      <c r="D131">
        <v>144</v>
      </c>
      <c r="E131" s="74"/>
      <c r="F131" s="71"/>
      <c r="I131" s="72">
        <v>44085</v>
      </c>
      <c r="J131" s="73">
        <v>249503.65710000001</v>
      </c>
      <c r="K131" s="78">
        <f t="shared" si="3"/>
        <v>-8.6942465791567586E-2</v>
      </c>
      <c r="L131">
        <v>144</v>
      </c>
      <c r="M131" s="74"/>
      <c r="N131" s="71"/>
    </row>
    <row r="132" spans="1:14">
      <c r="A132" s="72">
        <v>44088</v>
      </c>
      <c r="B132" s="73">
        <v>2371571.11</v>
      </c>
      <c r="C132" s="78">
        <f t="shared" si="2"/>
        <v>-3.2772810137584547E-2</v>
      </c>
      <c r="D132">
        <v>143</v>
      </c>
      <c r="E132" s="74"/>
      <c r="F132" s="71"/>
      <c r="I132" s="72">
        <v>44088</v>
      </c>
      <c r="J132" s="73">
        <v>249503.65710000001</v>
      </c>
      <c r="K132" s="78">
        <f t="shared" si="3"/>
        <v>-8.6942465791567586E-2</v>
      </c>
      <c r="L132">
        <v>143</v>
      </c>
      <c r="M132" s="74"/>
      <c r="N132" s="71"/>
    </row>
    <row r="133" spans="1:14">
      <c r="A133" s="72">
        <v>44089</v>
      </c>
      <c r="B133" s="73">
        <v>2356306.96</v>
      </c>
      <c r="C133" s="78">
        <f t="shared" si="2"/>
        <v>-3.550910329483617E-2</v>
      </c>
      <c r="D133">
        <v>142</v>
      </c>
      <c r="E133" s="74"/>
      <c r="F133" s="71"/>
      <c r="I133" s="72">
        <v>44089</v>
      </c>
      <c r="J133" s="73">
        <v>249494.89480000001</v>
      </c>
      <c r="K133" s="78">
        <f t="shared" si="3"/>
        <v>-8.6974531389823681E-2</v>
      </c>
      <c r="L133">
        <v>142</v>
      </c>
      <c r="M133" s="74"/>
      <c r="N133" s="71"/>
    </row>
    <row r="134" spans="1:14">
      <c r="A134" s="72">
        <v>44090</v>
      </c>
      <c r="B134" s="73">
        <v>2335235.91</v>
      </c>
      <c r="C134" s="78">
        <f t="shared" si="2"/>
        <v>-4.412046853880934E-2</v>
      </c>
      <c r="D134">
        <v>141</v>
      </c>
      <c r="E134" s="74"/>
      <c r="F134" s="71"/>
      <c r="I134" s="72">
        <v>44090</v>
      </c>
      <c r="J134" s="73">
        <v>249485.46179999999</v>
      </c>
      <c r="K134" s="78">
        <f t="shared" si="3"/>
        <v>-8.7009051411775729E-2</v>
      </c>
      <c r="L134">
        <v>141</v>
      </c>
      <c r="M134" s="74"/>
      <c r="N134" s="71"/>
    </row>
    <row r="135" spans="1:14">
      <c r="A135" s="72">
        <v>44091</v>
      </c>
      <c r="B135" s="73">
        <v>2335099.91</v>
      </c>
      <c r="C135" s="78">
        <f t="shared" si="2"/>
        <v>-4.4168030575752276E-2</v>
      </c>
      <c r="D135">
        <v>140</v>
      </c>
      <c r="E135" s="74"/>
      <c r="F135" s="71"/>
      <c r="I135" s="72">
        <v>44091</v>
      </c>
      <c r="J135" s="73">
        <v>249485.46179999999</v>
      </c>
      <c r="K135" s="78">
        <f t="shared" si="3"/>
        <v>-8.6915034252603537E-2</v>
      </c>
      <c r="L135">
        <v>140</v>
      </c>
      <c r="M135" s="74"/>
      <c r="N135" s="71"/>
    </row>
    <row r="136" spans="1:14">
      <c r="A136" s="72">
        <v>44092</v>
      </c>
      <c r="B136" s="73">
        <v>2335071.31</v>
      </c>
      <c r="C136" s="78">
        <f t="shared" si="2"/>
        <v>-3.4274631086598083E-2</v>
      </c>
      <c r="D136">
        <v>139</v>
      </c>
      <c r="E136" s="74"/>
      <c r="F136" s="71"/>
      <c r="I136" s="72">
        <v>44092</v>
      </c>
      <c r="J136" s="73">
        <v>249485.46179999999</v>
      </c>
      <c r="K136" s="78">
        <f t="shared" si="3"/>
        <v>-8.6915034252603537E-2</v>
      </c>
      <c r="L136">
        <v>139</v>
      </c>
      <c r="M136" s="74"/>
      <c r="N136" s="71"/>
    </row>
    <row r="137" spans="1:14">
      <c r="A137" s="72">
        <v>44095</v>
      </c>
      <c r="B137" s="73">
        <v>2334988.46</v>
      </c>
      <c r="C137" s="78">
        <f t="shared" si="2"/>
        <v>-3.3924278635554708E-2</v>
      </c>
      <c r="D137">
        <v>138</v>
      </c>
      <c r="E137" s="74"/>
      <c r="F137" s="71"/>
      <c r="I137" s="72">
        <v>44095</v>
      </c>
      <c r="J137" s="73">
        <v>249484.69779999999</v>
      </c>
      <c r="K137" s="78">
        <f t="shared" si="3"/>
        <v>-8.6917830395147444E-2</v>
      </c>
      <c r="L137">
        <v>138</v>
      </c>
      <c r="M137" s="74"/>
      <c r="N137" s="71"/>
    </row>
    <row r="138" spans="1:14">
      <c r="A138" s="72">
        <v>44096</v>
      </c>
      <c r="B138" s="73">
        <v>2334955</v>
      </c>
      <c r="C138" s="78">
        <f t="shared" si="2"/>
        <v>-3.391070631561955E-2</v>
      </c>
      <c r="D138">
        <v>137</v>
      </c>
      <c r="E138" s="74"/>
      <c r="F138" s="71"/>
      <c r="I138" s="72">
        <v>44096</v>
      </c>
      <c r="J138" s="73">
        <v>249197.12270000001</v>
      </c>
      <c r="K138" s="78">
        <f t="shared" si="3"/>
        <v>-8.7968781800570744E-2</v>
      </c>
      <c r="L138">
        <v>137</v>
      </c>
      <c r="M138" s="74"/>
      <c r="N138" s="71"/>
    </row>
    <row r="139" spans="1:14">
      <c r="A139" s="72">
        <v>44097</v>
      </c>
      <c r="B139" s="73">
        <v>2334954.04</v>
      </c>
      <c r="C139" s="78">
        <f t="shared" si="2"/>
        <v>-3.3881819143742414E-2</v>
      </c>
      <c r="D139">
        <v>136</v>
      </c>
      <c r="E139" s="74"/>
      <c r="F139" s="71"/>
      <c r="I139" s="72">
        <v>44097</v>
      </c>
      <c r="J139" s="73">
        <v>249197.12270000001</v>
      </c>
      <c r="K139" s="78">
        <f t="shared" si="3"/>
        <v>-8.7968781800570744E-2</v>
      </c>
      <c r="L139">
        <v>136</v>
      </c>
      <c r="M139" s="74"/>
      <c r="N139" s="71"/>
    </row>
    <row r="140" spans="1:14">
      <c r="A140" s="72">
        <v>44098</v>
      </c>
      <c r="B140" s="73">
        <v>2334726.04</v>
      </c>
      <c r="C140" s="78">
        <f t="shared" si="2"/>
        <v>-2.2173447173406063E-2</v>
      </c>
      <c r="D140">
        <v>135</v>
      </c>
      <c r="E140" s="74"/>
      <c r="F140" s="71"/>
      <c r="I140" s="72">
        <v>44098</v>
      </c>
      <c r="J140" s="73">
        <v>249197.12270000001</v>
      </c>
      <c r="K140" s="78">
        <f t="shared" si="3"/>
        <v>-8.3222141310327985E-2</v>
      </c>
      <c r="L140">
        <v>135</v>
      </c>
      <c r="M140" s="74"/>
      <c r="N140" s="71"/>
    </row>
    <row r="141" spans="1:14">
      <c r="A141" s="72">
        <v>44099</v>
      </c>
      <c r="B141" s="73">
        <v>2330769.37</v>
      </c>
      <c r="C141" s="78">
        <f t="shared" si="2"/>
        <v>-1.8487383442897454E-2</v>
      </c>
      <c r="D141">
        <v>134</v>
      </c>
      <c r="E141" s="74"/>
      <c r="F141" s="71"/>
      <c r="I141" s="72">
        <v>44099</v>
      </c>
      <c r="J141" s="73">
        <v>249197.12270000001</v>
      </c>
      <c r="K141" s="78">
        <f t="shared" si="3"/>
        <v>-8.3222141310327985E-2</v>
      </c>
      <c r="L141">
        <v>134</v>
      </c>
      <c r="M141" s="74"/>
      <c r="N141" s="71"/>
    </row>
    <row r="142" spans="1:14">
      <c r="A142" s="72">
        <v>44102</v>
      </c>
      <c r="B142" s="73">
        <v>2330637.89</v>
      </c>
      <c r="C142" s="78">
        <f t="shared" si="2"/>
        <v>-1.8536778860345163E-2</v>
      </c>
      <c r="D142">
        <v>133</v>
      </c>
      <c r="E142" s="74"/>
      <c r="F142" s="71"/>
      <c r="I142" s="72">
        <v>44102</v>
      </c>
      <c r="J142" s="73">
        <v>249197.12270000001</v>
      </c>
      <c r="K142" s="78">
        <f t="shared" si="3"/>
        <v>-8.3222141310327985E-2</v>
      </c>
      <c r="L142">
        <v>133</v>
      </c>
      <c r="M142" s="74"/>
      <c r="N142" s="71"/>
    </row>
    <row r="143" spans="1:14">
      <c r="A143" s="72">
        <v>44103</v>
      </c>
      <c r="B143" s="73">
        <v>2330490.37</v>
      </c>
      <c r="C143" s="78">
        <f t="shared" si="2"/>
        <v>-7.7120954595656224E-2</v>
      </c>
      <c r="D143">
        <v>132</v>
      </c>
      <c r="E143" s="74"/>
      <c r="F143" s="71"/>
      <c r="I143" s="72">
        <v>44103</v>
      </c>
      <c r="J143" s="73">
        <v>249197.12270000001</v>
      </c>
      <c r="K143" s="78">
        <f t="shared" si="3"/>
        <v>-1.5329150927058913E-3</v>
      </c>
      <c r="L143">
        <v>132</v>
      </c>
      <c r="M143" s="74"/>
      <c r="N143" s="71"/>
    </row>
    <row r="144" spans="1:14">
      <c r="A144" s="72">
        <v>44104</v>
      </c>
      <c r="B144" s="73">
        <v>2514212.0299999998</v>
      </c>
      <c r="C144" s="78">
        <f t="shared" si="2"/>
        <v>3.5739747873502633E-3</v>
      </c>
      <c r="D144">
        <v>131</v>
      </c>
      <c r="E144" s="74"/>
      <c r="F144" s="71"/>
      <c r="I144" s="72">
        <v>44104</v>
      </c>
      <c r="J144" s="73">
        <v>255324.1416</v>
      </c>
      <c r="K144" s="78">
        <f t="shared" si="3"/>
        <v>2.3016432162878978E-2</v>
      </c>
      <c r="L144">
        <v>131</v>
      </c>
      <c r="M144" s="74"/>
      <c r="N144" s="71"/>
    </row>
    <row r="145" spans="1:14">
      <c r="A145" s="72">
        <v>44105</v>
      </c>
      <c r="B145" s="73">
        <v>2481416.3199999998</v>
      </c>
      <c r="C145" s="78">
        <f t="shared" si="2"/>
        <v>-3.1132279078606266E-3</v>
      </c>
      <c r="D145">
        <v>130</v>
      </c>
      <c r="E145" s="74"/>
      <c r="F145" s="71"/>
      <c r="I145" s="72">
        <v>44105</v>
      </c>
      <c r="J145" s="73">
        <v>255324.1416</v>
      </c>
      <c r="K145" s="78">
        <f t="shared" si="3"/>
        <v>2.3016432162878978E-2</v>
      </c>
      <c r="L145">
        <v>130</v>
      </c>
      <c r="M145" s="74"/>
      <c r="N145" s="71"/>
    </row>
    <row r="146" spans="1:14">
      <c r="A146" s="72">
        <v>44106</v>
      </c>
      <c r="B146" s="73">
        <v>2481298.13</v>
      </c>
      <c r="C146" s="78">
        <f t="shared" si="2"/>
        <v>1.3029683094452514E-2</v>
      </c>
      <c r="D146">
        <v>129</v>
      </c>
      <c r="E146" s="74"/>
      <c r="F146" s="71"/>
      <c r="I146" s="72">
        <v>44106</v>
      </c>
      <c r="J146" s="73">
        <v>255324.1416</v>
      </c>
      <c r="K146" s="78">
        <f t="shared" si="3"/>
        <v>2.3016432162878978E-2</v>
      </c>
      <c r="L146">
        <v>129</v>
      </c>
      <c r="M146" s="74"/>
      <c r="N146" s="71"/>
    </row>
    <row r="147" spans="1:14">
      <c r="A147" s="72">
        <v>44109</v>
      </c>
      <c r="B147" s="76">
        <v>2418638.2799999998</v>
      </c>
      <c r="C147" s="78">
        <f t="shared" si="2"/>
        <v>-6.8767339193382335E-3</v>
      </c>
      <c r="D147">
        <v>128</v>
      </c>
      <c r="E147" s="74"/>
      <c r="F147" s="71"/>
      <c r="I147" s="72">
        <v>44109</v>
      </c>
      <c r="J147" s="76">
        <v>255324.1416</v>
      </c>
      <c r="K147" s="78">
        <f t="shared" si="3"/>
        <v>2.3016432162878978E-2</v>
      </c>
      <c r="L147">
        <v>128</v>
      </c>
      <c r="M147" s="74"/>
      <c r="N147" s="71"/>
    </row>
    <row r="148" spans="1:14">
      <c r="A148" s="72">
        <v>44110</v>
      </c>
      <c r="B148" s="73">
        <v>2403620.92</v>
      </c>
      <c r="C148" s="78">
        <f t="shared" si="2"/>
        <v>-1.1008788506926019E-2</v>
      </c>
      <c r="D148">
        <v>127</v>
      </c>
      <c r="E148" s="74"/>
      <c r="F148" s="71"/>
      <c r="I148" s="72">
        <v>44110</v>
      </c>
      <c r="J148" s="73">
        <v>255324.1416</v>
      </c>
      <c r="K148" s="78">
        <f t="shared" si="3"/>
        <v>2.3016432162878978E-2</v>
      </c>
      <c r="L148">
        <v>127</v>
      </c>
      <c r="M148" s="74"/>
      <c r="N148" s="71"/>
    </row>
    <row r="149" spans="1:14">
      <c r="A149" s="72">
        <v>44111</v>
      </c>
      <c r="B149" s="73">
        <v>2402232.85</v>
      </c>
      <c r="C149" s="78">
        <f t="shared" si="2"/>
        <v>-1.1571568687298502E-2</v>
      </c>
      <c r="D149">
        <v>126</v>
      </c>
      <c r="E149" s="74"/>
      <c r="F149" s="71"/>
      <c r="I149" s="72">
        <v>44111</v>
      </c>
      <c r="J149" s="73">
        <v>255324.02710000001</v>
      </c>
      <c r="K149" s="78">
        <f t="shared" si="3"/>
        <v>2.3327794340373999E-2</v>
      </c>
      <c r="L149">
        <v>126</v>
      </c>
      <c r="M149" s="74"/>
      <c r="N149" s="71"/>
    </row>
    <row r="150" spans="1:14">
      <c r="A150" s="72">
        <v>44112</v>
      </c>
      <c r="B150" s="73">
        <v>2402212.11</v>
      </c>
      <c r="C150" s="78">
        <f t="shared" si="2"/>
        <v>-1.157863423642703E-2</v>
      </c>
      <c r="D150">
        <v>125</v>
      </c>
      <c r="E150" s="74"/>
      <c r="F150" s="71"/>
      <c r="I150" s="72">
        <v>44112</v>
      </c>
      <c r="J150" s="73">
        <v>255324.02710000001</v>
      </c>
      <c r="K150" s="78">
        <f t="shared" si="3"/>
        <v>2.3327794340373999E-2</v>
      </c>
      <c r="L150">
        <v>125</v>
      </c>
      <c r="M150" s="74"/>
      <c r="N150" s="71"/>
    </row>
    <row r="151" spans="1:14">
      <c r="A151" s="72">
        <v>44113</v>
      </c>
      <c r="B151" s="73">
        <v>2402107.7400000002</v>
      </c>
      <c r="C151" s="78">
        <f t="shared" ref="C151:C214" si="4">(B151-B130)/B130</f>
        <v>-1.1600556833179808E-2</v>
      </c>
      <c r="D151">
        <v>124</v>
      </c>
      <c r="E151" s="74"/>
      <c r="F151" s="71"/>
      <c r="I151" s="72">
        <v>44113</v>
      </c>
      <c r="J151" s="73">
        <v>255324.02710000001</v>
      </c>
      <c r="K151" s="78">
        <f t="shared" ref="K151:K214" si="5">(J151-J130)/J130</f>
        <v>2.3327794340373999E-2</v>
      </c>
      <c r="L151">
        <v>124</v>
      </c>
      <c r="M151" s="74"/>
      <c r="N151" s="71"/>
    </row>
    <row r="152" spans="1:14">
      <c r="A152" s="72">
        <v>44116</v>
      </c>
      <c r="B152" s="73">
        <v>2394762.46</v>
      </c>
      <c r="C152" s="78">
        <f t="shared" si="4"/>
        <v>1.008870407693684E-3</v>
      </c>
      <c r="D152">
        <v>123</v>
      </c>
      <c r="E152" s="74"/>
      <c r="F152" s="71"/>
      <c r="I152" s="72">
        <v>44116</v>
      </c>
      <c r="J152" s="73">
        <v>255324.02710000001</v>
      </c>
      <c r="K152" s="78">
        <f t="shared" si="5"/>
        <v>2.3327794340373999E-2</v>
      </c>
      <c r="L152">
        <v>123</v>
      </c>
      <c r="M152" s="74"/>
      <c r="N152" s="71"/>
    </row>
    <row r="153" spans="1:14">
      <c r="A153" s="72">
        <v>44117</v>
      </c>
      <c r="B153" s="73">
        <v>2392476.5499999998</v>
      </c>
      <c r="C153" s="78">
        <f t="shared" si="4"/>
        <v>8.8150171470084849E-3</v>
      </c>
      <c r="D153">
        <v>122</v>
      </c>
      <c r="E153" s="74"/>
      <c r="F153" s="71"/>
      <c r="I153" s="72">
        <v>44117</v>
      </c>
      <c r="J153" s="73">
        <v>255324.02710000001</v>
      </c>
      <c r="K153" s="78">
        <f t="shared" si="5"/>
        <v>2.3327794340373999E-2</v>
      </c>
      <c r="L153">
        <v>122</v>
      </c>
      <c r="M153" s="74"/>
      <c r="N153" s="71"/>
    </row>
    <row r="154" spans="1:14">
      <c r="A154" s="72">
        <v>44118</v>
      </c>
      <c r="B154" s="73">
        <v>2392364.31</v>
      </c>
      <c r="C154" s="78">
        <f t="shared" si="4"/>
        <v>1.5302484189071909E-2</v>
      </c>
      <c r="D154">
        <v>121</v>
      </c>
      <c r="E154" s="74"/>
      <c r="F154" s="71"/>
      <c r="I154" s="72">
        <v>44118</v>
      </c>
      <c r="J154" s="73">
        <v>255324.02710000001</v>
      </c>
      <c r="K154" s="78">
        <f t="shared" si="5"/>
        <v>2.3363733773681998E-2</v>
      </c>
      <c r="L154">
        <v>121</v>
      </c>
      <c r="M154" s="74"/>
      <c r="N154" s="71"/>
    </row>
    <row r="155" spans="1:14">
      <c r="A155" s="72">
        <v>44119</v>
      </c>
      <c r="B155" s="73">
        <v>2392353.9</v>
      </c>
      <c r="C155" s="78">
        <f t="shared" si="4"/>
        <v>2.4459194788589798E-2</v>
      </c>
      <c r="D155">
        <v>120</v>
      </c>
      <c r="E155" s="74"/>
      <c r="F155" s="71"/>
      <c r="I155" s="72">
        <v>44119</v>
      </c>
      <c r="J155" s="73">
        <v>255324.02710000001</v>
      </c>
      <c r="K155" s="78">
        <f t="shared" si="5"/>
        <v>2.3402426970596395E-2</v>
      </c>
      <c r="L155">
        <v>120</v>
      </c>
      <c r="M155" s="74"/>
      <c r="N155" s="71"/>
    </row>
    <row r="156" spans="1:14">
      <c r="A156" s="72">
        <v>44120</v>
      </c>
      <c r="B156" s="73">
        <v>2392282.7200000002</v>
      </c>
      <c r="C156" s="78">
        <f t="shared" si="4"/>
        <v>2.448837831525592E-2</v>
      </c>
      <c r="D156">
        <v>119</v>
      </c>
      <c r="E156" s="74"/>
      <c r="F156" s="71"/>
      <c r="I156" s="72">
        <v>44120</v>
      </c>
      <c r="J156" s="73">
        <v>255324.02710000001</v>
      </c>
      <c r="K156" s="78">
        <f t="shared" si="5"/>
        <v>2.3402426970596395E-2</v>
      </c>
      <c r="L156">
        <v>119</v>
      </c>
      <c r="M156" s="74"/>
      <c r="N156" s="71"/>
    </row>
    <row r="157" spans="1:14">
      <c r="A157" s="72">
        <v>44123</v>
      </c>
      <c r="B157" s="73">
        <v>2392102.46</v>
      </c>
      <c r="C157" s="78">
        <f t="shared" si="4"/>
        <v>2.4423729483447728E-2</v>
      </c>
      <c r="D157">
        <v>118</v>
      </c>
      <c r="E157" s="74"/>
      <c r="F157" s="71"/>
      <c r="I157" s="72">
        <v>44123</v>
      </c>
      <c r="J157" s="73">
        <v>255324.02710000001</v>
      </c>
      <c r="K157" s="78">
        <f t="shared" si="5"/>
        <v>2.3402426970596395E-2</v>
      </c>
      <c r="L157">
        <v>118</v>
      </c>
      <c r="M157" s="74"/>
      <c r="N157" s="71"/>
    </row>
    <row r="158" spans="1:14">
      <c r="A158" s="72">
        <v>44124</v>
      </c>
      <c r="B158" s="73">
        <v>2392082.65</v>
      </c>
      <c r="C158" s="78">
        <f t="shared" si="4"/>
        <v>2.4451594077685483E-2</v>
      </c>
      <c r="D158">
        <v>117</v>
      </c>
      <c r="E158" s="74"/>
      <c r="F158" s="71"/>
      <c r="I158" s="72">
        <v>44124</v>
      </c>
      <c r="J158" s="73">
        <v>254522.0974</v>
      </c>
      <c r="K158" s="78">
        <f t="shared" si="5"/>
        <v>2.0191216713572741E-2</v>
      </c>
      <c r="L158">
        <v>117</v>
      </c>
      <c r="M158" s="74"/>
      <c r="N158" s="71"/>
    </row>
    <row r="159" spans="1:14">
      <c r="A159" s="72">
        <v>44125</v>
      </c>
      <c r="B159" s="73">
        <v>2392072.81</v>
      </c>
      <c r="C159" s="78">
        <f t="shared" si="4"/>
        <v>2.4462060296665269E-2</v>
      </c>
      <c r="D159">
        <v>116</v>
      </c>
      <c r="E159" s="74"/>
      <c r="F159" s="71"/>
      <c r="I159" s="72">
        <v>44125</v>
      </c>
      <c r="J159" s="73">
        <v>254522.0974</v>
      </c>
      <c r="K159" s="78">
        <f t="shared" si="5"/>
        <v>2.1368524011453168E-2</v>
      </c>
      <c r="L159">
        <v>116</v>
      </c>
      <c r="M159" s="74"/>
      <c r="N159" s="71"/>
    </row>
    <row r="160" spans="1:14">
      <c r="A160" s="72">
        <v>44126</v>
      </c>
      <c r="B160" s="73">
        <v>2375120.2999999998</v>
      </c>
      <c r="C160" s="78">
        <f t="shared" si="4"/>
        <v>1.7202163002745775E-2</v>
      </c>
      <c r="D160">
        <v>115</v>
      </c>
      <c r="E160" s="74"/>
      <c r="F160" s="71"/>
      <c r="I160" s="72">
        <v>44126</v>
      </c>
      <c r="J160" s="73">
        <v>254502.9491</v>
      </c>
      <c r="K160" s="78">
        <f t="shared" si="5"/>
        <v>2.1291684039175269E-2</v>
      </c>
      <c r="L160">
        <v>115</v>
      </c>
      <c r="M160" s="74"/>
      <c r="N160" s="71"/>
    </row>
    <row r="161" spans="1:14">
      <c r="A161" s="72">
        <v>44127</v>
      </c>
      <c r="B161" s="73">
        <v>2375084.7000000002</v>
      </c>
      <c r="C161" s="78">
        <f t="shared" si="4"/>
        <v>1.7286250852798193E-2</v>
      </c>
      <c r="D161">
        <v>114</v>
      </c>
      <c r="E161" s="74"/>
      <c r="F161" s="71"/>
      <c r="I161" s="72">
        <v>44127</v>
      </c>
      <c r="J161" s="73">
        <v>254502.9491</v>
      </c>
      <c r="K161" s="78">
        <f t="shared" si="5"/>
        <v>2.1291684039175269E-2</v>
      </c>
      <c r="L161">
        <v>114</v>
      </c>
      <c r="M161" s="74"/>
      <c r="N161" s="71"/>
    </row>
    <row r="162" spans="1:14">
      <c r="A162" s="72">
        <v>44130</v>
      </c>
      <c r="B162" s="73">
        <v>2374500.12</v>
      </c>
      <c r="C162" s="78">
        <f t="shared" si="4"/>
        <v>1.8762366866010426E-2</v>
      </c>
      <c r="D162">
        <v>113</v>
      </c>
      <c r="E162" s="74"/>
      <c r="F162" s="71"/>
      <c r="I162" s="72">
        <v>44130</v>
      </c>
      <c r="J162" s="73">
        <v>254502.9491</v>
      </c>
      <c r="K162" s="78">
        <f t="shared" si="5"/>
        <v>2.1291684039175269E-2</v>
      </c>
      <c r="L162">
        <v>113</v>
      </c>
      <c r="M162" s="74"/>
      <c r="N162" s="71"/>
    </row>
    <row r="163" spans="1:14">
      <c r="A163" s="72">
        <v>44131</v>
      </c>
      <c r="B163" s="73">
        <v>2351873.9900000002</v>
      </c>
      <c r="C163" s="78">
        <f t="shared" si="4"/>
        <v>9.1117114722613947E-3</v>
      </c>
      <c r="D163">
        <v>112</v>
      </c>
      <c r="E163" s="74"/>
      <c r="F163" s="71"/>
      <c r="I163" s="72">
        <v>44131</v>
      </c>
      <c r="J163" s="73">
        <v>247752.41409999999</v>
      </c>
      <c r="K163" s="78">
        <f t="shared" si="5"/>
        <v>-5.7974529735612098E-3</v>
      </c>
      <c r="L163">
        <v>112</v>
      </c>
      <c r="M163" s="74"/>
      <c r="N163" s="71"/>
    </row>
    <row r="164" spans="1:14">
      <c r="A164" s="72">
        <v>44132</v>
      </c>
      <c r="B164" s="73">
        <v>2341822.2799999998</v>
      </c>
      <c r="C164" s="78">
        <f t="shared" si="4"/>
        <v>4.8624573376802593E-3</v>
      </c>
      <c r="D164">
        <v>111</v>
      </c>
      <c r="E164" s="74"/>
      <c r="F164" s="71"/>
      <c r="I164" s="72">
        <v>44132</v>
      </c>
      <c r="J164" s="73">
        <v>247752.41409999999</v>
      </c>
      <c r="K164" s="78">
        <f t="shared" si="5"/>
        <v>-5.7974529735612098E-3</v>
      </c>
      <c r="L164">
        <v>111</v>
      </c>
      <c r="M164" s="74"/>
      <c r="N164" s="71"/>
    </row>
    <row r="165" spans="1:14">
      <c r="A165" s="72">
        <v>44133</v>
      </c>
      <c r="B165" s="73">
        <v>2306135.64</v>
      </c>
      <c r="C165" s="78">
        <f t="shared" si="4"/>
        <v>-8.276008050124542E-2</v>
      </c>
      <c r="D165">
        <v>110</v>
      </c>
      <c r="E165" s="74"/>
      <c r="F165" s="71"/>
      <c r="I165" s="72">
        <v>44133</v>
      </c>
      <c r="J165" s="73">
        <v>247752.41409999999</v>
      </c>
      <c r="K165" s="78">
        <f t="shared" si="5"/>
        <v>-2.9655352809771312E-2</v>
      </c>
      <c r="L165">
        <v>110</v>
      </c>
      <c r="M165" s="74"/>
      <c r="N165" s="71"/>
    </row>
    <row r="166" spans="1:14">
      <c r="A166" s="72">
        <v>44134</v>
      </c>
      <c r="B166" s="73">
        <v>2306123.61</v>
      </c>
      <c r="C166" s="78">
        <f t="shared" si="4"/>
        <v>-7.0642200821827428E-2</v>
      </c>
      <c r="D166">
        <v>109</v>
      </c>
      <c r="E166" s="74"/>
      <c r="F166" s="71"/>
      <c r="I166" s="72">
        <v>44134</v>
      </c>
      <c r="J166" s="73">
        <v>247752.41409999999</v>
      </c>
      <c r="K166" s="78">
        <f t="shared" si="5"/>
        <v>-2.9655352809771312E-2</v>
      </c>
      <c r="L166">
        <v>109</v>
      </c>
      <c r="M166" s="74"/>
      <c r="N166" s="71"/>
    </row>
    <row r="167" spans="1:14">
      <c r="A167" s="72">
        <v>44137</v>
      </c>
      <c r="B167" s="76">
        <v>2624195.19</v>
      </c>
      <c r="C167" s="78">
        <f t="shared" si="4"/>
        <v>5.7589637566042927E-2</v>
      </c>
      <c r="D167">
        <v>108</v>
      </c>
      <c r="E167" s="74"/>
      <c r="F167" s="71"/>
      <c r="I167" s="72">
        <v>44137</v>
      </c>
      <c r="J167" s="76">
        <v>253031.07260000001</v>
      </c>
      <c r="K167" s="78">
        <f t="shared" si="5"/>
        <v>-8.9810112965831215E-3</v>
      </c>
      <c r="L167">
        <v>108</v>
      </c>
      <c r="M167" s="74"/>
      <c r="N167" s="71"/>
    </row>
    <row r="168" spans="1:14">
      <c r="A168" s="72">
        <v>44138</v>
      </c>
      <c r="B168" s="76">
        <v>2573999.7400000002</v>
      </c>
      <c r="C168" s="78">
        <f t="shared" si="4"/>
        <v>6.4235095129644787E-2</v>
      </c>
      <c r="D168">
        <v>107</v>
      </c>
      <c r="E168" s="74"/>
      <c r="F168" s="71"/>
      <c r="I168" s="72">
        <v>44138</v>
      </c>
      <c r="J168" s="76">
        <v>253031.07260000001</v>
      </c>
      <c r="K168" s="78">
        <f t="shared" si="5"/>
        <v>-8.9810112965831215E-3</v>
      </c>
      <c r="L168">
        <v>107</v>
      </c>
      <c r="M168" s="74"/>
      <c r="N168" s="71"/>
    </row>
    <row r="169" spans="1:14">
      <c r="A169" s="72">
        <v>44139</v>
      </c>
      <c r="B169" s="76">
        <v>2573812.13</v>
      </c>
      <c r="C169" s="78">
        <f t="shared" si="4"/>
        <v>7.0806177706258258E-2</v>
      </c>
      <c r="D169">
        <v>106</v>
      </c>
      <c r="E169" s="74"/>
      <c r="F169" s="71"/>
      <c r="I169" s="72">
        <v>44139</v>
      </c>
      <c r="J169" s="76">
        <v>253031.07260000001</v>
      </c>
      <c r="K169" s="78">
        <f t="shared" si="5"/>
        <v>-8.9810112965831215E-3</v>
      </c>
      <c r="L169">
        <v>106</v>
      </c>
      <c r="M169" s="74"/>
      <c r="N169" s="71"/>
    </row>
    <row r="170" spans="1:14">
      <c r="A170" s="72">
        <v>44140</v>
      </c>
      <c r="B170" s="73">
        <v>2573785.85</v>
      </c>
      <c r="C170" s="78">
        <f t="shared" si="4"/>
        <v>7.141397637618685E-2</v>
      </c>
      <c r="D170">
        <v>105</v>
      </c>
      <c r="E170" s="74"/>
      <c r="F170" s="71"/>
      <c r="I170" s="72">
        <v>44140</v>
      </c>
      <c r="J170" s="73">
        <v>253031.07260000001</v>
      </c>
      <c r="K170" s="78">
        <f t="shared" si="5"/>
        <v>-8.9805668743503549E-3</v>
      </c>
      <c r="L170">
        <v>105</v>
      </c>
      <c r="M170" s="74"/>
      <c r="N170" s="71"/>
    </row>
    <row r="171" spans="1:14">
      <c r="A171" s="72">
        <v>44141</v>
      </c>
      <c r="B171" s="73">
        <v>2573744.0299999998</v>
      </c>
      <c r="C171" s="78">
        <f t="shared" si="4"/>
        <v>7.1405817698587795E-2</v>
      </c>
      <c r="D171">
        <v>104</v>
      </c>
      <c r="E171" s="74"/>
      <c r="F171" s="71"/>
      <c r="I171" s="72">
        <v>44141</v>
      </c>
      <c r="J171" s="73">
        <v>253031.07260000001</v>
      </c>
      <c r="K171" s="78">
        <f t="shared" si="5"/>
        <v>-8.9805668743503549E-3</v>
      </c>
      <c r="L171">
        <v>104</v>
      </c>
      <c r="M171" s="74"/>
      <c r="N171" s="71"/>
    </row>
    <row r="172" spans="1:14">
      <c r="A172" s="72">
        <v>44144</v>
      </c>
      <c r="B172" s="73">
        <v>2538731.23</v>
      </c>
      <c r="C172" s="78">
        <f t="shared" si="4"/>
        <v>5.687650379911758E-2</v>
      </c>
      <c r="D172">
        <v>103</v>
      </c>
      <c r="E172" s="74"/>
      <c r="F172" s="71"/>
      <c r="I172" s="72">
        <v>44144</v>
      </c>
      <c r="J172" s="73">
        <v>253031.07260000001</v>
      </c>
      <c r="K172" s="78">
        <f t="shared" si="5"/>
        <v>-8.9805668743503549E-3</v>
      </c>
      <c r="L172">
        <v>103</v>
      </c>
      <c r="M172" s="74"/>
      <c r="N172" s="71"/>
    </row>
    <row r="173" spans="1:14">
      <c r="A173" s="72">
        <v>44145</v>
      </c>
      <c r="B173" s="73">
        <v>2538097.41</v>
      </c>
      <c r="C173" s="78">
        <f t="shared" si="4"/>
        <v>5.9853514657148998E-2</v>
      </c>
      <c r="D173">
        <v>102</v>
      </c>
      <c r="E173" s="74"/>
      <c r="F173" s="71"/>
      <c r="I173" s="72">
        <v>44145</v>
      </c>
      <c r="J173" s="73">
        <v>249640.39120000001</v>
      </c>
      <c r="K173" s="78">
        <f t="shared" si="5"/>
        <v>-2.2260481963078022E-2</v>
      </c>
      <c r="L173">
        <v>102</v>
      </c>
      <c r="M173" s="74"/>
      <c r="N173" s="71"/>
    </row>
    <row r="174" spans="1:14">
      <c r="A174" s="72">
        <v>44146</v>
      </c>
      <c r="B174" s="73">
        <v>2537925.5499999998</v>
      </c>
      <c r="C174" s="78">
        <f t="shared" si="4"/>
        <v>6.0794326280857389E-2</v>
      </c>
      <c r="D174">
        <v>101</v>
      </c>
      <c r="E174" s="74"/>
      <c r="F174" s="71"/>
      <c r="I174" s="72">
        <v>44146</v>
      </c>
      <c r="J174" s="73">
        <v>249640.39120000001</v>
      </c>
      <c r="K174" s="78">
        <f t="shared" si="5"/>
        <v>-2.2260481963078022E-2</v>
      </c>
      <c r="L174">
        <v>101</v>
      </c>
      <c r="M174" s="74"/>
      <c r="N174" s="71"/>
    </row>
    <row r="175" spans="1:14">
      <c r="A175" s="72">
        <v>44147</v>
      </c>
      <c r="B175" s="73">
        <v>2527590</v>
      </c>
      <c r="C175" s="78">
        <f t="shared" si="4"/>
        <v>5.6523870313046065E-2</v>
      </c>
      <c r="D175">
        <v>100</v>
      </c>
      <c r="E175" s="74"/>
      <c r="F175" s="71"/>
      <c r="I175" s="72">
        <v>44147</v>
      </c>
      <c r="J175" s="73">
        <v>249026.06599999999</v>
      </c>
      <c r="K175" s="78">
        <f t="shared" si="5"/>
        <v>-2.4666543025867911E-2</v>
      </c>
      <c r="L175">
        <v>100</v>
      </c>
      <c r="M175" s="74"/>
      <c r="N175" s="71"/>
    </row>
    <row r="176" spans="1:14">
      <c r="A176" s="72">
        <v>44148</v>
      </c>
      <c r="B176" s="73">
        <v>2527473.81</v>
      </c>
      <c r="C176" s="78">
        <f t="shared" si="4"/>
        <v>5.6479900402695501E-2</v>
      </c>
      <c r="D176">
        <v>99</v>
      </c>
      <c r="E176" s="74"/>
      <c r="F176" s="71"/>
      <c r="I176" s="72">
        <v>44148</v>
      </c>
      <c r="J176" s="73">
        <v>249026.06599999999</v>
      </c>
      <c r="K176" s="78">
        <f t="shared" si="5"/>
        <v>-2.4666543025867911E-2</v>
      </c>
      <c r="L176">
        <v>99</v>
      </c>
      <c r="M176" s="74"/>
      <c r="N176" s="71"/>
    </row>
    <row r="177" spans="1:14">
      <c r="A177" s="72">
        <v>44151</v>
      </c>
      <c r="B177" s="73">
        <v>2527255.37</v>
      </c>
      <c r="C177" s="78">
        <f t="shared" si="4"/>
        <v>5.6420024636552948E-2</v>
      </c>
      <c r="D177">
        <v>98</v>
      </c>
      <c r="E177" s="74"/>
      <c r="F177" s="71"/>
      <c r="I177" s="72">
        <v>44151</v>
      </c>
      <c r="J177" s="73">
        <v>249026.06599999999</v>
      </c>
      <c r="K177" s="78">
        <f t="shared" si="5"/>
        <v>-2.4666543025867911E-2</v>
      </c>
      <c r="L177">
        <v>98</v>
      </c>
      <c r="M177" s="74"/>
      <c r="N177" s="71"/>
    </row>
    <row r="178" spans="1:14">
      <c r="A178" s="72">
        <v>44152</v>
      </c>
      <c r="B178" s="73">
        <v>2527185.9</v>
      </c>
      <c r="C178" s="78">
        <f t="shared" si="4"/>
        <v>5.6470591146835718E-2</v>
      </c>
      <c r="D178">
        <v>97</v>
      </c>
      <c r="E178" s="74"/>
      <c r="F178" s="71"/>
      <c r="I178" s="72">
        <v>44152</v>
      </c>
      <c r="J178" s="73">
        <v>249026.06599999999</v>
      </c>
      <c r="K178" s="78">
        <f t="shared" si="5"/>
        <v>-2.4666543025867911E-2</v>
      </c>
      <c r="L178">
        <v>97</v>
      </c>
      <c r="M178" s="74"/>
      <c r="N178" s="71"/>
    </row>
    <row r="179" spans="1:14">
      <c r="A179" s="72">
        <v>44153</v>
      </c>
      <c r="B179" s="73">
        <v>2517437.2999999998</v>
      </c>
      <c r="C179" s="78">
        <f t="shared" si="4"/>
        <v>5.2403979436078392E-2</v>
      </c>
      <c r="D179">
        <v>96</v>
      </c>
      <c r="E179" s="74"/>
      <c r="F179" s="71"/>
      <c r="I179" s="72">
        <v>44153</v>
      </c>
      <c r="J179" s="73">
        <v>248986.16709999999</v>
      </c>
      <c r="K179" s="78">
        <f t="shared" si="5"/>
        <v>-2.1750293418727765E-2</v>
      </c>
      <c r="L179">
        <v>96</v>
      </c>
      <c r="M179" s="74"/>
      <c r="N179" s="71"/>
    </row>
    <row r="180" spans="1:14">
      <c r="A180" s="72">
        <v>44154</v>
      </c>
      <c r="B180" s="73">
        <v>2517359.73</v>
      </c>
      <c r="C180" s="78">
        <f t="shared" si="4"/>
        <v>5.2375880648883731E-2</v>
      </c>
      <c r="D180">
        <v>95</v>
      </c>
      <c r="E180" s="74"/>
      <c r="F180" s="71"/>
      <c r="I180" s="72">
        <v>44154</v>
      </c>
      <c r="J180" s="73">
        <v>248986.16709999999</v>
      </c>
      <c r="K180" s="78">
        <f t="shared" si="5"/>
        <v>-2.1750293418727765E-2</v>
      </c>
      <c r="L180">
        <v>95</v>
      </c>
      <c r="M180" s="74"/>
      <c r="N180" s="71"/>
    </row>
    <row r="181" spans="1:14">
      <c r="A181" s="72">
        <v>44155</v>
      </c>
      <c r="B181" s="73">
        <v>2517351.62</v>
      </c>
      <c r="C181" s="78">
        <f t="shared" si="4"/>
        <v>5.9883838304948304E-2</v>
      </c>
      <c r="D181">
        <v>94</v>
      </c>
      <c r="E181" s="74"/>
      <c r="F181" s="71"/>
      <c r="I181" s="72">
        <v>44155</v>
      </c>
      <c r="J181" s="73">
        <v>248986.16709999999</v>
      </c>
      <c r="K181" s="78">
        <f t="shared" si="5"/>
        <v>-2.1676691839953247E-2</v>
      </c>
      <c r="L181">
        <v>94</v>
      </c>
      <c r="M181" s="74"/>
      <c r="N181" s="71"/>
    </row>
    <row r="182" spans="1:14">
      <c r="A182" s="72">
        <v>44158</v>
      </c>
      <c r="B182" s="73">
        <v>2517249.33</v>
      </c>
      <c r="C182" s="78">
        <f t="shared" si="4"/>
        <v>5.9856656901541183E-2</v>
      </c>
      <c r="D182">
        <v>93</v>
      </c>
      <c r="E182" s="74"/>
      <c r="F182" s="71"/>
      <c r="I182" s="72">
        <v>44158</v>
      </c>
      <c r="J182" s="73">
        <v>248986.16709999999</v>
      </c>
      <c r="K182" s="78">
        <f t="shared" si="5"/>
        <v>-2.1676691839953247E-2</v>
      </c>
      <c r="L182">
        <v>93</v>
      </c>
      <c r="M182" s="74"/>
      <c r="N182" s="71"/>
    </row>
    <row r="183" spans="1:14">
      <c r="A183" s="72">
        <v>44159</v>
      </c>
      <c r="B183" s="73">
        <v>2517096.9300000002</v>
      </c>
      <c r="C183" s="78">
        <f t="shared" si="4"/>
        <v>6.0053401892437068E-2</v>
      </c>
      <c r="D183">
        <v>92</v>
      </c>
      <c r="E183" s="74"/>
      <c r="F183" s="71"/>
      <c r="I183" s="72">
        <v>44159</v>
      </c>
      <c r="J183" s="73">
        <v>248982.321</v>
      </c>
      <c r="K183" s="78">
        <f t="shared" si="5"/>
        <v>-2.1691804042045976E-2</v>
      </c>
      <c r="L183">
        <v>92</v>
      </c>
      <c r="M183" s="74"/>
      <c r="N183" s="71"/>
    </row>
    <row r="184" spans="1:14">
      <c r="A184" s="72">
        <v>44160</v>
      </c>
      <c r="B184" s="73">
        <v>2516572.9500000002</v>
      </c>
      <c r="C184" s="78">
        <f t="shared" si="4"/>
        <v>7.0028819868873993E-2</v>
      </c>
      <c r="D184">
        <v>91</v>
      </c>
      <c r="E184" s="74"/>
      <c r="F184" s="71"/>
      <c r="I184" s="72">
        <v>44160</v>
      </c>
      <c r="J184" s="73">
        <v>248982.321</v>
      </c>
      <c r="K184" s="78">
        <f t="shared" si="5"/>
        <v>4.9642579850042393E-3</v>
      </c>
      <c r="L184">
        <v>91</v>
      </c>
      <c r="M184" s="74"/>
      <c r="N184" s="71"/>
    </row>
    <row r="185" spans="1:14">
      <c r="A185" s="72">
        <v>44161</v>
      </c>
      <c r="B185" s="73">
        <v>2516139.77</v>
      </c>
      <c r="C185" s="78">
        <f t="shared" si="4"/>
        <v>7.4436686117786977E-2</v>
      </c>
      <c r="D185">
        <v>90</v>
      </c>
      <c r="E185" s="74"/>
      <c r="F185" s="71"/>
      <c r="I185" s="72">
        <v>44161</v>
      </c>
      <c r="J185" s="73">
        <v>247035.57089999999</v>
      </c>
      <c r="K185" s="78">
        <f t="shared" si="5"/>
        <v>-2.8933853282683431E-3</v>
      </c>
      <c r="L185">
        <v>90</v>
      </c>
      <c r="M185" s="74"/>
      <c r="N185" s="71"/>
    </row>
    <row r="186" spans="1:14">
      <c r="A186" s="72">
        <v>44162</v>
      </c>
      <c r="B186" s="73">
        <v>2516129.5699999998</v>
      </c>
      <c r="C186" s="78">
        <f t="shared" si="4"/>
        <v>9.1058793922459691E-2</v>
      </c>
      <c r="D186">
        <v>89</v>
      </c>
      <c r="E186" s="74"/>
      <c r="F186" s="71"/>
      <c r="I186" s="72">
        <v>44162</v>
      </c>
      <c r="J186" s="73">
        <v>247035.57089999999</v>
      </c>
      <c r="K186" s="78">
        <f t="shared" si="5"/>
        <v>-2.8933853282683431E-3</v>
      </c>
      <c r="L186">
        <v>89</v>
      </c>
      <c r="M186" s="74"/>
      <c r="N186" s="71"/>
    </row>
    <row r="187" spans="1:14">
      <c r="A187" s="72">
        <v>44165</v>
      </c>
      <c r="B187" s="73">
        <v>2626573.84</v>
      </c>
      <c r="C187" s="78">
        <f t="shared" si="4"/>
        <v>0.13895622446708311</v>
      </c>
      <c r="D187">
        <v>88</v>
      </c>
      <c r="E187" s="74"/>
      <c r="F187" s="71"/>
      <c r="I187" s="72">
        <v>44165</v>
      </c>
      <c r="J187" s="73">
        <v>251002.9172</v>
      </c>
      <c r="K187" s="78">
        <f t="shared" si="5"/>
        <v>1.3119965396938596E-2</v>
      </c>
      <c r="L187">
        <v>88</v>
      </c>
      <c r="M187" s="74"/>
      <c r="N187" s="71"/>
    </row>
    <row r="188" spans="1:14">
      <c r="A188" s="72">
        <v>44166</v>
      </c>
      <c r="B188" s="73">
        <v>2558306.61</v>
      </c>
      <c r="C188" s="78">
        <f t="shared" si="4"/>
        <v>-2.5108109431448228E-2</v>
      </c>
      <c r="D188">
        <v>87</v>
      </c>
      <c r="E188" s="74"/>
      <c r="F188" s="71"/>
      <c r="I188" s="72">
        <v>44166</v>
      </c>
      <c r="J188" s="73">
        <v>251002.9172</v>
      </c>
      <c r="K188" s="78">
        <f t="shared" si="5"/>
        <v>-8.015440076824849E-3</v>
      </c>
      <c r="L188">
        <v>87</v>
      </c>
      <c r="M188" s="74"/>
      <c r="N188" s="71"/>
    </row>
    <row r="189" spans="1:14">
      <c r="A189" s="72">
        <v>44167</v>
      </c>
      <c r="B189" s="73">
        <v>2554201.85</v>
      </c>
      <c r="C189" s="78">
        <f t="shared" si="4"/>
        <v>-7.6914887334060605E-3</v>
      </c>
      <c r="D189">
        <v>86</v>
      </c>
      <c r="E189" s="74"/>
      <c r="F189" s="71"/>
      <c r="I189" s="72">
        <v>44167</v>
      </c>
      <c r="J189" s="73">
        <v>251002.9172</v>
      </c>
      <c r="K189" s="78">
        <f t="shared" si="5"/>
        <v>-8.015440076824849E-3</v>
      </c>
      <c r="L189">
        <v>86</v>
      </c>
      <c r="M189" s="74"/>
      <c r="N189" s="71"/>
    </row>
    <row r="190" spans="1:14">
      <c r="A190" s="72">
        <v>44168</v>
      </c>
      <c r="B190" s="76">
        <v>2549592.9</v>
      </c>
      <c r="C190" s="78">
        <f t="shared" si="4"/>
        <v>-9.4098670674926006E-3</v>
      </c>
      <c r="D190">
        <v>85</v>
      </c>
      <c r="E190" s="74"/>
      <c r="F190" s="71"/>
      <c r="I190" s="72">
        <v>44168</v>
      </c>
      <c r="J190" s="76">
        <v>251002.9172</v>
      </c>
      <c r="K190" s="78">
        <f t="shared" si="5"/>
        <v>-8.015440076824849E-3</v>
      </c>
      <c r="L190">
        <v>85</v>
      </c>
      <c r="M190" s="74"/>
      <c r="N190" s="71"/>
    </row>
    <row r="191" spans="1:14">
      <c r="A191" s="72">
        <v>44169</v>
      </c>
      <c r="B191" s="76">
        <v>2474909.66</v>
      </c>
      <c r="C191" s="78">
        <f t="shared" si="4"/>
        <v>-3.8416634390930363E-2</v>
      </c>
      <c r="D191">
        <v>84</v>
      </c>
      <c r="E191" s="74"/>
      <c r="F191" s="71"/>
      <c r="I191" s="72">
        <v>44169</v>
      </c>
      <c r="J191" s="76">
        <v>251002.9172</v>
      </c>
      <c r="K191" s="78">
        <f t="shared" si="5"/>
        <v>-8.015440076824849E-3</v>
      </c>
      <c r="L191">
        <v>84</v>
      </c>
      <c r="M191" s="74"/>
      <c r="N191" s="71"/>
    </row>
    <row r="192" spans="1:14">
      <c r="A192" s="72">
        <v>44172</v>
      </c>
      <c r="B192" s="73">
        <v>2385825.62</v>
      </c>
      <c r="C192" s="78">
        <f t="shared" si="4"/>
        <v>-7.3013636091853198E-2</v>
      </c>
      <c r="D192">
        <v>83</v>
      </c>
      <c r="E192" s="74"/>
      <c r="F192" s="71"/>
      <c r="I192" s="72">
        <v>44172</v>
      </c>
      <c r="J192" s="73">
        <v>251002.9172</v>
      </c>
      <c r="K192" s="78">
        <f t="shared" si="5"/>
        <v>-8.015440076824849E-3</v>
      </c>
      <c r="L192">
        <v>83</v>
      </c>
      <c r="M192" s="74"/>
      <c r="N192" s="71"/>
    </row>
    <row r="193" spans="1:14">
      <c r="A193" s="72">
        <v>44173</v>
      </c>
      <c r="B193" s="73">
        <v>2385780.19</v>
      </c>
      <c r="C193" s="78">
        <f t="shared" si="4"/>
        <v>-6.0247039226755818E-2</v>
      </c>
      <c r="D193">
        <v>82</v>
      </c>
      <c r="E193" s="74"/>
      <c r="F193" s="71"/>
      <c r="I193" s="72">
        <v>44173</v>
      </c>
      <c r="J193" s="73">
        <v>251002.9172</v>
      </c>
      <c r="K193" s="78">
        <f t="shared" si="5"/>
        <v>-8.015440076824849E-3</v>
      </c>
      <c r="L193">
        <v>82</v>
      </c>
      <c r="M193" s="74"/>
      <c r="N193" s="71"/>
    </row>
    <row r="194" spans="1:14">
      <c r="A194" s="72">
        <v>44174</v>
      </c>
      <c r="B194" s="73">
        <v>2385780.02</v>
      </c>
      <c r="C194" s="78">
        <f t="shared" si="4"/>
        <v>-6.0012428758595249E-2</v>
      </c>
      <c r="D194">
        <v>81</v>
      </c>
      <c r="E194" s="74"/>
      <c r="F194" s="71"/>
      <c r="I194" s="72">
        <v>44174</v>
      </c>
      <c r="J194" s="73">
        <v>251002.9172</v>
      </c>
      <c r="K194" s="78">
        <f t="shared" si="5"/>
        <v>5.4579549144689191E-3</v>
      </c>
      <c r="L194">
        <v>81</v>
      </c>
      <c r="M194" s="74"/>
      <c r="N194" s="71"/>
    </row>
    <row r="195" spans="1:14">
      <c r="A195" s="72">
        <v>44175</v>
      </c>
      <c r="B195" s="73">
        <v>2384594.9</v>
      </c>
      <c r="C195" s="78">
        <f t="shared" si="4"/>
        <v>-6.0415739933742309E-2</v>
      </c>
      <c r="D195">
        <v>80</v>
      </c>
      <c r="E195" s="74"/>
      <c r="F195" s="71"/>
      <c r="I195" s="72">
        <v>44175</v>
      </c>
      <c r="J195" s="73">
        <v>251002.9172</v>
      </c>
      <c r="K195" s="78">
        <f t="shared" si="5"/>
        <v>5.4579549144689191E-3</v>
      </c>
      <c r="L195">
        <v>80</v>
      </c>
      <c r="M195" s="74"/>
      <c r="N195" s="71"/>
    </row>
    <row r="196" spans="1:14">
      <c r="A196" s="72">
        <v>44176</v>
      </c>
      <c r="B196" s="73">
        <v>2375608.0299999998</v>
      </c>
      <c r="C196" s="78">
        <f t="shared" si="4"/>
        <v>-6.0129202125344776E-2</v>
      </c>
      <c r="D196">
        <v>79</v>
      </c>
      <c r="E196" s="74"/>
      <c r="F196" s="71"/>
      <c r="I196" s="72">
        <v>44176</v>
      </c>
      <c r="J196" s="73">
        <v>251002.9172</v>
      </c>
      <c r="K196" s="78">
        <f t="shared" si="5"/>
        <v>7.9383304396737509E-3</v>
      </c>
      <c r="L196">
        <v>79</v>
      </c>
      <c r="M196" s="74"/>
      <c r="N196" s="71"/>
    </row>
    <row r="197" spans="1:14">
      <c r="A197" s="72">
        <v>44179</v>
      </c>
      <c r="B197" s="73">
        <v>2374733.0499999998</v>
      </c>
      <c r="C197" s="78">
        <f t="shared" si="4"/>
        <v>-6.0432183073738849E-2</v>
      </c>
      <c r="D197">
        <v>78</v>
      </c>
      <c r="E197" s="74"/>
      <c r="F197" s="71"/>
      <c r="I197" s="72">
        <v>44179</v>
      </c>
      <c r="J197" s="73">
        <v>251002.9172</v>
      </c>
      <c r="K197" s="78">
        <f t="shared" si="5"/>
        <v>7.9383304396737509E-3</v>
      </c>
      <c r="L197">
        <v>78</v>
      </c>
      <c r="M197" s="74"/>
      <c r="N197" s="71"/>
    </row>
    <row r="198" spans="1:14">
      <c r="A198" s="72">
        <v>44180</v>
      </c>
      <c r="B198" s="73">
        <v>2374677.2799999998</v>
      </c>
      <c r="C198" s="78">
        <f t="shared" si="4"/>
        <v>-6.0373040180739752E-2</v>
      </c>
      <c r="D198">
        <v>77</v>
      </c>
      <c r="E198" s="74"/>
      <c r="F198" s="71"/>
      <c r="I198" s="72">
        <v>44180</v>
      </c>
      <c r="J198" s="73">
        <v>251002.9172</v>
      </c>
      <c r="K198" s="78">
        <f t="shared" si="5"/>
        <v>7.9383304396737509E-3</v>
      </c>
      <c r="L198">
        <v>77</v>
      </c>
      <c r="M198" s="74"/>
      <c r="N198" s="71"/>
    </row>
    <row r="199" spans="1:14">
      <c r="A199" s="72">
        <v>44181</v>
      </c>
      <c r="B199" s="73">
        <v>2374650.7200000002</v>
      </c>
      <c r="C199" s="78">
        <f t="shared" si="4"/>
        <v>-6.0357720419380194E-2</v>
      </c>
      <c r="D199">
        <v>76</v>
      </c>
      <c r="E199" s="74"/>
      <c r="F199" s="71"/>
      <c r="I199" s="72">
        <v>44181</v>
      </c>
      <c r="J199" s="73">
        <v>251002.9172</v>
      </c>
      <c r="K199" s="78">
        <f t="shared" si="5"/>
        <v>7.9383304396737509E-3</v>
      </c>
      <c r="L199">
        <v>76</v>
      </c>
      <c r="M199" s="74"/>
      <c r="N199" s="71"/>
    </row>
    <row r="200" spans="1:14">
      <c r="A200" s="72">
        <v>44182</v>
      </c>
      <c r="B200" s="73">
        <v>2374132.83</v>
      </c>
      <c r="C200" s="78">
        <f t="shared" si="4"/>
        <v>-5.6924742475214674E-2</v>
      </c>
      <c r="D200">
        <v>75</v>
      </c>
      <c r="E200" s="74"/>
      <c r="F200" s="71"/>
      <c r="I200" s="72">
        <v>44182</v>
      </c>
      <c r="J200" s="73">
        <v>251002.9172</v>
      </c>
      <c r="K200" s="78">
        <f t="shared" si="5"/>
        <v>8.0998479694256269E-3</v>
      </c>
      <c r="L200">
        <v>75</v>
      </c>
      <c r="M200" s="74"/>
      <c r="N200" s="71"/>
    </row>
    <row r="201" spans="1:14">
      <c r="A201" s="72">
        <v>44183</v>
      </c>
      <c r="B201" s="73">
        <v>2373964.39</v>
      </c>
      <c r="C201" s="78">
        <f t="shared" si="4"/>
        <v>-5.6962593899919041E-2</v>
      </c>
      <c r="D201">
        <v>74</v>
      </c>
      <c r="E201" s="74"/>
      <c r="F201" s="71"/>
      <c r="I201" s="72">
        <v>44183</v>
      </c>
      <c r="J201" s="73">
        <v>251002.9172</v>
      </c>
      <c r="K201" s="78">
        <f t="shared" si="5"/>
        <v>8.0998479694256269E-3</v>
      </c>
      <c r="L201">
        <v>74</v>
      </c>
      <c r="M201" s="74"/>
      <c r="N201" s="71"/>
    </row>
    <row r="202" spans="1:14">
      <c r="A202" s="72">
        <v>44186</v>
      </c>
      <c r="B202" s="73">
        <v>2373666.69</v>
      </c>
      <c r="C202" s="78">
        <f t="shared" si="4"/>
        <v>-5.7077814977631196E-2</v>
      </c>
      <c r="D202">
        <v>73</v>
      </c>
      <c r="E202" s="74"/>
      <c r="F202" s="71"/>
      <c r="I202" s="72">
        <v>44186</v>
      </c>
      <c r="J202" s="73">
        <v>251002.9172</v>
      </c>
      <c r="K202" s="78">
        <f t="shared" si="5"/>
        <v>8.0998479694256269E-3</v>
      </c>
      <c r="L202">
        <v>73</v>
      </c>
      <c r="M202" s="74"/>
      <c r="N202" s="71"/>
    </row>
    <row r="203" spans="1:14">
      <c r="A203" s="72">
        <v>44187</v>
      </c>
      <c r="B203" s="73">
        <v>2373383.31</v>
      </c>
      <c r="C203" s="78">
        <f t="shared" si="4"/>
        <v>-5.7152074006113655E-2</v>
      </c>
      <c r="D203">
        <v>72</v>
      </c>
      <c r="E203" s="74"/>
      <c r="F203" s="71"/>
      <c r="I203" s="72">
        <v>44187</v>
      </c>
      <c r="J203" s="73">
        <v>251002.9172</v>
      </c>
      <c r="K203" s="78">
        <f t="shared" si="5"/>
        <v>8.0998479694256269E-3</v>
      </c>
      <c r="L203">
        <v>72</v>
      </c>
      <c r="M203" s="74"/>
      <c r="N203" s="71"/>
    </row>
    <row r="204" spans="1:14">
      <c r="A204" s="72">
        <v>44188</v>
      </c>
      <c r="B204" s="73">
        <v>2367075.08</v>
      </c>
      <c r="C204" s="78">
        <f t="shared" si="4"/>
        <v>-5.9601141383140967E-2</v>
      </c>
      <c r="D204">
        <v>71</v>
      </c>
      <c r="E204" s="74"/>
      <c r="F204" s="71"/>
      <c r="I204" s="72">
        <v>44188</v>
      </c>
      <c r="J204" s="73">
        <v>251002.9172</v>
      </c>
      <c r="K204" s="78">
        <f t="shared" si="5"/>
        <v>8.1154203715532083E-3</v>
      </c>
      <c r="L204">
        <v>71</v>
      </c>
      <c r="M204" s="74"/>
      <c r="N204" s="71"/>
    </row>
    <row r="205" spans="1:14">
      <c r="A205" s="72">
        <v>44189</v>
      </c>
      <c r="B205" s="73">
        <v>2367075.08</v>
      </c>
      <c r="C205" s="78">
        <f t="shared" si="4"/>
        <v>-5.9405339312734846E-2</v>
      </c>
      <c r="D205">
        <v>70</v>
      </c>
      <c r="E205" s="74"/>
      <c r="F205" s="71"/>
      <c r="I205" s="72">
        <v>44189</v>
      </c>
      <c r="J205" s="73">
        <v>251002.9172</v>
      </c>
      <c r="K205" s="78">
        <f t="shared" si="5"/>
        <v>8.1154203715532083E-3</v>
      </c>
      <c r="L205">
        <v>70</v>
      </c>
      <c r="M205" s="74"/>
      <c r="N205" s="71"/>
    </row>
    <row r="206" spans="1:14">
      <c r="A206" s="72">
        <v>44190</v>
      </c>
      <c r="B206" s="73">
        <v>2367075.08</v>
      </c>
      <c r="C206" s="78">
        <f t="shared" si="4"/>
        <v>-5.9243406021120971E-2</v>
      </c>
      <c r="D206">
        <v>69</v>
      </c>
      <c r="E206" s="74"/>
      <c r="F206" s="71"/>
      <c r="I206" s="72">
        <v>44190</v>
      </c>
      <c r="J206" s="73">
        <v>251002.9172</v>
      </c>
      <c r="K206" s="78">
        <f t="shared" si="5"/>
        <v>1.6059817966886991E-2</v>
      </c>
      <c r="L206">
        <v>69</v>
      </c>
      <c r="M206" s="74"/>
      <c r="N206" s="71"/>
    </row>
    <row r="207" spans="1:14">
      <c r="A207" s="72">
        <v>44193</v>
      </c>
      <c r="B207" s="73">
        <v>2360800.02</v>
      </c>
      <c r="C207" s="78">
        <f t="shared" si="4"/>
        <v>-6.173352590900151E-2</v>
      </c>
      <c r="D207">
        <v>68</v>
      </c>
      <c r="E207" s="74"/>
      <c r="F207" s="71"/>
      <c r="I207" s="72">
        <v>44193</v>
      </c>
      <c r="J207" s="73">
        <v>250736.31349999999</v>
      </c>
      <c r="K207" s="78">
        <f t="shared" si="5"/>
        <v>1.498060617957751E-2</v>
      </c>
      <c r="L207">
        <v>68</v>
      </c>
      <c r="M207" s="74"/>
      <c r="N207" s="71"/>
    </row>
    <row r="208" spans="1:14">
      <c r="A208" s="72">
        <v>44194</v>
      </c>
      <c r="B208" s="73">
        <v>2360755.19</v>
      </c>
      <c r="C208" s="78">
        <f t="shared" si="4"/>
        <v>-0.10120357019926762</v>
      </c>
      <c r="D208">
        <v>67</v>
      </c>
      <c r="E208" s="74"/>
      <c r="F208" s="71"/>
      <c r="I208" s="72">
        <v>44194</v>
      </c>
      <c r="J208" s="73">
        <v>250692.61110000001</v>
      </c>
      <c r="K208" s="78">
        <f t="shared" si="5"/>
        <v>-1.2362649146134587E-3</v>
      </c>
      <c r="L208">
        <v>67</v>
      </c>
      <c r="M208" s="74"/>
      <c r="N208" s="71"/>
    </row>
    <row r="209" spans="1:14">
      <c r="A209" s="72">
        <v>44195</v>
      </c>
      <c r="B209" s="73">
        <v>2360667.5299999998</v>
      </c>
      <c r="C209" s="78">
        <f t="shared" si="4"/>
        <v>-7.7253867549519434E-2</v>
      </c>
      <c r="D209">
        <v>66</v>
      </c>
      <c r="E209" s="74"/>
      <c r="F209" s="71"/>
      <c r="I209" s="72">
        <v>44195</v>
      </c>
      <c r="J209" s="73">
        <v>250692.61110000001</v>
      </c>
      <c r="K209" s="78">
        <f t="shared" si="5"/>
        <v>-1.2362649146134587E-3</v>
      </c>
      <c r="L209">
        <v>66</v>
      </c>
      <c r="M209" s="74"/>
      <c r="N209" s="71"/>
    </row>
    <row r="210" spans="1:14">
      <c r="A210" s="72">
        <v>44196</v>
      </c>
      <c r="B210" s="73">
        <v>3085861.64</v>
      </c>
      <c r="C210" s="78">
        <f t="shared" si="4"/>
        <v>0.20815104726355124</v>
      </c>
      <c r="D210">
        <v>65</v>
      </c>
      <c r="E210" s="74"/>
      <c r="F210" s="71"/>
      <c r="I210" s="72">
        <v>44196</v>
      </c>
      <c r="J210" s="73">
        <v>263347.8786</v>
      </c>
      <c r="K210" s="78">
        <f t="shared" si="5"/>
        <v>4.9182541532628847E-2</v>
      </c>
      <c r="L210">
        <v>65</v>
      </c>
      <c r="M210" s="74"/>
      <c r="N210" s="71"/>
    </row>
    <row r="211" spans="1:14">
      <c r="A211" s="72">
        <v>44197</v>
      </c>
      <c r="B211" s="73">
        <v>3085861.64</v>
      </c>
      <c r="C211" s="78">
        <f t="shared" si="4"/>
        <v>0.21033504603813427</v>
      </c>
      <c r="D211">
        <v>64</v>
      </c>
      <c r="E211" s="74"/>
      <c r="F211" s="71"/>
      <c r="I211" s="72">
        <v>44197</v>
      </c>
      <c r="J211" s="73">
        <v>263347.8786</v>
      </c>
      <c r="K211" s="78">
        <f t="shared" si="5"/>
        <v>4.9182541532628847E-2</v>
      </c>
      <c r="L211">
        <v>64</v>
      </c>
      <c r="M211" s="74"/>
      <c r="N211" s="71"/>
    </row>
    <row r="212" spans="1:14">
      <c r="A212" s="72">
        <v>44200</v>
      </c>
      <c r="B212" s="76">
        <v>2868270.91</v>
      </c>
      <c r="C212" s="78">
        <f t="shared" si="4"/>
        <v>0.15893963984123766</v>
      </c>
      <c r="D212">
        <v>63</v>
      </c>
      <c r="E212" s="74"/>
      <c r="F212" s="71"/>
      <c r="I212" s="72">
        <v>44200</v>
      </c>
      <c r="J212" s="76">
        <v>263347.8786</v>
      </c>
      <c r="K212" s="78">
        <f t="shared" si="5"/>
        <v>4.9182541532628847E-2</v>
      </c>
      <c r="L212">
        <v>63</v>
      </c>
      <c r="M212" s="74"/>
      <c r="N212" s="71"/>
    </row>
    <row r="213" spans="1:14">
      <c r="A213" s="72">
        <v>44201</v>
      </c>
      <c r="B213" s="76">
        <v>2863270.32</v>
      </c>
      <c r="C213" s="78">
        <f t="shared" si="4"/>
        <v>0.20011718207636639</v>
      </c>
      <c r="D213">
        <v>62</v>
      </c>
      <c r="E213" s="74"/>
      <c r="F213" s="71"/>
      <c r="I213" s="72">
        <v>44201</v>
      </c>
      <c r="J213" s="76">
        <v>263347.8786</v>
      </c>
      <c r="K213" s="78">
        <f t="shared" si="5"/>
        <v>4.9182541532628847E-2</v>
      </c>
      <c r="L213">
        <v>62</v>
      </c>
      <c r="M213" s="74"/>
      <c r="N213" s="71"/>
    </row>
    <row r="214" spans="1:14">
      <c r="A214" s="72">
        <v>44202</v>
      </c>
      <c r="B214" s="73">
        <v>2847150.67</v>
      </c>
      <c r="C214" s="78">
        <f t="shared" si="4"/>
        <v>0.19338348182025938</v>
      </c>
      <c r="D214">
        <v>61</v>
      </c>
      <c r="E214" s="74"/>
      <c r="F214" s="71"/>
      <c r="I214" s="72">
        <v>44202</v>
      </c>
      <c r="J214" s="73">
        <v>263347.8786</v>
      </c>
      <c r="K214" s="78">
        <f t="shared" si="5"/>
        <v>4.9182541532628847E-2</v>
      </c>
      <c r="L214">
        <v>61</v>
      </c>
      <c r="M214" s="74"/>
      <c r="N214" s="71"/>
    </row>
    <row r="215" spans="1:14">
      <c r="A215" s="72">
        <v>44203</v>
      </c>
      <c r="B215" s="73">
        <v>2847122.01</v>
      </c>
      <c r="C215" s="78">
        <f t="shared" ref="C215:C273" si="6">(B215-B194)/B194</f>
        <v>0.19337155401276257</v>
      </c>
      <c r="D215">
        <v>60</v>
      </c>
      <c r="E215" s="74"/>
      <c r="F215" s="71"/>
      <c r="I215" s="72">
        <v>44203</v>
      </c>
      <c r="J215" s="73">
        <v>263347.8786</v>
      </c>
      <c r="K215" s="78">
        <f t="shared" ref="K215:K273" si="7">(J215-J194)/J194</f>
        <v>4.9182541532628847E-2</v>
      </c>
      <c r="L215">
        <v>60</v>
      </c>
      <c r="M215" s="74"/>
      <c r="N215" s="71"/>
    </row>
    <row r="216" spans="1:14">
      <c r="A216" s="72">
        <v>44204</v>
      </c>
      <c r="B216" s="73">
        <v>2818385.13</v>
      </c>
      <c r="C216" s="78">
        <f t="shared" si="6"/>
        <v>0.18191359463194356</v>
      </c>
      <c r="D216">
        <v>59</v>
      </c>
      <c r="E216" s="74"/>
      <c r="F216" s="71"/>
      <c r="I216" s="72">
        <v>44204</v>
      </c>
      <c r="J216" s="73">
        <v>263347.8786</v>
      </c>
      <c r="K216" s="78">
        <f t="shared" si="7"/>
        <v>4.9182541532628847E-2</v>
      </c>
      <c r="L216">
        <v>59</v>
      </c>
      <c r="M216" s="74"/>
      <c r="N216" s="71"/>
    </row>
    <row r="217" spans="1:14">
      <c r="A217" s="72">
        <v>44207</v>
      </c>
      <c r="B217" s="73">
        <v>2710754.94</v>
      </c>
      <c r="C217" s="78">
        <f t="shared" si="6"/>
        <v>0.14107837057614264</v>
      </c>
      <c r="D217">
        <v>58</v>
      </c>
      <c r="E217" s="74"/>
      <c r="F217" s="71"/>
      <c r="I217" s="72">
        <v>44207</v>
      </c>
      <c r="J217" s="73">
        <v>263347.8786</v>
      </c>
      <c r="K217" s="78">
        <f t="shared" si="7"/>
        <v>4.9182541532628847E-2</v>
      </c>
      <c r="L217">
        <v>58</v>
      </c>
      <c r="M217" s="74"/>
      <c r="N217" s="71"/>
    </row>
    <row r="218" spans="1:14">
      <c r="A218" s="72">
        <v>44208</v>
      </c>
      <c r="B218" s="73">
        <v>2695377.42</v>
      </c>
      <c r="C218" s="78">
        <f t="shared" si="6"/>
        <v>0.13502333241203684</v>
      </c>
      <c r="D218">
        <v>57</v>
      </c>
      <c r="E218" s="74"/>
      <c r="F218" s="71"/>
      <c r="I218" s="72">
        <v>44208</v>
      </c>
      <c r="J218" s="73">
        <v>263347.8786</v>
      </c>
      <c r="K218" s="78">
        <f t="shared" si="7"/>
        <v>4.9182541532628847E-2</v>
      </c>
      <c r="L218">
        <v>57</v>
      </c>
      <c r="M218" s="74"/>
      <c r="N218" s="71"/>
    </row>
    <row r="219" spans="1:14">
      <c r="A219" s="72">
        <v>44209</v>
      </c>
      <c r="B219" s="73">
        <v>2695307.57</v>
      </c>
      <c r="C219" s="78">
        <f t="shared" si="6"/>
        <v>0.13502057424830377</v>
      </c>
      <c r="D219">
        <v>56</v>
      </c>
      <c r="E219" s="74"/>
      <c r="F219" s="71"/>
      <c r="I219" s="72">
        <v>44209</v>
      </c>
      <c r="J219" s="73">
        <v>263347.8786</v>
      </c>
      <c r="K219" s="78">
        <f t="shared" si="7"/>
        <v>4.9182541532628847E-2</v>
      </c>
      <c r="L219">
        <v>56</v>
      </c>
      <c r="M219" s="74"/>
      <c r="N219" s="71"/>
    </row>
    <row r="220" spans="1:14">
      <c r="A220" s="72">
        <v>44210</v>
      </c>
      <c r="B220" s="73">
        <v>2664676.79</v>
      </c>
      <c r="C220" s="78">
        <f t="shared" si="6"/>
        <v>0.12213420169851329</v>
      </c>
      <c r="D220">
        <v>55</v>
      </c>
      <c r="E220" s="74"/>
      <c r="F220" s="71"/>
      <c r="I220" s="72">
        <v>44210</v>
      </c>
      <c r="J220" s="73">
        <v>263347.8786</v>
      </c>
      <c r="K220" s="78">
        <f t="shared" si="7"/>
        <v>4.9182541532628847E-2</v>
      </c>
      <c r="L220">
        <v>55</v>
      </c>
      <c r="M220" s="74"/>
      <c r="N220" s="71"/>
    </row>
    <row r="221" spans="1:14">
      <c r="A221" s="72">
        <v>44211</v>
      </c>
      <c r="B221" s="73">
        <v>2664662.58</v>
      </c>
      <c r="C221" s="78">
        <f t="shared" si="6"/>
        <v>0.12237299713344177</v>
      </c>
      <c r="D221">
        <v>54</v>
      </c>
      <c r="E221" s="74"/>
      <c r="F221" s="71"/>
      <c r="I221" s="72">
        <v>44211</v>
      </c>
      <c r="J221" s="73">
        <v>263347.8786</v>
      </c>
      <c r="K221" s="78">
        <f t="shared" si="7"/>
        <v>4.9182541532628847E-2</v>
      </c>
      <c r="L221">
        <v>54</v>
      </c>
      <c r="M221" s="74"/>
      <c r="N221" s="71"/>
    </row>
    <row r="222" spans="1:14">
      <c r="A222" s="72">
        <v>44214</v>
      </c>
      <c r="B222" s="73">
        <v>2596343.9700000002</v>
      </c>
      <c r="C222" s="78">
        <f t="shared" si="6"/>
        <v>9.3674353725246934E-2</v>
      </c>
      <c r="D222">
        <v>53</v>
      </c>
      <c r="E222" s="74"/>
      <c r="F222" s="71"/>
      <c r="I222" s="72">
        <v>44214</v>
      </c>
      <c r="J222" s="73">
        <v>263347.8786</v>
      </c>
      <c r="K222" s="78">
        <f t="shared" si="7"/>
        <v>4.9182541532628847E-2</v>
      </c>
      <c r="L222">
        <v>53</v>
      </c>
      <c r="M222" s="74"/>
      <c r="N222" s="71"/>
    </row>
    <row r="223" spans="1:14">
      <c r="A223" s="72">
        <v>44215</v>
      </c>
      <c r="B223" s="73">
        <v>2596324.19</v>
      </c>
      <c r="C223" s="78">
        <f t="shared" si="6"/>
        <v>9.380318683243602E-2</v>
      </c>
      <c r="D223">
        <v>52</v>
      </c>
      <c r="E223" s="74"/>
      <c r="F223" s="71"/>
      <c r="I223" s="72">
        <v>44215</v>
      </c>
      <c r="J223" s="73">
        <v>263347.8786</v>
      </c>
      <c r="K223" s="78">
        <f t="shared" si="7"/>
        <v>4.9182541532628847E-2</v>
      </c>
      <c r="L223">
        <v>52</v>
      </c>
      <c r="M223" s="74"/>
      <c r="N223" s="71"/>
    </row>
    <row r="224" spans="1:14">
      <c r="A224" s="72">
        <v>44216</v>
      </c>
      <c r="B224" s="73">
        <v>2591278.71</v>
      </c>
      <c r="C224" s="78">
        <f t="shared" si="6"/>
        <v>9.1807926297417131E-2</v>
      </c>
      <c r="D224">
        <v>51</v>
      </c>
      <c r="E224" s="74"/>
      <c r="F224" s="71"/>
      <c r="I224" s="72">
        <v>44216</v>
      </c>
      <c r="J224" s="73">
        <v>263347.8786</v>
      </c>
      <c r="K224" s="78">
        <f t="shared" si="7"/>
        <v>4.9182541532628847E-2</v>
      </c>
      <c r="L224">
        <v>51</v>
      </c>
      <c r="M224" s="74"/>
      <c r="N224" s="71"/>
    </row>
    <row r="225" spans="1:14">
      <c r="A225" s="72">
        <v>44217</v>
      </c>
      <c r="B225" s="73">
        <v>2591229.33</v>
      </c>
      <c r="C225" s="78">
        <f t="shared" si="6"/>
        <v>9.4696721660387714E-2</v>
      </c>
      <c r="D225">
        <v>50</v>
      </c>
      <c r="E225" s="74"/>
      <c r="F225" s="71"/>
      <c r="I225" s="72">
        <v>44217</v>
      </c>
      <c r="J225" s="73">
        <v>263347.8786</v>
      </c>
      <c r="K225" s="78">
        <f t="shared" si="7"/>
        <v>4.9182541532628847E-2</v>
      </c>
      <c r="L225">
        <v>50</v>
      </c>
      <c r="M225" s="74"/>
      <c r="N225" s="71"/>
    </row>
    <row r="226" spans="1:14">
      <c r="A226" s="72">
        <v>44218</v>
      </c>
      <c r="B226" s="73">
        <v>2591212.14</v>
      </c>
      <c r="C226" s="78">
        <f t="shared" si="6"/>
        <v>9.4689459533324166E-2</v>
      </c>
      <c r="D226">
        <v>49</v>
      </c>
      <c r="E226" s="74"/>
      <c r="F226" s="71"/>
      <c r="I226" s="72">
        <v>44218</v>
      </c>
      <c r="J226" s="73">
        <v>263347.8786</v>
      </c>
      <c r="K226" s="78">
        <f t="shared" si="7"/>
        <v>4.9182541532628847E-2</v>
      </c>
      <c r="L226">
        <v>49</v>
      </c>
      <c r="M226" s="74"/>
      <c r="N226" s="71"/>
    </row>
    <row r="227" spans="1:14">
      <c r="A227" s="72">
        <v>44221</v>
      </c>
      <c r="B227" s="73">
        <v>2588589.6</v>
      </c>
      <c r="C227" s="78">
        <f t="shared" si="6"/>
        <v>9.3581535233770455E-2</v>
      </c>
      <c r="D227">
        <v>48</v>
      </c>
      <c r="E227" s="74"/>
      <c r="F227" s="71"/>
      <c r="I227" s="72">
        <v>44221</v>
      </c>
      <c r="J227" s="73">
        <v>263347.8786</v>
      </c>
      <c r="K227" s="78">
        <f t="shared" si="7"/>
        <v>4.9182541532628847E-2</v>
      </c>
      <c r="L227">
        <v>48</v>
      </c>
      <c r="M227" s="74"/>
      <c r="N227" s="71"/>
    </row>
    <row r="228" spans="1:14">
      <c r="A228" s="72">
        <v>44222</v>
      </c>
      <c r="B228" s="73">
        <v>2588398.59</v>
      </c>
      <c r="C228" s="78">
        <f t="shared" si="6"/>
        <v>9.6407390745447311E-2</v>
      </c>
      <c r="D228">
        <v>47</v>
      </c>
      <c r="E228" s="74"/>
      <c r="F228" s="71"/>
      <c r="I228" s="72">
        <v>44222</v>
      </c>
      <c r="J228" s="73">
        <v>263347.8786</v>
      </c>
      <c r="K228" s="78">
        <f t="shared" si="7"/>
        <v>5.0298119661873419E-2</v>
      </c>
      <c r="L228">
        <v>47</v>
      </c>
      <c r="M228" s="74"/>
      <c r="N228" s="71"/>
    </row>
    <row r="229" spans="1:14">
      <c r="A229" s="72">
        <v>44223</v>
      </c>
      <c r="B229" s="73">
        <v>2588366.92</v>
      </c>
      <c r="C229" s="78">
        <f t="shared" si="6"/>
        <v>9.6414795978908757E-2</v>
      </c>
      <c r="D229">
        <v>46</v>
      </c>
      <c r="E229" s="74"/>
      <c r="F229" s="71"/>
      <c r="I229" s="72">
        <v>44223</v>
      </c>
      <c r="J229" s="73">
        <v>263347.8786</v>
      </c>
      <c r="K229" s="78">
        <f t="shared" si="7"/>
        <v>5.0481214601701463E-2</v>
      </c>
      <c r="L229">
        <v>46</v>
      </c>
      <c r="M229" s="74"/>
      <c r="N229" s="71"/>
    </row>
    <row r="230" spans="1:14">
      <c r="A230" s="72">
        <v>44224</v>
      </c>
      <c r="B230" s="73">
        <v>2588360.4700000002</v>
      </c>
      <c r="C230" s="78">
        <f t="shared" si="6"/>
        <v>9.6452777490441621E-2</v>
      </c>
      <c r="D230">
        <v>45</v>
      </c>
      <c r="E230" s="74"/>
      <c r="F230" s="71"/>
      <c r="I230" s="72">
        <v>44224</v>
      </c>
      <c r="J230" s="73">
        <v>263347.8786</v>
      </c>
      <c r="K230" s="78">
        <f t="shared" si="7"/>
        <v>5.0481214601701463E-2</v>
      </c>
      <c r="L230">
        <v>45</v>
      </c>
      <c r="M230" s="74"/>
      <c r="N230" s="71"/>
    </row>
    <row r="231" spans="1:14">
      <c r="A231" s="72">
        <v>44225</v>
      </c>
      <c r="B231" s="73">
        <v>2588298.09</v>
      </c>
      <c r="C231" s="78">
        <f t="shared" si="6"/>
        <v>-0.16123974696415755</v>
      </c>
      <c r="D231">
        <v>44</v>
      </c>
      <c r="E231" s="74"/>
      <c r="F231" s="71"/>
      <c r="I231" s="72">
        <v>44225</v>
      </c>
      <c r="J231" s="73">
        <v>263347.8786</v>
      </c>
      <c r="K231" s="78">
        <f t="shared" si="7"/>
        <v>0</v>
      </c>
      <c r="L231">
        <v>44</v>
      </c>
      <c r="M231" s="74"/>
      <c r="N231" s="71"/>
    </row>
    <row r="232" spans="1:14">
      <c r="A232" s="72">
        <v>44228</v>
      </c>
      <c r="B232" s="73">
        <v>2602822.44</v>
      </c>
      <c r="C232" s="78">
        <f t="shared" si="6"/>
        <v>-0.15653300645067164</v>
      </c>
      <c r="D232">
        <v>43</v>
      </c>
      <c r="E232" s="74"/>
      <c r="F232" s="71"/>
      <c r="I232" s="72">
        <v>44228</v>
      </c>
      <c r="J232" s="73">
        <v>274140.95020000002</v>
      </c>
      <c r="K232" s="78">
        <f t="shared" si="7"/>
        <v>4.0984084084435171E-2</v>
      </c>
      <c r="L232">
        <v>43</v>
      </c>
      <c r="M232" s="74"/>
      <c r="N232" s="71"/>
    </row>
    <row r="233" spans="1:14">
      <c r="A233" s="72">
        <v>44229</v>
      </c>
      <c r="B233" s="76">
        <v>2602816.9700000002</v>
      </c>
      <c r="C233" s="78">
        <f t="shared" si="6"/>
        <v>-9.2548419702795759E-2</v>
      </c>
      <c r="D233">
        <v>42</v>
      </c>
      <c r="E233" s="74"/>
      <c r="F233" s="71"/>
      <c r="I233" s="72">
        <v>44229</v>
      </c>
      <c r="J233" s="76">
        <v>274140.95020000002</v>
      </c>
      <c r="K233" s="78">
        <f t="shared" si="7"/>
        <v>4.0984084084435171E-2</v>
      </c>
      <c r="L233">
        <v>42</v>
      </c>
      <c r="M233" s="74"/>
      <c r="N233" s="71"/>
    </row>
    <row r="234" spans="1:14">
      <c r="A234" s="72">
        <v>44230</v>
      </c>
      <c r="B234" s="76">
        <v>2602727.31</v>
      </c>
      <c r="C234" s="78">
        <f t="shared" si="6"/>
        <v>-9.0994904735365603E-2</v>
      </c>
      <c r="D234">
        <v>41</v>
      </c>
      <c r="E234" s="74"/>
      <c r="F234" s="71"/>
      <c r="I234" s="72">
        <v>44230</v>
      </c>
      <c r="J234" s="76">
        <v>274140.95020000002</v>
      </c>
      <c r="K234" s="78">
        <f t="shared" si="7"/>
        <v>4.0984084084435171E-2</v>
      </c>
      <c r="L234">
        <v>41</v>
      </c>
      <c r="M234" s="74"/>
      <c r="N234" s="71"/>
    </row>
    <row r="235" spans="1:14">
      <c r="A235" s="72">
        <v>44231</v>
      </c>
      <c r="B235" s="76">
        <v>2601538.08</v>
      </c>
      <c r="C235" s="78">
        <f t="shared" si="6"/>
        <v>-8.6266101962211877E-2</v>
      </c>
      <c r="D235">
        <v>40</v>
      </c>
      <c r="E235" s="74"/>
      <c r="F235" s="71"/>
      <c r="I235" s="72">
        <v>44231</v>
      </c>
      <c r="J235" s="76">
        <v>272149.9228</v>
      </c>
      <c r="K235" s="78">
        <f t="shared" si="7"/>
        <v>3.3423638142798404E-2</v>
      </c>
      <c r="L235">
        <v>40</v>
      </c>
      <c r="M235" s="74"/>
      <c r="N235" s="71"/>
    </row>
    <row r="236" spans="1:14">
      <c r="A236" s="72">
        <v>44232</v>
      </c>
      <c r="B236" s="73">
        <v>2596431.1</v>
      </c>
      <c r="C236" s="78">
        <f t="shared" si="6"/>
        <v>-8.8050638195164566E-2</v>
      </c>
      <c r="D236">
        <v>39</v>
      </c>
      <c r="E236" s="74"/>
      <c r="F236" s="71"/>
      <c r="I236" s="72">
        <v>44232</v>
      </c>
      <c r="J236" s="73">
        <v>272149.9228</v>
      </c>
      <c r="K236" s="78">
        <f t="shared" si="7"/>
        <v>3.3423638142798404E-2</v>
      </c>
      <c r="L236">
        <v>39</v>
      </c>
      <c r="M236" s="74"/>
      <c r="N236" s="71"/>
    </row>
    <row r="237" spans="1:14">
      <c r="A237" s="72">
        <v>44235</v>
      </c>
      <c r="B237" s="73">
        <v>2596074.65</v>
      </c>
      <c r="C237" s="78">
        <f t="shared" si="6"/>
        <v>-7.8878673334470795E-2</v>
      </c>
      <c r="D237">
        <v>38</v>
      </c>
      <c r="E237" s="74"/>
      <c r="F237" s="71"/>
      <c r="I237" s="72">
        <v>44235</v>
      </c>
      <c r="J237" s="73">
        <v>272149.9228</v>
      </c>
      <c r="K237" s="78">
        <f t="shared" si="7"/>
        <v>3.3423638142798404E-2</v>
      </c>
      <c r="L237">
        <v>38</v>
      </c>
      <c r="M237" s="74"/>
      <c r="N237" s="71"/>
    </row>
    <row r="238" spans="1:14">
      <c r="A238" s="72">
        <v>44236</v>
      </c>
      <c r="B238" s="73">
        <v>2595822.52</v>
      </c>
      <c r="C238" s="78">
        <f t="shared" si="6"/>
        <v>-4.2398675846367702E-2</v>
      </c>
      <c r="D238">
        <v>37</v>
      </c>
      <c r="E238" s="74"/>
      <c r="F238" s="71"/>
      <c r="I238" s="72">
        <v>44236</v>
      </c>
      <c r="J238" s="73">
        <v>272149.9228</v>
      </c>
      <c r="K238" s="78">
        <f t="shared" si="7"/>
        <v>3.3423638142798404E-2</v>
      </c>
      <c r="L238">
        <v>37</v>
      </c>
      <c r="M238" s="74"/>
      <c r="N238" s="71"/>
    </row>
    <row r="239" spans="1:14">
      <c r="A239" s="72">
        <v>44237</v>
      </c>
      <c r="B239" s="73">
        <v>2587060.02</v>
      </c>
      <c r="C239" s="78">
        <f t="shared" si="6"/>
        <v>-4.0186357278306467E-2</v>
      </c>
      <c r="D239">
        <v>36</v>
      </c>
      <c r="E239" s="74"/>
      <c r="F239" s="71"/>
      <c r="I239" s="72">
        <v>44237</v>
      </c>
      <c r="J239" s="73">
        <v>272149.9228</v>
      </c>
      <c r="K239" s="78">
        <f t="shared" si="7"/>
        <v>3.3423638142798404E-2</v>
      </c>
      <c r="L239">
        <v>36</v>
      </c>
      <c r="M239" s="74"/>
      <c r="N239" s="71"/>
    </row>
    <row r="240" spans="1:14">
      <c r="A240" s="72">
        <v>44238</v>
      </c>
      <c r="B240" s="73">
        <v>2544470.42</v>
      </c>
      <c r="C240" s="78">
        <f t="shared" si="6"/>
        <v>-5.5962871057420698E-2</v>
      </c>
      <c r="D240">
        <v>35</v>
      </c>
      <c r="E240" s="74"/>
      <c r="F240" s="71"/>
      <c r="I240" s="72">
        <v>44238</v>
      </c>
      <c r="J240" s="73">
        <v>272149.9228</v>
      </c>
      <c r="K240" s="78">
        <f t="shared" si="7"/>
        <v>3.3423638142798404E-2</v>
      </c>
      <c r="L240">
        <v>35</v>
      </c>
      <c r="M240" s="74"/>
      <c r="N240" s="71"/>
    </row>
    <row r="241" spans="1:14">
      <c r="A241" s="72">
        <v>44239</v>
      </c>
      <c r="B241" s="73">
        <v>2544409.2000000002</v>
      </c>
      <c r="C241" s="78">
        <f t="shared" si="6"/>
        <v>-4.5134025429027683E-2</v>
      </c>
      <c r="D241">
        <v>34</v>
      </c>
      <c r="E241" s="74"/>
      <c r="F241" s="71"/>
      <c r="I241" s="72">
        <v>44239</v>
      </c>
      <c r="J241" s="73">
        <v>272149.9228</v>
      </c>
      <c r="K241" s="78">
        <f t="shared" si="7"/>
        <v>3.3423638142798404E-2</v>
      </c>
      <c r="L241">
        <v>34</v>
      </c>
      <c r="M241" s="74"/>
      <c r="N241" s="71"/>
    </row>
    <row r="242" spans="1:14">
      <c r="A242" s="72">
        <v>44242</v>
      </c>
      <c r="B242" s="73">
        <v>2544197.79</v>
      </c>
      <c r="C242" s="78">
        <f t="shared" si="6"/>
        <v>-4.5208271735478055E-2</v>
      </c>
      <c r="D242">
        <v>33</v>
      </c>
      <c r="E242" s="74"/>
      <c r="F242" s="71"/>
      <c r="I242" s="72">
        <v>44242</v>
      </c>
      <c r="J242" s="73">
        <v>272149.9228</v>
      </c>
      <c r="K242" s="78">
        <f t="shared" si="7"/>
        <v>3.3423638142798404E-2</v>
      </c>
      <c r="L242">
        <v>33</v>
      </c>
      <c r="M242" s="74"/>
      <c r="N242" s="71"/>
    </row>
    <row r="243" spans="1:14">
      <c r="A243" s="72">
        <v>44243</v>
      </c>
      <c r="B243" s="73">
        <v>2544188.0099999998</v>
      </c>
      <c r="C243" s="78">
        <f t="shared" si="6"/>
        <v>-2.008823199184984E-2</v>
      </c>
      <c r="D243">
        <v>32</v>
      </c>
      <c r="E243" s="74"/>
      <c r="F243" s="71"/>
      <c r="I243" s="72">
        <v>44243</v>
      </c>
      <c r="J243" s="73">
        <v>272149.9228</v>
      </c>
      <c r="K243" s="78">
        <f t="shared" si="7"/>
        <v>3.3423638142798404E-2</v>
      </c>
      <c r="L243">
        <v>32</v>
      </c>
      <c r="M243" s="74"/>
      <c r="N243" s="71"/>
    </row>
    <row r="244" spans="1:14">
      <c r="A244" s="72">
        <v>44244</v>
      </c>
      <c r="B244" s="73">
        <v>2544089.94</v>
      </c>
      <c r="C244" s="78">
        <f t="shared" si="6"/>
        <v>-2.0118539202918263E-2</v>
      </c>
      <c r="D244">
        <v>31</v>
      </c>
      <c r="E244" s="74"/>
      <c r="F244" s="71"/>
      <c r="I244" s="72">
        <v>44244</v>
      </c>
      <c r="J244" s="73">
        <v>272149.9228</v>
      </c>
      <c r="K244" s="78">
        <f t="shared" si="7"/>
        <v>3.3423638142798404E-2</v>
      </c>
      <c r="L244">
        <v>31</v>
      </c>
      <c r="M244" s="74"/>
      <c r="N244" s="71"/>
    </row>
    <row r="245" spans="1:14">
      <c r="A245" s="72">
        <v>44245</v>
      </c>
      <c r="B245" s="73">
        <v>2540588.12</v>
      </c>
      <c r="C245" s="78">
        <f t="shared" si="6"/>
        <v>-1.956199840811406E-2</v>
      </c>
      <c r="D245">
        <v>30</v>
      </c>
      <c r="E245" s="74"/>
      <c r="F245" s="71"/>
      <c r="I245" s="72">
        <v>44245</v>
      </c>
      <c r="J245" s="73">
        <v>272149.9228</v>
      </c>
      <c r="K245" s="78">
        <f t="shared" si="7"/>
        <v>3.3423638142798404E-2</v>
      </c>
      <c r="L245">
        <v>30</v>
      </c>
      <c r="M245" s="74"/>
      <c r="N245" s="71"/>
    </row>
    <row r="246" spans="1:14">
      <c r="A246" s="72">
        <v>44246</v>
      </c>
      <c r="B246" s="73">
        <v>2539205.73</v>
      </c>
      <c r="C246" s="78">
        <f t="shared" si="6"/>
        <v>-2.0076802696579577E-2</v>
      </c>
      <c r="D246">
        <v>29</v>
      </c>
      <c r="E246" s="74"/>
      <c r="F246" s="71"/>
      <c r="I246" s="72">
        <v>44246</v>
      </c>
      <c r="J246" s="73">
        <v>272149.9228</v>
      </c>
      <c r="K246" s="78">
        <f t="shared" si="7"/>
        <v>3.3423638142798404E-2</v>
      </c>
      <c r="L246">
        <v>29</v>
      </c>
      <c r="M246" s="74"/>
      <c r="N246" s="71"/>
    </row>
    <row r="247" spans="1:14">
      <c r="A247" s="72">
        <v>44249</v>
      </c>
      <c r="B247" s="73">
        <v>2464038.62</v>
      </c>
      <c r="C247" s="78">
        <f t="shared" si="6"/>
        <v>-4.9078775927624364E-2</v>
      </c>
      <c r="D247">
        <v>28</v>
      </c>
      <c r="E247" s="74"/>
      <c r="F247" s="71"/>
      <c r="I247" s="72">
        <v>44249</v>
      </c>
      <c r="J247" s="73">
        <v>272095.17700000003</v>
      </c>
      <c r="K247" s="78">
        <f t="shared" si="7"/>
        <v>3.321575418227056E-2</v>
      </c>
      <c r="L247">
        <v>28</v>
      </c>
      <c r="M247" s="74"/>
      <c r="N247" s="71"/>
    </row>
    <row r="248" spans="1:14">
      <c r="A248" s="72">
        <v>44250</v>
      </c>
      <c r="B248" s="73">
        <v>2463113.94</v>
      </c>
      <c r="C248" s="78">
        <f t="shared" si="6"/>
        <v>-4.8472596814883341E-2</v>
      </c>
      <c r="D248">
        <v>27</v>
      </c>
      <c r="E248" s="74"/>
      <c r="F248" s="71"/>
      <c r="I248" s="72">
        <v>44250</v>
      </c>
      <c r="J248" s="73">
        <v>272095.17700000003</v>
      </c>
      <c r="K248" s="78">
        <f t="shared" si="7"/>
        <v>3.321575418227056E-2</v>
      </c>
      <c r="L248">
        <v>27</v>
      </c>
      <c r="M248" s="74"/>
      <c r="N248" s="71"/>
    </row>
    <row r="249" spans="1:14">
      <c r="A249" s="72">
        <v>44251</v>
      </c>
      <c r="B249" s="73">
        <v>2463102.13</v>
      </c>
      <c r="C249" s="78">
        <f t="shared" si="6"/>
        <v>-4.8406941838119284E-2</v>
      </c>
      <c r="D249">
        <v>26</v>
      </c>
      <c r="E249" s="74"/>
      <c r="F249" s="71"/>
      <c r="I249" s="72">
        <v>44251</v>
      </c>
      <c r="J249" s="73">
        <v>272095.17700000003</v>
      </c>
      <c r="K249" s="78">
        <f t="shared" si="7"/>
        <v>3.321575418227056E-2</v>
      </c>
      <c r="L249">
        <v>26</v>
      </c>
      <c r="M249" s="74"/>
      <c r="N249" s="71"/>
    </row>
    <row r="250" spans="1:14">
      <c r="A250" s="72">
        <v>44252</v>
      </c>
      <c r="B250" s="73">
        <v>2461468.02</v>
      </c>
      <c r="C250" s="78">
        <f t="shared" si="6"/>
        <v>-4.9026627183135191E-2</v>
      </c>
      <c r="D250">
        <v>25</v>
      </c>
      <c r="E250" s="74"/>
      <c r="F250" s="71"/>
      <c r="I250" s="72">
        <v>44252</v>
      </c>
      <c r="J250" s="73">
        <v>271011.37070000003</v>
      </c>
      <c r="K250" s="78">
        <f t="shared" si="7"/>
        <v>2.9100261375714885E-2</v>
      </c>
      <c r="L250">
        <v>25</v>
      </c>
      <c r="M250" s="74"/>
      <c r="N250" s="71"/>
    </row>
    <row r="251" spans="1:14">
      <c r="A251" s="72">
        <v>44253</v>
      </c>
      <c r="B251" s="73">
        <v>2447993.84</v>
      </c>
      <c r="C251" s="78">
        <f t="shared" si="6"/>
        <v>-5.422993884619183E-2</v>
      </c>
      <c r="D251">
        <v>24</v>
      </c>
      <c r="E251" s="74"/>
      <c r="F251" s="71"/>
      <c r="I251" s="72">
        <v>44253</v>
      </c>
      <c r="J251" s="73">
        <v>271011.37070000003</v>
      </c>
      <c r="K251" s="78">
        <f t="shared" si="7"/>
        <v>2.9100261375714885E-2</v>
      </c>
      <c r="L251">
        <v>24</v>
      </c>
      <c r="M251" s="74"/>
      <c r="N251" s="71"/>
    </row>
    <row r="252" spans="1:14">
      <c r="A252" s="72">
        <v>44256</v>
      </c>
      <c r="B252" s="73">
        <v>2692604.74</v>
      </c>
      <c r="C252" s="78">
        <f t="shared" si="6"/>
        <v>4.0299318847003586E-2</v>
      </c>
      <c r="D252">
        <v>23</v>
      </c>
      <c r="E252" s="74"/>
      <c r="F252" s="71"/>
      <c r="I252" s="72">
        <v>44256</v>
      </c>
      <c r="J252" s="73">
        <v>276163.88870000001</v>
      </c>
      <c r="K252" s="78">
        <f t="shared" si="7"/>
        <v>4.8665704725369352E-2</v>
      </c>
      <c r="L252">
        <v>23</v>
      </c>
      <c r="M252" s="74"/>
      <c r="N252" s="71"/>
    </row>
    <row r="253" spans="1:14">
      <c r="A253" s="72">
        <v>44257</v>
      </c>
      <c r="B253" s="73">
        <v>2657368.65</v>
      </c>
      <c r="C253" s="78">
        <f t="shared" si="6"/>
        <v>2.0956562061913053E-2</v>
      </c>
      <c r="D253">
        <v>22</v>
      </c>
      <c r="E253" s="74"/>
      <c r="F253" s="71"/>
      <c r="I253" s="72">
        <v>44257</v>
      </c>
      <c r="J253" s="73">
        <v>276163.88870000001</v>
      </c>
      <c r="K253" s="78">
        <f t="shared" si="7"/>
        <v>7.3791912464159434E-3</v>
      </c>
      <c r="L253">
        <v>22</v>
      </c>
      <c r="M253" s="74"/>
      <c r="N253" s="71"/>
    </row>
    <row r="254" spans="1:14">
      <c r="A254" s="72">
        <v>44258</v>
      </c>
      <c r="B254" s="73">
        <v>2623349.31</v>
      </c>
      <c r="C254" s="78">
        <f t="shared" si="6"/>
        <v>7.8885070431978354E-3</v>
      </c>
      <c r="D254">
        <v>21</v>
      </c>
      <c r="E254" s="74"/>
      <c r="F254" s="71"/>
      <c r="I254" s="72">
        <v>44258</v>
      </c>
      <c r="J254" s="73">
        <v>276163.88870000001</v>
      </c>
      <c r="K254" s="78">
        <f t="shared" si="7"/>
        <v>7.3791912464159434E-3</v>
      </c>
      <c r="L254">
        <v>21</v>
      </c>
      <c r="M254" s="74"/>
      <c r="N254" s="71"/>
    </row>
    <row r="255" spans="1:14">
      <c r="A255" s="72">
        <v>44259</v>
      </c>
      <c r="B255" s="73">
        <v>2622903.09</v>
      </c>
      <c r="C255" s="78">
        <f t="shared" si="6"/>
        <v>7.7517840314972504E-3</v>
      </c>
      <c r="D255">
        <v>20</v>
      </c>
      <c r="E255" s="74"/>
      <c r="F255" s="71"/>
      <c r="I255" s="72">
        <v>44259</v>
      </c>
      <c r="J255" s="73">
        <v>276163.88870000001</v>
      </c>
      <c r="K255" s="78">
        <f t="shared" si="7"/>
        <v>7.3791912464159434E-3</v>
      </c>
      <c r="L255">
        <v>20</v>
      </c>
      <c r="M255" s="74"/>
      <c r="N255" s="71"/>
    </row>
    <row r="256" spans="1:14">
      <c r="A256" s="72">
        <v>44260</v>
      </c>
      <c r="B256" s="76">
        <v>2622757.16</v>
      </c>
      <c r="C256" s="78">
        <f t="shared" si="6"/>
        <v>8.1563595640314727E-3</v>
      </c>
      <c r="D256">
        <v>19</v>
      </c>
      <c r="E256" s="74"/>
      <c r="F256" s="71"/>
      <c r="I256" s="72">
        <v>44260</v>
      </c>
      <c r="J256" s="76">
        <v>276163.88870000001</v>
      </c>
      <c r="K256" s="78">
        <f t="shared" si="7"/>
        <v>1.4749098065884184E-2</v>
      </c>
      <c r="L256">
        <v>19</v>
      </c>
      <c r="M256" s="74"/>
      <c r="N256" s="71"/>
    </row>
    <row r="257" spans="1:14">
      <c r="A257" s="72">
        <v>44263</v>
      </c>
      <c r="B257" s="73">
        <v>2542564.16</v>
      </c>
      <c r="C257" s="78">
        <f t="shared" si="6"/>
        <v>-2.0746531652621147E-2</v>
      </c>
      <c r="D257">
        <v>18</v>
      </c>
      <c r="E257" s="74"/>
      <c r="F257" s="71"/>
      <c r="I257" s="72">
        <v>44263</v>
      </c>
      <c r="J257" s="73">
        <v>276163.88870000001</v>
      </c>
      <c r="K257" s="78">
        <f t="shared" si="7"/>
        <v>1.4749098065884184E-2</v>
      </c>
      <c r="L257">
        <v>18</v>
      </c>
      <c r="M257" s="74"/>
      <c r="N257" s="71"/>
    </row>
    <row r="258" spans="1:14">
      <c r="A258" s="72">
        <v>44264</v>
      </c>
      <c r="B258" s="73">
        <v>2542533.0499999998</v>
      </c>
      <c r="C258" s="78">
        <f t="shared" si="6"/>
        <v>-2.0624060251888402E-2</v>
      </c>
      <c r="D258">
        <v>17</v>
      </c>
      <c r="E258" s="74"/>
      <c r="F258" s="71"/>
      <c r="I258" s="72">
        <v>44264</v>
      </c>
      <c r="J258" s="73">
        <v>276163.88870000001</v>
      </c>
      <c r="K258" s="78">
        <f t="shared" si="7"/>
        <v>1.4749098065884184E-2</v>
      </c>
      <c r="L258">
        <v>17</v>
      </c>
      <c r="M258" s="74"/>
      <c r="N258" s="71"/>
    </row>
    <row r="259" spans="1:14">
      <c r="A259" s="72">
        <v>44265</v>
      </c>
      <c r="B259" s="73">
        <v>2542454.09</v>
      </c>
      <c r="C259" s="78">
        <f t="shared" si="6"/>
        <v>-2.0559352416743872E-2</v>
      </c>
      <c r="D259">
        <v>16</v>
      </c>
      <c r="E259" s="74"/>
      <c r="F259" s="71"/>
      <c r="I259" s="72">
        <v>44265</v>
      </c>
      <c r="J259" s="73">
        <v>276163.88870000001</v>
      </c>
      <c r="K259" s="78">
        <f t="shared" si="7"/>
        <v>1.4749098065884184E-2</v>
      </c>
      <c r="L259">
        <v>16</v>
      </c>
      <c r="M259" s="74"/>
      <c r="N259" s="71"/>
    </row>
    <row r="260" spans="1:14">
      <c r="A260" s="72">
        <v>44266</v>
      </c>
      <c r="B260" s="73">
        <v>2541771.6</v>
      </c>
      <c r="C260" s="78">
        <f t="shared" si="6"/>
        <v>-1.7505747701980229E-2</v>
      </c>
      <c r="D260">
        <v>15</v>
      </c>
      <c r="E260" s="74"/>
      <c r="F260" s="71"/>
      <c r="I260" s="72">
        <v>44266</v>
      </c>
      <c r="J260" s="73">
        <v>276163.88870000001</v>
      </c>
      <c r="K260" s="78">
        <f t="shared" si="7"/>
        <v>1.4749098065884184E-2</v>
      </c>
      <c r="L260">
        <v>15</v>
      </c>
      <c r="M260" s="74"/>
      <c r="N260" s="71"/>
    </row>
    <row r="261" spans="1:14">
      <c r="A261" s="72">
        <v>44267</v>
      </c>
      <c r="B261" s="73">
        <v>2541745.59</v>
      </c>
      <c r="C261" s="78">
        <f t="shared" si="6"/>
        <v>-1.07088295410409E-3</v>
      </c>
      <c r="D261">
        <v>14</v>
      </c>
      <c r="E261" s="74"/>
      <c r="F261" s="71"/>
      <c r="I261" s="72">
        <v>44267</v>
      </c>
      <c r="J261" s="73">
        <v>276163.88870000001</v>
      </c>
      <c r="K261" s="78">
        <f t="shared" si="7"/>
        <v>1.4749098065884184E-2</v>
      </c>
      <c r="L261">
        <v>14</v>
      </c>
      <c r="M261" s="74"/>
      <c r="N261" s="71"/>
    </row>
    <row r="262" spans="1:14">
      <c r="A262" s="72">
        <v>44270</v>
      </c>
      <c r="B262" s="73">
        <v>2510514.33</v>
      </c>
      <c r="C262" s="78">
        <f t="shared" si="6"/>
        <v>-1.3321312468136065E-2</v>
      </c>
      <c r="D262">
        <v>13</v>
      </c>
      <c r="E262" s="74"/>
      <c r="F262" s="71"/>
      <c r="I262" s="72">
        <v>44270</v>
      </c>
      <c r="J262" s="73">
        <v>276163.88870000001</v>
      </c>
      <c r="K262" s="78">
        <f t="shared" si="7"/>
        <v>1.4749098065884184E-2</v>
      </c>
      <c r="L262">
        <v>13</v>
      </c>
      <c r="M262" s="74"/>
      <c r="N262" s="71"/>
    </row>
    <row r="263" spans="1:14">
      <c r="A263" s="72">
        <v>44271</v>
      </c>
      <c r="B263" s="73">
        <v>2472352.17</v>
      </c>
      <c r="C263" s="78">
        <f t="shared" si="6"/>
        <v>-2.8239007313971495E-2</v>
      </c>
      <c r="D263">
        <v>12</v>
      </c>
      <c r="E263" s="74"/>
      <c r="F263" s="71"/>
      <c r="I263" s="72">
        <v>44271</v>
      </c>
      <c r="J263" s="73">
        <v>276163.88870000001</v>
      </c>
      <c r="K263" s="78">
        <f t="shared" si="7"/>
        <v>1.4749098065884184E-2</v>
      </c>
      <c r="L263">
        <v>12</v>
      </c>
      <c r="M263" s="74"/>
      <c r="N263" s="71"/>
    </row>
    <row r="264" spans="1:14">
      <c r="A264" s="72">
        <v>44272</v>
      </c>
      <c r="B264" s="73">
        <v>2447288.5499999998</v>
      </c>
      <c r="C264" s="78">
        <f t="shared" si="6"/>
        <v>-3.8086595652182156E-2</v>
      </c>
      <c r="D264">
        <v>11</v>
      </c>
      <c r="E264" s="74"/>
      <c r="F264" s="71"/>
      <c r="I264" s="72">
        <v>44272</v>
      </c>
      <c r="J264" s="73">
        <v>276163.88870000001</v>
      </c>
      <c r="K264" s="78">
        <f t="shared" si="7"/>
        <v>1.4749098065884184E-2</v>
      </c>
      <c r="L264">
        <v>11</v>
      </c>
      <c r="M264" s="74"/>
      <c r="N264" s="71"/>
    </row>
    <row r="265" spans="1:14">
      <c r="A265" s="72">
        <v>44273</v>
      </c>
      <c r="B265" s="73">
        <v>2447063.23</v>
      </c>
      <c r="C265" s="78">
        <f t="shared" si="6"/>
        <v>-3.8138081706340921E-2</v>
      </c>
      <c r="D265">
        <v>10</v>
      </c>
      <c r="E265" s="74"/>
      <c r="F265" s="71"/>
      <c r="I265" s="72">
        <v>44273</v>
      </c>
      <c r="J265" s="73">
        <v>276163.88870000001</v>
      </c>
      <c r="K265" s="78">
        <f t="shared" si="7"/>
        <v>1.4749098065884184E-2</v>
      </c>
      <c r="L265">
        <v>10</v>
      </c>
      <c r="M265" s="74"/>
      <c r="N265" s="71"/>
    </row>
    <row r="266" spans="1:14">
      <c r="A266" s="72">
        <v>44274</v>
      </c>
      <c r="B266" s="73">
        <v>2439268.1</v>
      </c>
      <c r="C266" s="78">
        <f t="shared" si="6"/>
        <v>-3.9880537581983191E-2</v>
      </c>
      <c r="D266">
        <v>9</v>
      </c>
      <c r="E266" s="74"/>
      <c r="F266" s="71"/>
      <c r="I266" s="72">
        <v>44274</v>
      </c>
      <c r="J266" s="73">
        <v>276163.88870000001</v>
      </c>
      <c r="K266" s="78">
        <f t="shared" si="7"/>
        <v>1.4749098065884184E-2</v>
      </c>
      <c r="L266">
        <v>9</v>
      </c>
      <c r="M266" s="74"/>
      <c r="N266" s="71"/>
    </row>
    <row r="267" spans="1:14">
      <c r="A267" s="72">
        <v>44277</v>
      </c>
      <c r="B267" s="73">
        <v>2439125.85</v>
      </c>
      <c r="C267" s="78">
        <f t="shared" si="6"/>
        <v>-3.9413852456925531E-2</v>
      </c>
      <c r="D267">
        <v>8</v>
      </c>
      <c r="E267" s="74"/>
      <c r="F267" s="71"/>
      <c r="I267" s="72">
        <v>44277</v>
      </c>
      <c r="J267" s="73">
        <v>276163.88870000001</v>
      </c>
      <c r="K267" s="78">
        <f t="shared" si="7"/>
        <v>1.4749098065884184E-2</v>
      </c>
      <c r="L267">
        <v>8</v>
      </c>
      <c r="M267" s="74"/>
      <c r="N267" s="71"/>
    </row>
    <row r="268" spans="1:14">
      <c r="A268" s="72">
        <v>44278</v>
      </c>
      <c r="B268" s="73">
        <v>2439093.7000000002</v>
      </c>
      <c r="C268" s="78">
        <f t="shared" si="6"/>
        <v>-1.0123591325853458E-2</v>
      </c>
      <c r="D268">
        <v>7</v>
      </c>
      <c r="E268" s="74"/>
      <c r="F268" s="71"/>
      <c r="I268" s="72">
        <v>44278</v>
      </c>
      <c r="J268" s="73">
        <v>276163.88870000001</v>
      </c>
      <c r="K268" s="78">
        <f t="shared" si="7"/>
        <v>1.495326651820802E-2</v>
      </c>
      <c r="L268">
        <v>7</v>
      </c>
      <c r="M268" s="74"/>
      <c r="N268" s="71"/>
    </row>
    <row r="269" spans="1:14">
      <c r="A269" s="72">
        <v>44279</v>
      </c>
      <c r="B269" s="73">
        <v>2439087.9500000002</v>
      </c>
      <c r="C269" s="78">
        <f t="shared" si="6"/>
        <v>-9.7543153038221839E-3</v>
      </c>
      <c r="D269">
        <v>6</v>
      </c>
      <c r="E269" s="74"/>
      <c r="F269" s="71"/>
      <c r="I269" s="72">
        <v>44279</v>
      </c>
      <c r="J269" s="73">
        <v>276163.88870000001</v>
      </c>
      <c r="K269" s="78">
        <f t="shared" si="7"/>
        <v>1.495326651820802E-2</v>
      </c>
      <c r="L269">
        <v>6</v>
      </c>
      <c r="M269" s="74"/>
      <c r="N269" s="71"/>
    </row>
    <row r="270" spans="1:14">
      <c r="A270" s="72">
        <v>44280</v>
      </c>
      <c r="B270" s="73">
        <v>2438573.35</v>
      </c>
      <c r="C270" s="78">
        <f t="shared" si="6"/>
        <v>-9.9584908401665808E-3</v>
      </c>
      <c r="D270">
        <v>5</v>
      </c>
      <c r="E270" s="74"/>
      <c r="F270" s="71"/>
      <c r="I270" s="72">
        <v>44280</v>
      </c>
      <c r="J270" s="73">
        <v>276163.88870000001</v>
      </c>
      <c r="K270" s="78">
        <f t="shared" si="7"/>
        <v>1.495326651820802E-2</v>
      </c>
      <c r="L270">
        <v>5</v>
      </c>
      <c r="M270" s="74"/>
      <c r="N270" s="71"/>
    </row>
    <row r="271" spans="1:14">
      <c r="A271" s="72">
        <v>44281</v>
      </c>
      <c r="B271" s="73">
        <v>2438549.16</v>
      </c>
      <c r="C271" s="78">
        <f t="shared" si="6"/>
        <v>-9.3110533282491602E-3</v>
      </c>
      <c r="D271">
        <v>4</v>
      </c>
      <c r="E271" s="74"/>
      <c r="F271" s="71"/>
      <c r="I271" s="72">
        <v>44281</v>
      </c>
      <c r="J271" s="73">
        <v>276163.88870000001</v>
      </c>
      <c r="K271" s="78">
        <f t="shared" si="7"/>
        <v>1.9012183830853489E-2</v>
      </c>
      <c r="L271">
        <v>4</v>
      </c>
      <c r="M271" s="74"/>
      <c r="N271" s="71"/>
    </row>
    <row r="272" spans="1:14">
      <c r="A272" s="72">
        <v>44284</v>
      </c>
      <c r="B272" s="73">
        <v>2438520.79</v>
      </c>
      <c r="C272" s="78">
        <f t="shared" si="6"/>
        <v>-3.8697197048501619E-3</v>
      </c>
      <c r="D272">
        <v>3</v>
      </c>
      <c r="E272" s="74"/>
      <c r="F272" s="71"/>
      <c r="I272" s="72">
        <v>44284</v>
      </c>
      <c r="J272" s="73">
        <v>276163.88870000001</v>
      </c>
      <c r="K272" s="78">
        <f t="shared" si="7"/>
        <v>1.9012183830853489E-2</v>
      </c>
      <c r="L272">
        <v>3</v>
      </c>
      <c r="M272" s="74"/>
      <c r="N272" s="71"/>
    </row>
    <row r="273" spans="1:15">
      <c r="A273" s="72">
        <v>44285</v>
      </c>
      <c r="B273" s="73">
        <v>2438050.9900000002</v>
      </c>
      <c r="C273" s="78">
        <f t="shared" si="6"/>
        <v>-9.4538105136069833E-2</v>
      </c>
      <c r="D273">
        <v>2</v>
      </c>
      <c r="F273" s="74"/>
      <c r="I273" s="72">
        <v>44285</v>
      </c>
      <c r="J273" s="73">
        <v>276163.88870000001</v>
      </c>
      <c r="K273" s="78">
        <f t="shared" si="7"/>
        <v>0</v>
      </c>
      <c r="L273">
        <v>2</v>
      </c>
      <c r="N273" s="74"/>
    </row>
    <row r="274" spans="1:15" ht="15">
      <c r="A274" s="72">
        <v>44286</v>
      </c>
      <c r="B274" s="73">
        <v>2678998.4700000002</v>
      </c>
      <c r="C274" s="78">
        <f>(B274-B253)/B253</f>
        <v>8.13956317276502E-3</v>
      </c>
      <c r="D274">
        <v>1</v>
      </c>
      <c r="E274" s="81"/>
      <c r="F274" s="74"/>
      <c r="I274" s="72">
        <v>44286</v>
      </c>
      <c r="J274" s="73">
        <v>291701.71409999998</v>
      </c>
      <c r="K274" s="78">
        <f>(J274-J253)/J253</f>
        <v>5.6263059856022271E-2</v>
      </c>
      <c r="L274">
        <v>1</v>
      </c>
      <c r="M274" s="81"/>
      <c r="N274" s="74"/>
    </row>
    <row r="275" spans="1:15" ht="16.5">
      <c r="A275" s="82"/>
      <c r="C275" s="83"/>
      <c r="D275" s="80"/>
      <c r="E275" s="296" t="s">
        <v>300</v>
      </c>
      <c r="F275" s="71"/>
      <c r="I275" s="82"/>
      <c r="K275" s="83"/>
      <c r="L275" s="80"/>
      <c r="N275" s="296" t="s">
        <v>300</v>
      </c>
      <c r="O275" s="71"/>
    </row>
    <row r="276" spans="1:15" ht="16.5">
      <c r="A276" s="84"/>
      <c r="C276" s="83"/>
      <c r="E276" s="296" t="s">
        <v>301</v>
      </c>
      <c r="F276" s="71"/>
      <c r="I276" s="84"/>
      <c r="K276" s="83"/>
      <c r="N276" s="296" t="s">
        <v>301</v>
      </c>
      <c r="O276" s="71"/>
    </row>
    <row r="277" spans="1:15" ht="16.5">
      <c r="A277" s="84" t="s">
        <v>302</v>
      </c>
      <c r="B277" s="297">
        <v>1.645</v>
      </c>
      <c r="C277" s="83">
        <f>STDEV(C23:C274)</f>
        <v>7.2022593825901732E-2</v>
      </c>
      <c r="E277" s="296"/>
      <c r="F277" s="71"/>
      <c r="I277" s="84" t="s">
        <v>302</v>
      </c>
      <c r="J277" s="297">
        <v>1.645</v>
      </c>
      <c r="K277" s="83">
        <f>STDEV(K23:K274)</f>
        <v>0.23354924476151623</v>
      </c>
      <c r="M277" s="296"/>
      <c r="N277" s="71"/>
    </row>
    <row r="278" spans="1:15" ht="15">
      <c r="A278" s="82"/>
      <c r="C278" s="86"/>
      <c r="F278" s="71"/>
      <c r="G278" s="87"/>
      <c r="I278" s="82"/>
      <c r="K278" s="86"/>
      <c r="N278" s="71"/>
      <c r="O278" s="87"/>
    </row>
    <row r="279" spans="1:15">
      <c r="A279" s="110"/>
      <c r="B279" s="111"/>
      <c r="C279" s="112" t="s">
        <v>187</v>
      </c>
      <c r="D279" s="112" t="s">
        <v>188</v>
      </c>
      <c r="E279" s="112" t="s">
        <v>201</v>
      </c>
      <c r="F279" s="71"/>
      <c r="G279" s="87"/>
      <c r="I279" s="110"/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>
      <c r="A280" s="766" t="s">
        <v>189</v>
      </c>
      <c r="B280" s="778"/>
      <c r="C280" s="114">
        <f>$C$277*$B$277</f>
        <v>0.11847716684360834</v>
      </c>
      <c r="D280" s="115">
        <f>C280*$B$274</f>
        <v>317400.14870396152</v>
      </c>
      <c r="E280" s="763">
        <f>IF(D280&gt;$B$274,$B$274,D280)</f>
        <v>317400.14870396152</v>
      </c>
      <c r="F280" s="71"/>
      <c r="G280" s="87"/>
      <c r="I280" s="766" t="s">
        <v>189</v>
      </c>
      <c r="J280" s="113"/>
      <c r="K280" s="114">
        <f>$K$277*$J$277</f>
        <v>0.38418850763269419</v>
      </c>
      <c r="L280" s="115">
        <f>K280*$J$274</f>
        <v>112068.44621397782</v>
      </c>
      <c r="M280" s="763">
        <f>IF(L280&gt;$J$274,$J$274,L280)</f>
        <v>112068.44621397782</v>
      </c>
      <c r="N280" s="71"/>
      <c r="O280" s="87"/>
    </row>
    <row r="281" spans="1:15">
      <c r="A281" s="766" t="s">
        <v>202</v>
      </c>
      <c r="B281" s="778"/>
      <c r="C281" s="114">
        <f>$C$277*$B$277*SQRT(2)</f>
        <v>0.1675520161817709</v>
      </c>
      <c r="D281" s="115">
        <f>C281*$B$274</f>
        <v>448871.59499637951</v>
      </c>
      <c r="E281" s="763">
        <f>IF(SUM(D281+D280)&gt;$B$274,$B$274-E280,D281-D280)</f>
        <v>131471.446292418</v>
      </c>
      <c r="F281" s="71"/>
      <c r="G281" s="87"/>
      <c r="I281" s="766" t="s">
        <v>202</v>
      </c>
      <c r="J281" s="113"/>
      <c r="K281" s="114">
        <f>$K$277*$J$277*SQRT(2)</f>
        <v>0.54332459800203547</v>
      </c>
      <c r="L281" s="115">
        <f>K281*$J$274</f>
        <v>158488.71654988718</v>
      </c>
      <c r="M281" s="763">
        <f>IF(SUM(L281+L280)&gt;$J$274,$J$274-M280,L281-L280)</f>
        <v>46420.270335909358</v>
      </c>
      <c r="N281" s="71"/>
      <c r="O281" s="87"/>
    </row>
    <row r="282" spans="1:15">
      <c r="A282" s="766" t="s">
        <v>203</v>
      </c>
      <c r="B282" s="778"/>
      <c r="C282" s="114">
        <f>$C$277*$B$277*SQRT(3)</f>
        <v>0.20520847250994442</v>
      </c>
      <c r="D282" s="115">
        <f>C282*$B$274</f>
        <v>549753.18388517818</v>
      </c>
      <c r="E282" s="763">
        <f>IF(SUM(D282+D281)&gt;B274,0,D282-D281)</f>
        <v>100881.58888879867</v>
      </c>
      <c r="F282" s="71"/>
      <c r="G282" s="87"/>
      <c r="I282" s="766" t="s">
        <v>203</v>
      </c>
      <c r="J282" s="113"/>
      <c r="K282" s="114">
        <f>$K$277*$J$277*SQRT(3)</f>
        <v>0.66543401490388976</v>
      </c>
      <c r="L282" s="115">
        <f>K282*$J$274</f>
        <v>194108.24276790957</v>
      </c>
      <c r="M282" s="763">
        <f>IF(SUM(L282+L281)&gt;$J$274,0,L282-L281)</f>
        <v>0</v>
      </c>
      <c r="N282" s="71"/>
      <c r="O282" s="87"/>
    </row>
    <row r="283" spans="1:15">
      <c r="A283" s="766" t="s">
        <v>305</v>
      </c>
      <c r="B283" s="770"/>
      <c r="C283" s="117"/>
      <c r="D283" s="115"/>
      <c r="E283" s="763">
        <f>B274-SUM(E280:E282)</f>
        <v>2129245.2861148221</v>
      </c>
      <c r="F283" s="71"/>
      <c r="G283" s="87"/>
      <c r="I283" s="766" t="s">
        <v>305</v>
      </c>
      <c r="J283" s="116"/>
      <c r="K283" s="117"/>
      <c r="L283" s="115"/>
      <c r="M283" s="763">
        <f>J274-SUM(M280:M282)</f>
        <v>133212.99755011281</v>
      </c>
      <c r="N283" s="71"/>
      <c r="O283" s="87"/>
    </row>
    <row r="284" spans="1:15">
      <c r="A284" s="118"/>
      <c r="B284" s="118"/>
      <c r="C284" s="119"/>
      <c r="D284" s="120"/>
      <c r="E284" s="121">
        <f>SUM(E280:E283)</f>
        <v>2678998.4700000002</v>
      </c>
      <c r="F284" s="71"/>
      <c r="G284" s="87"/>
      <c r="I284" s="118"/>
      <c r="J284" s="118"/>
      <c r="K284" s="119"/>
      <c r="L284" s="120"/>
      <c r="M284" s="121">
        <f>SUM(M280:M283)</f>
        <v>291701.71409999998</v>
      </c>
      <c r="N284" s="71"/>
      <c r="O284" s="87"/>
    </row>
    <row r="285" spans="1:15">
      <c r="A285" s="82"/>
      <c r="B285" s="123"/>
      <c r="C285" s="119"/>
      <c r="D285" s="124"/>
      <c r="E285" s="124">
        <f>+B274-E284</f>
        <v>0</v>
      </c>
      <c r="F285" s="71"/>
      <c r="G285" s="87"/>
      <c r="I285" s="82"/>
      <c r="J285" s="123"/>
      <c r="K285" s="119"/>
      <c r="L285" s="124"/>
      <c r="M285" s="124">
        <f>+J274-M284</f>
        <v>0</v>
      </c>
      <c r="N285" s="71"/>
      <c r="O285" s="87"/>
    </row>
    <row r="286" spans="1:15" ht="15">
      <c r="A286" s="82"/>
      <c r="B286" s="118"/>
      <c r="C286" s="119"/>
      <c r="D286" s="557">
        <v>211701</v>
      </c>
      <c r="E286" s="80"/>
      <c r="F286" s="71"/>
      <c r="G286" s="87"/>
      <c r="I286" s="82"/>
      <c r="J286" s="118"/>
      <c r="K286" s="119"/>
      <c r="L286" s="557">
        <v>212701</v>
      </c>
      <c r="M286" s="80"/>
      <c r="N286" s="71"/>
      <c r="O286" s="87"/>
    </row>
    <row r="287" spans="1:15">
      <c r="A287" s="122"/>
      <c r="B287" s="123"/>
      <c r="C287" s="125"/>
      <c r="D287" s="123"/>
      <c r="E287" s="124"/>
      <c r="F287" s="71"/>
      <c r="G287" s="87"/>
      <c r="I287" s="122"/>
      <c r="J287" s="123"/>
      <c r="K287" s="125"/>
      <c r="L287" s="123"/>
      <c r="M287" s="124"/>
      <c r="N287" s="71"/>
      <c r="O287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87"/>
  <sheetViews>
    <sheetView showGridLines="0" topLeftCell="A241" zoomScale="80" zoomScaleNormal="80" workbookViewId="0">
      <selection activeCell="L288" sqref="L288"/>
    </sheetView>
  </sheetViews>
  <sheetFormatPr baseColWidth="10" defaultRowHeight="12.75"/>
  <cols>
    <col min="1" max="1" width="21" customWidth="1"/>
    <col min="2" max="2" width="21.5703125" customWidth="1"/>
    <col min="3" max="3" width="21" customWidth="1"/>
    <col min="4" max="4" width="25.28515625" customWidth="1"/>
    <col min="5" max="5" width="19.140625" customWidth="1"/>
    <col min="9" max="9" width="18.140625" customWidth="1"/>
    <col min="10" max="10" width="18.5703125" customWidth="1"/>
    <col min="11" max="11" width="17.140625" customWidth="1"/>
    <col min="12" max="12" width="23.42578125" customWidth="1"/>
    <col min="13" max="13" width="17.5703125" customWidth="1"/>
  </cols>
  <sheetData>
    <row r="1" spans="1:13" ht="15">
      <c r="A1" s="68" t="s">
        <v>181</v>
      </c>
      <c r="B1" s="69" t="s">
        <v>182</v>
      </c>
      <c r="C1" s="70" t="s">
        <v>183</v>
      </c>
      <c r="D1" s="560" t="s">
        <v>409</v>
      </c>
      <c r="I1" s="460" t="s">
        <v>181</v>
      </c>
      <c r="J1" s="458" t="s">
        <v>182</v>
      </c>
      <c r="K1" s="70" t="s">
        <v>183</v>
      </c>
      <c r="L1" s="560" t="s">
        <v>410</v>
      </c>
    </row>
    <row r="2" spans="1:13">
      <c r="A2" s="72">
        <v>43906</v>
      </c>
      <c r="B2" s="73">
        <v>368557.15</v>
      </c>
      <c r="C2" s="74"/>
      <c r="D2">
        <v>273</v>
      </c>
      <c r="E2" s="75"/>
      <c r="I2" s="459">
        <v>43906</v>
      </c>
      <c r="J2" s="73">
        <v>0</v>
      </c>
      <c r="K2" s="74"/>
      <c r="L2">
        <v>273</v>
      </c>
      <c r="M2" s="75"/>
    </row>
    <row r="3" spans="1:13">
      <c r="A3" s="72">
        <v>43907</v>
      </c>
      <c r="B3" s="73">
        <v>107204.51</v>
      </c>
      <c r="C3" s="74"/>
      <c r="D3">
        <v>272</v>
      </c>
      <c r="E3" s="74"/>
      <c r="I3" s="72">
        <v>43907</v>
      </c>
      <c r="J3" s="73">
        <v>0</v>
      </c>
      <c r="K3" s="74"/>
      <c r="L3">
        <v>272</v>
      </c>
      <c r="M3" s="74"/>
    </row>
    <row r="4" spans="1:13">
      <c r="A4" s="72">
        <v>43908</v>
      </c>
      <c r="B4" s="73">
        <v>68163.94</v>
      </c>
      <c r="C4" s="74"/>
      <c r="D4">
        <v>271</v>
      </c>
      <c r="E4" s="74"/>
      <c r="I4" s="72">
        <v>43908</v>
      </c>
      <c r="J4" s="73">
        <v>0</v>
      </c>
      <c r="K4" s="74"/>
      <c r="L4">
        <v>271</v>
      </c>
      <c r="M4" s="74"/>
    </row>
    <row r="5" spans="1:13">
      <c r="A5" s="72">
        <v>43909</v>
      </c>
      <c r="B5" s="73">
        <v>64989.33</v>
      </c>
      <c r="C5" s="74"/>
      <c r="D5">
        <v>270</v>
      </c>
      <c r="E5" s="74"/>
      <c r="I5" s="72">
        <v>43909</v>
      </c>
      <c r="J5" s="73">
        <v>0</v>
      </c>
      <c r="K5" s="74"/>
      <c r="L5">
        <v>270</v>
      </c>
      <c r="M5" s="74"/>
    </row>
    <row r="6" spans="1:13">
      <c r="A6" s="72">
        <v>43910</v>
      </c>
      <c r="B6" s="73">
        <v>115125.33</v>
      </c>
      <c r="C6" s="74"/>
      <c r="D6">
        <v>269</v>
      </c>
      <c r="E6" s="74"/>
      <c r="I6" s="72">
        <v>43910</v>
      </c>
      <c r="J6" s="73">
        <v>0</v>
      </c>
      <c r="K6" s="74"/>
      <c r="L6">
        <v>269</v>
      </c>
      <c r="M6" s="74"/>
    </row>
    <row r="7" spans="1:13">
      <c r="A7" s="72">
        <v>43913</v>
      </c>
      <c r="B7" s="73">
        <v>67748.52</v>
      </c>
      <c r="C7" s="74"/>
      <c r="D7">
        <v>268</v>
      </c>
      <c r="E7" s="74"/>
      <c r="I7" s="72">
        <v>43913</v>
      </c>
      <c r="J7" s="73">
        <v>0</v>
      </c>
      <c r="K7" s="74"/>
      <c r="L7">
        <v>268</v>
      </c>
      <c r="M7" s="74"/>
    </row>
    <row r="8" spans="1:13">
      <c r="A8" s="72">
        <v>43914</v>
      </c>
      <c r="B8" s="73">
        <v>69068.820000000007</v>
      </c>
      <c r="C8" s="74"/>
      <c r="D8">
        <v>267</v>
      </c>
      <c r="E8" s="74"/>
      <c r="I8" s="72">
        <v>43914</v>
      </c>
      <c r="J8" s="73">
        <v>0</v>
      </c>
      <c r="K8" s="74"/>
      <c r="L8">
        <v>267</v>
      </c>
      <c r="M8" s="74"/>
    </row>
    <row r="9" spans="1:13">
      <c r="A9" s="72">
        <v>43915</v>
      </c>
      <c r="B9" s="73">
        <v>65068.02</v>
      </c>
      <c r="C9" s="74"/>
      <c r="D9">
        <v>266</v>
      </c>
      <c r="E9" s="74"/>
      <c r="I9" s="72">
        <v>43915</v>
      </c>
      <c r="J9" s="73">
        <v>0</v>
      </c>
      <c r="K9" s="74"/>
      <c r="L9">
        <v>266</v>
      </c>
      <c r="M9" s="74"/>
    </row>
    <row r="10" spans="1:13">
      <c r="A10" s="72">
        <v>43916</v>
      </c>
      <c r="B10" s="73">
        <v>58235.83</v>
      </c>
      <c r="C10" s="74"/>
      <c r="D10">
        <v>265</v>
      </c>
      <c r="E10" s="74"/>
      <c r="I10" s="72">
        <v>43916</v>
      </c>
      <c r="J10" s="73">
        <v>0</v>
      </c>
      <c r="K10" s="74"/>
      <c r="L10">
        <v>265</v>
      </c>
      <c r="M10" s="74"/>
    </row>
    <row r="11" spans="1:13">
      <c r="A11" s="72">
        <v>43917</v>
      </c>
      <c r="B11" s="73">
        <v>73349.7</v>
      </c>
      <c r="C11" s="74"/>
      <c r="D11">
        <v>264</v>
      </c>
      <c r="E11" s="74"/>
      <c r="I11" s="72">
        <v>43917</v>
      </c>
      <c r="J11" s="73">
        <v>0</v>
      </c>
      <c r="K11" s="74"/>
      <c r="L11">
        <v>264</v>
      </c>
      <c r="M11" s="74"/>
    </row>
    <row r="12" spans="1:13">
      <c r="A12" s="72">
        <v>43920</v>
      </c>
      <c r="B12" s="73">
        <v>89074.2</v>
      </c>
      <c r="C12" s="74"/>
      <c r="D12">
        <v>263</v>
      </c>
      <c r="E12" s="74"/>
      <c r="I12" s="72">
        <v>43920</v>
      </c>
      <c r="J12" s="73">
        <v>0</v>
      </c>
      <c r="K12" s="74"/>
      <c r="L12">
        <v>263</v>
      </c>
      <c r="M12" s="74"/>
    </row>
    <row r="13" spans="1:13">
      <c r="A13" s="72">
        <v>43921</v>
      </c>
      <c r="B13" s="73">
        <v>121020.36</v>
      </c>
      <c r="C13" s="74"/>
      <c r="D13">
        <v>262</v>
      </c>
      <c r="E13" s="74"/>
      <c r="I13" s="72">
        <v>43921</v>
      </c>
      <c r="J13" s="73">
        <v>0</v>
      </c>
      <c r="K13" s="74"/>
      <c r="L13">
        <v>262</v>
      </c>
      <c r="M13" s="74"/>
    </row>
    <row r="14" spans="1:13">
      <c r="A14" s="72">
        <v>43922</v>
      </c>
      <c r="B14" s="73">
        <v>87710.58</v>
      </c>
      <c r="C14" s="74"/>
      <c r="D14">
        <v>261</v>
      </c>
      <c r="E14" s="74"/>
      <c r="I14" s="72">
        <v>43922</v>
      </c>
      <c r="J14" s="73">
        <v>0</v>
      </c>
      <c r="K14" s="74"/>
      <c r="L14">
        <v>261</v>
      </c>
      <c r="M14" s="74"/>
    </row>
    <row r="15" spans="1:13">
      <c r="A15" s="72">
        <v>43923</v>
      </c>
      <c r="B15" s="73">
        <v>185789.38</v>
      </c>
      <c r="C15" s="74"/>
      <c r="D15">
        <v>260</v>
      </c>
      <c r="E15" s="74"/>
      <c r="I15" s="72">
        <v>43923</v>
      </c>
      <c r="J15" s="73">
        <v>0</v>
      </c>
      <c r="K15" s="74"/>
      <c r="L15">
        <v>260</v>
      </c>
      <c r="M15" s="74"/>
    </row>
    <row r="16" spans="1:13">
      <c r="A16" s="72">
        <v>43924</v>
      </c>
      <c r="B16" s="73">
        <v>158622.88</v>
      </c>
      <c r="C16" s="74"/>
      <c r="D16">
        <v>259</v>
      </c>
      <c r="E16" s="74"/>
      <c r="I16" s="72">
        <v>43924</v>
      </c>
      <c r="J16" s="73">
        <v>0</v>
      </c>
      <c r="K16" s="74"/>
      <c r="L16">
        <v>259</v>
      </c>
      <c r="M16" s="74"/>
    </row>
    <row r="17" spans="1:13">
      <c r="A17" s="72">
        <v>43927</v>
      </c>
      <c r="B17" s="76">
        <v>109062.25</v>
      </c>
      <c r="C17" s="77"/>
      <c r="D17">
        <v>258</v>
      </c>
      <c r="E17" s="74"/>
      <c r="I17" s="72">
        <v>43927</v>
      </c>
      <c r="J17" s="76">
        <v>0</v>
      </c>
      <c r="K17" s="77"/>
      <c r="L17">
        <v>258</v>
      </c>
      <c r="M17" s="74"/>
    </row>
    <row r="18" spans="1:13">
      <c r="A18" s="72">
        <v>43928</v>
      </c>
      <c r="B18" s="73">
        <v>104102.85</v>
      </c>
      <c r="C18" s="74"/>
      <c r="D18">
        <v>257</v>
      </c>
      <c r="E18" s="74"/>
      <c r="I18" s="72">
        <v>43928</v>
      </c>
      <c r="J18" s="73">
        <v>0</v>
      </c>
      <c r="K18" s="74"/>
      <c r="L18">
        <v>257</v>
      </c>
      <c r="M18" s="74"/>
    </row>
    <row r="19" spans="1:13">
      <c r="A19" s="72">
        <v>43929</v>
      </c>
      <c r="B19" s="73">
        <v>102630.85</v>
      </c>
      <c r="C19" s="74"/>
      <c r="D19">
        <v>256</v>
      </c>
      <c r="E19" s="74"/>
      <c r="I19" s="72">
        <v>43929</v>
      </c>
      <c r="J19" s="73">
        <v>0</v>
      </c>
      <c r="K19" s="74"/>
      <c r="L19">
        <v>256</v>
      </c>
      <c r="M19" s="74"/>
    </row>
    <row r="20" spans="1:13">
      <c r="A20" s="72">
        <v>43930</v>
      </c>
      <c r="B20" s="73">
        <v>102630.85</v>
      </c>
      <c r="C20" s="74"/>
      <c r="D20">
        <v>255</v>
      </c>
      <c r="E20" s="74"/>
      <c r="I20" s="72">
        <v>43930</v>
      </c>
      <c r="J20" s="73">
        <v>0</v>
      </c>
      <c r="K20" s="74"/>
      <c r="L20">
        <v>255</v>
      </c>
      <c r="M20" s="74"/>
    </row>
    <row r="21" spans="1:13">
      <c r="A21" s="72">
        <v>43931</v>
      </c>
      <c r="B21" s="73">
        <v>102630.85</v>
      </c>
      <c r="C21" s="74"/>
      <c r="D21">
        <v>254</v>
      </c>
      <c r="E21" s="74"/>
      <c r="I21" s="72">
        <v>43931</v>
      </c>
      <c r="J21" s="73">
        <v>0</v>
      </c>
      <c r="K21" s="74"/>
      <c r="L21">
        <v>254</v>
      </c>
      <c r="M21" s="74"/>
    </row>
    <row r="22" spans="1:13">
      <c r="A22" s="72">
        <v>43934</v>
      </c>
      <c r="B22" s="73">
        <v>127870.9</v>
      </c>
      <c r="C22" s="74"/>
      <c r="D22">
        <v>253</v>
      </c>
      <c r="E22" s="74"/>
      <c r="I22" s="72">
        <v>43934</v>
      </c>
      <c r="J22" s="73">
        <v>0</v>
      </c>
      <c r="K22" s="74"/>
      <c r="L22">
        <v>253</v>
      </c>
      <c r="M22" s="74"/>
    </row>
    <row r="23" spans="1:13">
      <c r="A23" s="72">
        <v>43935</v>
      </c>
      <c r="B23" s="73">
        <v>137044.79</v>
      </c>
      <c r="C23" s="757">
        <f>IF(B2&lt;&gt;0,(B23-B2)/B2,0)</f>
        <v>-0.62815864513820996</v>
      </c>
      <c r="D23">
        <v>252</v>
      </c>
      <c r="E23" s="74"/>
      <c r="I23" s="72">
        <v>43935</v>
      </c>
      <c r="J23" s="73">
        <v>0</v>
      </c>
      <c r="K23" s="78">
        <f t="shared" ref="K23:K86" si="0">IF(J2&lt;&gt;0,(J23-J2)/J2,0)</f>
        <v>0</v>
      </c>
      <c r="L23">
        <v>252</v>
      </c>
      <c r="M23" s="74"/>
    </row>
    <row r="24" spans="1:13">
      <c r="A24" s="72">
        <v>43936</v>
      </c>
      <c r="B24" s="73">
        <v>135198.07</v>
      </c>
      <c r="C24" s="757">
        <f t="shared" ref="C24:C87" si="1">IF(B3&lt;&gt;0,(B24-B3)/B3,0)</f>
        <v>0.26112296954671044</v>
      </c>
      <c r="D24">
        <v>251</v>
      </c>
      <c r="E24" s="74"/>
      <c r="I24" s="72">
        <v>43936</v>
      </c>
      <c r="J24" s="73">
        <v>0</v>
      </c>
      <c r="K24" s="78">
        <f t="shared" si="0"/>
        <v>0</v>
      </c>
      <c r="L24">
        <v>251</v>
      </c>
      <c r="M24" s="74"/>
    </row>
    <row r="25" spans="1:13">
      <c r="A25" s="72">
        <v>43937</v>
      </c>
      <c r="B25" s="73">
        <v>130645.07</v>
      </c>
      <c r="C25" s="757">
        <f t="shared" si="1"/>
        <v>0.91663025934240305</v>
      </c>
      <c r="D25">
        <v>250</v>
      </c>
      <c r="E25" s="74"/>
      <c r="I25" s="72">
        <v>43937</v>
      </c>
      <c r="J25" s="73">
        <v>0</v>
      </c>
      <c r="K25" s="78">
        <f t="shared" si="0"/>
        <v>0</v>
      </c>
      <c r="L25">
        <v>250</v>
      </c>
      <c r="M25" s="74"/>
    </row>
    <row r="26" spans="1:13">
      <c r="A26" s="72">
        <v>43938</v>
      </c>
      <c r="B26" s="73">
        <v>137653.07</v>
      </c>
      <c r="C26" s="757">
        <f t="shared" si="1"/>
        <v>1.1180872306269354</v>
      </c>
      <c r="D26">
        <v>249</v>
      </c>
      <c r="E26" s="74"/>
      <c r="I26" s="72">
        <v>43938</v>
      </c>
      <c r="J26" s="73">
        <v>0</v>
      </c>
      <c r="K26" s="78">
        <f t="shared" si="0"/>
        <v>0</v>
      </c>
      <c r="L26">
        <v>249</v>
      </c>
      <c r="M26" s="74"/>
    </row>
    <row r="27" spans="1:13">
      <c r="A27" s="72">
        <v>43941</v>
      </c>
      <c r="B27" s="73">
        <v>123960.08</v>
      </c>
      <c r="C27" s="757">
        <f t="shared" si="1"/>
        <v>7.6740279484975193E-2</v>
      </c>
      <c r="D27">
        <v>248</v>
      </c>
      <c r="E27" s="74"/>
      <c r="I27" s="72">
        <v>43941</v>
      </c>
      <c r="J27" s="73">
        <v>0</v>
      </c>
      <c r="K27" s="78">
        <f t="shared" si="0"/>
        <v>0</v>
      </c>
      <c r="L27">
        <v>248</v>
      </c>
      <c r="M27" s="74"/>
    </row>
    <row r="28" spans="1:13">
      <c r="A28" s="72">
        <v>43942</v>
      </c>
      <c r="B28" s="73">
        <v>118595.28</v>
      </c>
      <c r="C28" s="757">
        <f t="shared" si="1"/>
        <v>0.75052207782546376</v>
      </c>
      <c r="D28">
        <v>247</v>
      </c>
      <c r="E28" s="74"/>
      <c r="I28" s="72">
        <v>43942</v>
      </c>
      <c r="J28" s="73">
        <v>0</v>
      </c>
      <c r="K28" s="78">
        <f t="shared" si="0"/>
        <v>0</v>
      </c>
      <c r="L28">
        <v>247</v>
      </c>
      <c r="M28" s="74"/>
    </row>
    <row r="29" spans="1:13">
      <c r="A29" s="72">
        <v>43943</v>
      </c>
      <c r="B29" s="73">
        <v>136074.29999999999</v>
      </c>
      <c r="C29" s="757">
        <f t="shared" si="1"/>
        <v>0.9701263174902941</v>
      </c>
      <c r="D29">
        <v>246</v>
      </c>
      <c r="E29" s="74"/>
      <c r="I29" s="72">
        <v>43943</v>
      </c>
      <c r="J29" s="73">
        <v>0</v>
      </c>
      <c r="K29" s="78">
        <f t="shared" si="0"/>
        <v>0</v>
      </c>
      <c r="L29">
        <v>246</v>
      </c>
      <c r="M29" s="74"/>
    </row>
    <row r="30" spans="1:13">
      <c r="A30" s="72">
        <v>43944</v>
      </c>
      <c r="B30" s="73">
        <v>185340.42</v>
      </c>
      <c r="C30" s="757">
        <f t="shared" si="1"/>
        <v>1.8484103250721327</v>
      </c>
      <c r="D30">
        <v>245</v>
      </c>
      <c r="E30" s="74"/>
      <c r="I30" s="72">
        <v>43944</v>
      </c>
      <c r="J30" s="73">
        <v>0</v>
      </c>
      <c r="K30" s="78">
        <f t="shared" si="0"/>
        <v>0</v>
      </c>
      <c r="L30">
        <v>245</v>
      </c>
      <c r="M30" s="74"/>
    </row>
    <row r="31" spans="1:13">
      <c r="A31" s="72">
        <v>43945</v>
      </c>
      <c r="B31" s="73">
        <v>175061.95</v>
      </c>
      <c r="C31" s="757">
        <f t="shared" si="1"/>
        <v>2.0060866308593868</v>
      </c>
      <c r="D31">
        <v>244</v>
      </c>
      <c r="E31" s="74"/>
      <c r="I31" s="72">
        <v>43945</v>
      </c>
      <c r="J31" s="73">
        <v>0</v>
      </c>
      <c r="K31" s="78">
        <f t="shared" si="0"/>
        <v>0</v>
      </c>
      <c r="L31">
        <v>244</v>
      </c>
      <c r="M31" s="74"/>
    </row>
    <row r="32" spans="1:13">
      <c r="A32" s="72">
        <v>43948</v>
      </c>
      <c r="B32" s="73">
        <v>139228.07999999999</v>
      </c>
      <c r="C32" s="757">
        <f t="shared" si="1"/>
        <v>0.89814109669160191</v>
      </c>
      <c r="D32">
        <v>243</v>
      </c>
      <c r="E32" s="74"/>
      <c r="I32" s="72">
        <v>43948</v>
      </c>
      <c r="J32" s="73">
        <v>0</v>
      </c>
      <c r="K32" s="78">
        <f t="shared" si="0"/>
        <v>0</v>
      </c>
      <c r="L32">
        <v>243</v>
      </c>
      <c r="M32" s="74"/>
    </row>
    <row r="33" spans="1:13">
      <c r="A33" s="72">
        <v>43949</v>
      </c>
      <c r="B33" s="73">
        <v>135554.07999999999</v>
      </c>
      <c r="C33" s="757">
        <f t="shared" si="1"/>
        <v>0.52181080492443366</v>
      </c>
      <c r="D33">
        <v>242</v>
      </c>
      <c r="E33" s="74"/>
      <c r="I33" s="72">
        <v>43949</v>
      </c>
      <c r="J33" s="73">
        <v>0</v>
      </c>
      <c r="K33" s="78">
        <f t="shared" si="0"/>
        <v>0</v>
      </c>
      <c r="L33">
        <v>242</v>
      </c>
      <c r="M33" s="74"/>
    </row>
    <row r="34" spans="1:13">
      <c r="A34" s="72">
        <v>43950</v>
      </c>
      <c r="B34" s="73">
        <v>118164.24</v>
      </c>
      <c r="C34" s="757">
        <f t="shared" si="1"/>
        <v>-2.3600326424413176E-2</v>
      </c>
      <c r="D34">
        <v>241</v>
      </c>
      <c r="E34" s="74"/>
      <c r="I34" s="72">
        <v>43950</v>
      </c>
      <c r="J34" s="73">
        <v>0</v>
      </c>
      <c r="K34" s="78">
        <f t="shared" si="0"/>
        <v>0</v>
      </c>
      <c r="L34">
        <v>241</v>
      </c>
      <c r="M34" s="74"/>
    </row>
    <row r="35" spans="1:13">
      <c r="A35" s="72">
        <v>43951</v>
      </c>
      <c r="B35" s="73">
        <v>143196.5</v>
      </c>
      <c r="C35" s="757">
        <f t="shared" si="1"/>
        <v>0.63260236108346335</v>
      </c>
      <c r="D35">
        <v>240</v>
      </c>
      <c r="E35" s="74"/>
      <c r="I35" s="72">
        <v>43951</v>
      </c>
      <c r="J35" s="73">
        <v>0</v>
      </c>
      <c r="K35" s="78">
        <f t="shared" si="0"/>
        <v>0</v>
      </c>
      <c r="L35">
        <v>240</v>
      </c>
      <c r="M35" s="74"/>
    </row>
    <row r="36" spans="1:13">
      <c r="A36" s="72">
        <v>43952</v>
      </c>
      <c r="B36" s="73">
        <v>143196.5</v>
      </c>
      <c r="C36" s="757">
        <f t="shared" si="1"/>
        <v>-0.22925357735732799</v>
      </c>
      <c r="D36">
        <v>239</v>
      </c>
      <c r="E36" s="74"/>
      <c r="I36" s="72">
        <v>43952</v>
      </c>
      <c r="J36" s="73">
        <v>0</v>
      </c>
      <c r="K36" s="78">
        <f t="shared" si="0"/>
        <v>0</v>
      </c>
      <c r="L36">
        <v>239</v>
      </c>
      <c r="M36" s="74"/>
    </row>
    <row r="37" spans="1:13">
      <c r="A37" s="72">
        <v>43955</v>
      </c>
      <c r="B37" s="73">
        <v>227206.15</v>
      </c>
      <c r="C37" s="757">
        <f t="shared" si="1"/>
        <v>0.43236681870862503</v>
      </c>
      <c r="D37">
        <v>238</v>
      </c>
      <c r="E37" s="74"/>
      <c r="I37" s="72">
        <v>43955</v>
      </c>
      <c r="J37" s="73">
        <v>0</v>
      </c>
      <c r="K37" s="78">
        <f t="shared" si="0"/>
        <v>0</v>
      </c>
      <c r="L37">
        <v>238</v>
      </c>
      <c r="M37" s="74"/>
    </row>
    <row r="38" spans="1:13">
      <c r="A38" s="72">
        <v>43956</v>
      </c>
      <c r="B38" s="76">
        <v>657960.54</v>
      </c>
      <c r="C38" s="757">
        <f t="shared" si="1"/>
        <v>5.032889840435165</v>
      </c>
      <c r="D38">
        <v>237</v>
      </c>
      <c r="E38" s="74"/>
      <c r="I38" s="72">
        <v>43956</v>
      </c>
      <c r="J38" s="76">
        <v>0</v>
      </c>
      <c r="K38" s="78">
        <f t="shared" si="0"/>
        <v>0</v>
      </c>
      <c r="L38">
        <v>237</v>
      </c>
      <c r="M38" s="74"/>
    </row>
    <row r="39" spans="1:13">
      <c r="A39" s="72">
        <v>43957</v>
      </c>
      <c r="B39" s="76">
        <v>158510.07999999999</v>
      </c>
      <c r="C39" s="757">
        <f t="shared" si="1"/>
        <v>0.52262959179311597</v>
      </c>
      <c r="D39">
        <v>236</v>
      </c>
      <c r="E39" s="74"/>
      <c r="I39" s="72">
        <v>43957</v>
      </c>
      <c r="J39" s="76">
        <v>0</v>
      </c>
      <c r="K39" s="78">
        <f t="shared" si="0"/>
        <v>0</v>
      </c>
      <c r="L39">
        <v>236</v>
      </c>
      <c r="M39" s="74"/>
    </row>
    <row r="40" spans="1:13">
      <c r="A40" s="72">
        <v>43958</v>
      </c>
      <c r="B40" s="76">
        <v>159415.95000000001</v>
      </c>
      <c r="C40" s="757">
        <f t="shared" si="1"/>
        <v>0.55329464775942128</v>
      </c>
      <c r="D40">
        <v>235</v>
      </c>
      <c r="E40" s="74"/>
      <c r="I40" s="72">
        <v>43958</v>
      </c>
      <c r="J40" s="76">
        <v>0</v>
      </c>
      <c r="K40" s="78">
        <f t="shared" si="0"/>
        <v>0</v>
      </c>
      <c r="L40">
        <v>235</v>
      </c>
      <c r="M40" s="74"/>
    </row>
    <row r="41" spans="1:13">
      <c r="A41" s="72">
        <v>43959</v>
      </c>
      <c r="B41" s="73">
        <v>176020.15</v>
      </c>
      <c r="C41" s="757">
        <f t="shared" si="1"/>
        <v>0.71508030967296854</v>
      </c>
      <c r="D41">
        <v>234</v>
      </c>
      <c r="E41" s="74"/>
      <c r="I41" s="72">
        <v>43959</v>
      </c>
      <c r="J41" s="73">
        <v>0</v>
      </c>
      <c r="K41" s="78">
        <f t="shared" si="0"/>
        <v>0</v>
      </c>
      <c r="L41">
        <v>234</v>
      </c>
      <c r="M41" s="74"/>
    </row>
    <row r="42" spans="1:13">
      <c r="A42" s="72">
        <v>43962</v>
      </c>
      <c r="B42" s="73">
        <v>181735.2</v>
      </c>
      <c r="C42" s="757">
        <f t="shared" si="1"/>
        <v>0.77076580774689096</v>
      </c>
      <c r="D42">
        <v>233</v>
      </c>
      <c r="E42" s="74"/>
      <c r="I42" s="72">
        <v>43962</v>
      </c>
      <c r="J42" s="73">
        <v>0</v>
      </c>
      <c r="K42" s="78">
        <f t="shared" si="0"/>
        <v>0</v>
      </c>
      <c r="L42">
        <v>233</v>
      </c>
      <c r="M42" s="74"/>
    </row>
    <row r="43" spans="1:13">
      <c r="A43" s="72">
        <v>43963</v>
      </c>
      <c r="B43" s="73">
        <v>188844.32</v>
      </c>
      <c r="C43" s="757">
        <f t="shared" si="1"/>
        <v>0.47683577733479637</v>
      </c>
      <c r="D43">
        <v>232</v>
      </c>
      <c r="E43" s="74"/>
      <c r="I43" s="72">
        <v>43963</v>
      </c>
      <c r="J43" s="73">
        <v>0</v>
      </c>
      <c r="K43" s="78">
        <f t="shared" si="0"/>
        <v>0</v>
      </c>
      <c r="L43">
        <v>232</v>
      </c>
      <c r="M43" s="74"/>
    </row>
    <row r="44" spans="1:13">
      <c r="A44" s="72">
        <v>43964</v>
      </c>
      <c r="B44" s="73">
        <v>173002.75</v>
      </c>
      <c r="C44" s="757">
        <f t="shared" si="1"/>
        <v>0.26238107993744225</v>
      </c>
      <c r="D44">
        <v>231</v>
      </c>
      <c r="E44" s="74"/>
      <c r="I44" s="72">
        <v>43964</v>
      </c>
      <c r="J44" s="73">
        <v>0</v>
      </c>
      <c r="K44" s="78">
        <f t="shared" si="0"/>
        <v>0</v>
      </c>
      <c r="L44">
        <v>231</v>
      </c>
      <c r="M44" s="74"/>
    </row>
    <row r="45" spans="1:13">
      <c r="A45" s="72">
        <v>43965</v>
      </c>
      <c r="B45" s="73">
        <v>299532.33</v>
      </c>
      <c r="C45" s="757">
        <f t="shared" si="1"/>
        <v>1.2155074403059156</v>
      </c>
      <c r="D45">
        <v>230</v>
      </c>
      <c r="E45" s="74"/>
      <c r="I45" s="72">
        <v>43965</v>
      </c>
      <c r="J45" s="73">
        <v>0</v>
      </c>
      <c r="K45" s="78">
        <f t="shared" si="0"/>
        <v>0</v>
      </c>
      <c r="L45">
        <v>230</v>
      </c>
      <c r="M45" s="74"/>
    </row>
    <row r="46" spans="1:13">
      <c r="A46" s="72">
        <v>43966</v>
      </c>
      <c r="B46" s="73">
        <v>154421.03</v>
      </c>
      <c r="C46" s="757">
        <f t="shared" si="1"/>
        <v>0.1819889567972216</v>
      </c>
      <c r="D46">
        <v>229</v>
      </c>
      <c r="E46" s="74"/>
      <c r="I46" s="72">
        <v>43966</v>
      </c>
      <c r="J46" s="73">
        <v>0</v>
      </c>
      <c r="K46" s="78">
        <f t="shared" si="0"/>
        <v>0</v>
      </c>
      <c r="L46">
        <v>229</v>
      </c>
      <c r="M46" s="74"/>
    </row>
    <row r="47" spans="1:13">
      <c r="A47" s="72">
        <v>43969</v>
      </c>
      <c r="B47" s="73">
        <v>185883.2</v>
      </c>
      <c r="C47" s="757">
        <f t="shared" si="1"/>
        <v>0.35037453214810249</v>
      </c>
      <c r="D47">
        <v>228</v>
      </c>
      <c r="E47" s="74"/>
      <c r="I47" s="72">
        <v>43969</v>
      </c>
      <c r="J47" s="73">
        <v>0</v>
      </c>
      <c r="K47" s="78">
        <f t="shared" si="0"/>
        <v>0</v>
      </c>
      <c r="L47">
        <v>228</v>
      </c>
      <c r="M47" s="74"/>
    </row>
    <row r="48" spans="1:13">
      <c r="A48" s="72">
        <v>43970</v>
      </c>
      <c r="B48" s="73">
        <v>178108.93</v>
      </c>
      <c r="C48" s="757">
        <f t="shared" si="1"/>
        <v>0.43682490363026538</v>
      </c>
      <c r="D48">
        <v>227</v>
      </c>
      <c r="E48" s="74"/>
      <c r="I48" s="72">
        <v>43970</v>
      </c>
      <c r="J48" s="73">
        <v>0</v>
      </c>
      <c r="K48" s="78">
        <f t="shared" si="0"/>
        <v>0</v>
      </c>
      <c r="L48">
        <v>227</v>
      </c>
      <c r="M48" s="74"/>
    </row>
    <row r="49" spans="1:13">
      <c r="A49" s="72">
        <v>43971</v>
      </c>
      <c r="B49" s="73">
        <v>162847.38</v>
      </c>
      <c r="C49" s="757">
        <f t="shared" si="1"/>
        <v>0.37313542326473709</v>
      </c>
      <c r="D49">
        <v>226</v>
      </c>
      <c r="E49" s="74"/>
      <c r="I49" s="72">
        <v>43971</v>
      </c>
      <c r="J49" s="73">
        <v>0</v>
      </c>
      <c r="K49" s="78">
        <f t="shared" si="0"/>
        <v>0</v>
      </c>
      <c r="L49">
        <v>226</v>
      </c>
      <c r="M49" s="74"/>
    </row>
    <row r="50" spans="1:13">
      <c r="A50" s="72">
        <v>43972</v>
      </c>
      <c r="B50" s="73">
        <v>192300.97</v>
      </c>
      <c r="C50" s="757">
        <f t="shared" si="1"/>
        <v>0.41320565308805568</v>
      </c>
      <c r="D50">
        <v>225</v>
      </c>
      <c r="E50" s="74"/>
      <c r="I50" s="72">
        <v>43972</v>
      </c>
      <c r="J50" s="73">
        <v>359.75510000000003</v>
      </c>
      <c r="K50" s="78">
        <f t="shared" si="0"/>
        <v>0</v>
      </c>
      <c r="L50">
        <v>225</v>
      </c>
      <c r="M50" s="74"/>
    </row>
    <row r="51" spans="1:13">
      <c r="A51" s="72">
        <v>43973</v>
      </c>
      <c r="B51" s="73">
        <v>116375.17</v>
      </c>
      <c r="C51" s="757">
        <f t="shared" si="1"/>
        <v>-0.37210043011664701</v>
      </c>
      <c r="D51">
        <v>224</v>
      </c>
      <c r="E51" s="74"/>
      <c r="I51" s="72">
        <v>43973</v>
      </c>
      <c r="J51" s="73">
        <v>0</v>
      </c>
      <c r="K51" s="78">
        <f t="shared" si="0"/>
        <v>0</v>
      </c>
      <c r="L51">
        <v>224</v>
      </c>
      <c r="M51" s="74"/>
    </row>
    <row r="52" spans="1:13">
      <c r="A52" s="72">
        <v>43976</v>
      </c>
      <c r="B52" s="73">
        <v>114492.19</v>
      </c>
      <c r="C52" s="757">
        <f t="shared" si="1"/>
        <v>-0.34599043367219434</v>
      </c>
      <c r="D52">
        <v>223</v>
      </c>
      <c r="E52" s="74"/>
      <c r="I52" s="72">
        <v>43976</v>
      </c>
      <c r="J52" s="73">
        <v>0</v>
      </c>
      <c r="K52" s="78">
        <f t="shared" si="0"/>
        <v>0</v>
      </c>
      <c r="L52">
        <v>223</v>
      </c>
      <c r="M52" s="74"/>
    </row>
    <row r="53" spans="1:13">
      <c r="A53" s="72">
        <v>43977</v>
      </c>
      <c r="B53" s="73">
        <v>175851.75</v>
      </c>
      <c r="C53" s="757">
        <f t="shared" si="1"/>
        <v>0.26304801445225717</v>
      </c>
      <c r="D53">
        <v>222</v>
      </c>
      <c r="E53" s="74"/>
      <c r="I53" s="72">
        <v>43977</v>
      </c>
      <c r="J53" s="73">
        <v>0</v>
      </c>
      <c r="K53" s="78">
        <f t="shared" si="0"/>
        <v>0</v>
      </c>
      <c r="L53">
        <v>222</v>
      </c>
      <c r="M53" s="74"/>
    </row>
    <row r="54" spans="1:13">
      <c r="A54" s="72">
        <v>43978</v>
      </c>
      <c r="B54" s="73">
        <v>114797.47</v>
      </c>
      <c r="C54" s="757">
        <f t="shared" si="1"/>
        <v>-0.1531241995814511</v>
      </c>
      <c r="D54">
        <v>221</v>
      </c>
      <c r="E54" s="74"/>
      <c r="I54" s="72">
        <v>43978</v>
      </c>
      <c r="J54" s="73">
        <v>310.2901</v>
      </c>
      <c r="K54" s="78">
        <f t="shared" si="0"/>
        <v>0</v>
      </c>
      <c r="L54">
        <v>221</v>
      </c>
      <c r="M54" s="74"/>
    </row>
    <row r="55" spans="1:13">
      <c r="A55" s="72">
        <v>43979</v>
      </c>
      <c r="B55" s="73">
        <v>122541.54</v>
      </c>
      <c r="C55" s="757">
        <f t="shared" si="1"/>
        <v>3.7044202205337148E-2</v>
      </c>
      <c r="D55">
        <v>220</v>
      </c>
      <c r="E55" s="74"/>
      <c r="I55" s="72">
        <v>43979</v>
      </c>
      <c r="J55" s="73">
        <v>0</v>
      </c>
      <c r="K55" s="78">
        <f t="shared" si="0"/>
        <v>0</v>
      </c>
      <c r="L55">
        <v>220</v>
      </c>
      <c r="M55" s="74"/>
    </row>
    <row r="56" spans="1:13">
      <c r="A56" s="72">
        <v>43980</v>
      </c>
      <c r="B56" s="73">
        <v>168938.88</v>
      </c>
      <c r="C56" s="757">
        <f t="shared" si="1"/>
        <v>0.17976961727416527</v>
      </c>
      <c r="D56">
        <v>219</v>
      </c>
      <c r="E56" s="74"/>
      <c r="I56" s="72">
        <v>43980</v>
      </c>
      <c r="J56" s="73">
        <v>0</v>
      </c>
      <c r="K56" s="78">
        <f t="shared" si="0"/>
        <v>0</v>
      </c>
      <c r="L56">
        <v>219</v>
      </c>
      <c r="M56" s="74"/>
    </row>
    <row r="57" spans="1:13">
      <c r="A57" s="72">
        <v>43983</v>
      </c>
      <c r="B57" s="73">
        <v>207307.22</v>
      </c>
      <c r="C57" s="757">
        <f t="shared" si="1"/>
        <v>0.44771150132859394</v>
      </c>
      <c r="D57">
        <v>218</v>
      </c>
      <c r="E57" s="74"/>
      <c r="I57" s="72">
        <v>43983</v>
      </c>
      <c r="J57" s="73">
        <v>0</v>
      </c>
      <c r="K57" s="78">
        <f t="shared" si="0"/>
        <v>0</v>
      </c>
      <c r="L57">
        <v>218</v>
      </c>
      <c r="M57" s="74"/>
    </row>
    <row r="58" spans="1:13">
      <c r="A58" s="72">
        <v>43984</v>
      </c>
      <c r="B58" s="73">
        <v>120806.92</v>
      </c>
      <c r="C58" s="757">
        <f t="shared" si="1"/>
        <v>-0.46829379398400967</v>
      </c>
      <c r="D58">
        <v>217</v>
      </c>
      <c r="E58" s="74"/>
      <c r="I58" s="72">
        <v>43984</v>
      </c>
      <c r="J58" s="73">
        <v>1050.7106000000001</v>
      </c>
      <c r="K58" s="78">
        <f t="shared" si="0"/>
        <v>0</v>
      </c>
      <c r="L58">
        <v>217</v>
      </c>
      <c r="M58" s="74"/>
    </row>
    <row r="59" spans="1:13">
      <c r="A59" s="72">
        <v>43985</v>
      </c>
      <c r="B59" s="73">
        <v>130031.81</v>
      </c>
      <c r="C59" s="757">
        <f t="shared" si="1"/>
        <v>-0.80237141576909754</v>
      </c>
      <c r="D59">
        <v>216</v>
      </c>
      <c r="E59" s="74"/>
      <c r="I59" s="72">
        <v>43985</v>
      </c>
      <c r="J59" s="73">
        <v>0</v>
      </c>
      <c r="K59" s="78">
        <f t="shared" si="0"/>
        <v>0</v>
      </c>
      <c r="L59">
        <v>216</v>
      </c>
      <c r="M59" s="74"/>
    </row>
    <row r="60" spans="1:13">
      <c r="A60" s="72">
        <v>43986</v>
      </c>
      <c r="B60" s="73">
        <v>173819.4</v>
      </c>
      <c r="C60" s="757">
        <f t="shared" si="1"/>
        <v>9.6582627426596512E-2</v>
      </c>
      <c r="D60">
        <v>215</v>
      </c>
      <c r="E60" s="74"/>
      <c r="I60" s="72">
        <v>43986</v>
      </c>
      <c r="J60" s="73">
        <v>0</v>
      </c>
      <c r="K60" s="78">
        <f t="shared" si="0"/>
        <v>0</v>
      </c>
      <c r="L60">
        <v>215</v>
      </c>
      <c r="M60" s="74"/>
    </row>
    <row r="61" spans="1:13">
      <c r="A61" s="72">
        <v>43987</v>
      </c>
      <c r="B61" s="76">
        <v>164703.81</v>
      </c>
      <c r="C61" s="757">
        <f t="shared" si="1"/>
        <v>3.3170206619851941E-2</v>
      </c>
      <c r="D61">
        <v>214</v>
      </c>
      <c r="E61" s="74"/>
      <c r="I61" s="72">
        <v>43987</v>
      </c>
      <c r="J61" s="76">
        <v>0</v>
      </c>
      <c r="K61" s="78">
        <f t="shared" si="0"/>
        <v>0</v>
      </c>
      <c r="L61">
        <v>214</v>
      </c>
      <c r="M61" s="74"/>
    </row>
    <row r="62" spans="1:13">
      <c r="A62" s="72">
        <v>43990</v>
      </c>
      <c r="B62" s="73">
        <v>280109.28999999998</v>
      </c>
      <c r="C62" s="757">
        <f t="shared" si="1"/>
        <v>0.59134786557107233</v>
      </c>
      <c r="D62">
        <v>213</v>
      </c>
      <c r="E62" s="74"/>
      <c r="I62" s="72">
        <v>43990</v>
      </c>
      <c r="J62" s="73">
        <v>0</v>
      </c>
      <c r="K62" s="78">
        <f t="shared" si="0"/>
        <v>0</v>
      </c>
      <c r="L62">
        <v>213</v>
      </c>
      <c r="M62" s="74"/>
    </row>
    <row r="63" spans="1:13">
      <c r="A63" s="72">
        <v>43991</v>
      </c>
      <c r="B63" s="73">
        <v>147622.21</v>
      </c>
      <c r="C63" s="757">
        <f t="shared" si="1"/>
        <v>-0.18770711452707026</v>
      </c>
      <c r="D63">
        <v>212</v>
      </c>
      <c r="E63" s="74"/>
      <c r="I63" s="72">
        <v>43991</v>
      </c>
      <c r="J63" s="73">
        <v>0</v>
      </c>
      <c r="K63" s="78">
        <f t="shared" si="0"/>
        <v>0</v>
      </c>
      <c r="L63">
        <v>212</v>
      </c>
      <c r="M63" s="74"/>
    </row>
    <row r="64" spans="1:13">
      <c r="A64" s="72">
        <v>43992</v>
      </c>
      <c r="B64" s="73">
        <v>178175.63</v>
      </c>
      <c r="C64" s="757">
        <f t="shared" si="1"/>
        <v>-5.6494630074126674E-2</v>
      </c>
      <c r="D64">
        <v>211</v>
      </c>
      <c r="E64" s="74"/>
      <c r="I64" s="72">
        <v>43992</v>
      </c>
      <c r="J64" s="73">
        <v>0</v>
      </c>
      <c r="K64" s="78">
        <f t="shared" si="0"/>
        <v>0</v>
      </c>
      <c r="L64">
        <v>211</v>
      </c>
      <c r="M64" s="74"/>
    </row>
    <row r="65" spans="1:13">
      <c r="A65" s="72">
        <v>43993</v>
      </c>
      <c r="B65" s="73">
        <v>265494.15000000002</v>
      </c>
      <c r="C65" s="757">
        <f t="shared" si="1"/>
        <v>0.53462387158585645</v>
      </c>
      <c r="D65">
        <v>210</v>
      </c>
      <c r="E65" s="74"/>
      <c r="I65" s="72">
        <v>43993</v>
      </c>
      <c r="J65" s="73">
        <v>0</v>
      </c>
      <c r="K65" s="78">
        <f t="shared" si="0"/>
        <v>0</v>
      </c>
      <c r="L65">
        <v>210</v>
      </c>
      <c r="M65" s="74"/>
    </row>
    <row r="66" spans="1:13">
      <c r="A66" s="72">
        <v>43994</v>
      </c>
      <c r="B66" s="73">
        <v>125071.24</v>
      </c>
      <c r="C66" s="757">
        <f t="shared" si="1"/>
        <v>-0.58244494008376335</v>
      </c>
      <c r="D66">
        <v>209</v>
      </c>
      <c r="E66" s="74"/>
      <c r="I66" s="72">
        <v>43994</v>
      </c>
      <c r="J66" s="73">
        <v>0</v>
      </c>
      <c r="K66" s="78">
        <f t="shared" si="0"/>
        <v>0</v>
      </c>
      <c r="L66">
        <v>209</v>
      </c>
      <c r="M66" s="74"/>
    </row>
    <row r="67" spans="1:13">
      <c r="A67" s="72">
        <v>43997</v>
      </c>
      <c r="B67" s="73">
        <v>201267.85</v>
      </c>
      <c r="C67" s="757">
        <f t="shared" si="1"/>
        <v>0.30337072612454408</v>
      </c>
      <c r="D67">
        <v>208</v>
      </c>
      <c r="E67" s="74"/>
      <c r="I67" s="72">
        <v>43997</v>
      </c>
      <c r="J67" s="73">
        <v>0</v>
      </c>
      <c r="K67" s="78">
        <f t="shared" si="0"/>
        <v>0</v>
      </c>
      <c r="L67">
        <v>208</v>
      </c>
      <c r="M67" s="74"/>
    </row>
    <row r="68" spans="1:13">
      <c r="A68" s="72">
        <v>43998</v>
      </c>
      <c r="B68" s="73">
        <v>156675.93</v>
      </c>
      <c r="C68" s="757">
        <f t="shared" si="1"/>
        <v>-0.15712700233264768</v>
      </c>
      <c r="D68">
        <v>207</v>
      </c>
      <c r="E68" s="74"/>
      <c r="I68" s="72">
        <v>43998</v>
      </c>
      <c r="J68" s="73">
        <v>0</v>
      </c>
      <c r="K68" s="78">
        <f t="shared" si="0"/>
        <v>0</v>
      </c>
      <c r="L68">
        <v>207</v>
      </c>
      <c r="M68" s="74"/>
    </row>
    <row r="69" spans="1:13">
      <c r="A69" s="72">
        <v>43999</v>
      </c>
      <c r="B69" s="73">
        <v>174510.82</v>
      </c>
      <c r="C69" s="757">
        <f t="shared" si="1"/>
        <v>-2.0201738340688398E-2</v>
      </c>
      <c r="D69">
        <v>206</v>
      </c>
      <c r="E69" s="74"/>
      <c r="I69" s="72">
        <v>43999</v>
      </c>
      <c r="J69" s="73">
        <v>0</v>
      </c>
      <c r="K69" s="78">
        <f t="shared" si="0"/>
        <v>0</v>
      </c>
      <c r="L69">
        <v>206</v>
      </c>
      <c r="M69" s="74"/>
    </row>
    <row r="70" spans="1:13">
      <c r="A70" s="72">
        <v>44000</v>
      </c>
      <c r="B70" s="73">
        <v>183739.07</v>
      </c>
      <c r="C70" s="757">
        <f t="shared" si="1"/>
        <v>0.12828999766529864</v>
      </c>
      <c r="D70">
        <v>205</v>
      </c>
      <c r="E70" s="74"/>
      <c r="I70" s="72">
        <v>44000</v>
      </c>
      <c r="J70" s="73">
        <v>0</v>
      </c>
      <c r="K70" s="78">
        <f t="shared" si="0"/>
        <v>0</v>
      </c>
      <c r="L70">
        <v>205</v>
      </c>
      <c r="M70" s="74"/>
    </row>
    <row r="71" spans="1:13">
      <c r="A71" s="72">
        <v>44001</v>
      </c>
      <c r="B71" s="73">
        <v>177024.58</v>
      </c>
      <c r="C71" s="757">
        <f t="shared" si="1"/>
        <v>-7.9440004904811526E-2</v>
      </c>
      <c r="D71">
        <v>204</v>
      </c>
      <c r="E71" s="74"/>
      <c r="I71" s="72">
        <v>44001</v>
      </c>
      <c r="J71" s="73">
        <v>0</v>
      </c>
      <c r="K71" s="78">
        <f t="shared" si="0"/>
        <v>-1</v>
      </c>
      <c r="L71">
        <v>204</v>
      </c>
      <c r="M71" s="74"/>
    </row>
    <row r="72" spans="1:13">
      <c r="A72" s="72">
        <v>44004</v>
      </c>
      <c r="B72" s="73">
        <v>149844.19</v>
      </c>
      <c r="C72" s="757">
        <f t="shared" si="1"/>
        <v>0.28759588492974925</v>
      </c>
      <c r="D72">
        <v>203</v>
      </c>
      <c r="E72" s="74"/>
      <c r="I72" s="72">
        <v>44004</v>
      </c>
      <c r="J72" s="73">
        <v>0</v>
      </c>
      <c r="K72" s="78">
        <f t="shared" si="0"/>
        <v>0</v>
      </c>
      <c r="L72">
        <v>203</v>
      </c>
      <c r="M72" s="74"/>
    </row>
    <row r="73" spans="1:13">
      <c r="A73" s="72">
        <v>44005</v>
      </c>
      <c r="B73" s="73">
        <v>228555.47</v>
      </c>
      <c r="C73" s="757">
        <f t="shared" si="1"/>
        <v>0.99625380560892407</v>
      </c>
      <c r="D73">
        <v>202</v>
      </c>
      <c r="E73" s="74"/>
      <c r="I73" s="72">
        <v>44005</v>
      </c>
      <c r="J73" s="73">
        <v>0</v>
      </c>
      <c r="K73" s="78">
        <f t="shared" si="0"/>
        <v>0</v>
      </c>
      <c r="L73">
        <v>202</v>
      </c>
      <c r="M73" s="74"/>
    </row>
    <row r="74" spans="1:13">
      <c r="A74" s="72">
        <v>44006</v>
      </c>
      <c r="B74" s="73">
        <v>143476.17000000001</v>
      </c>
      <c r="C74" s="757">
        <f t="shared" si="1"/>
        <v>-0.1841072380570565</v>
      </c>
      <c r="D74">
        <v>201</v>
      </c>
      <c r="E74" s="74"/>
      <c r="I74" s="72">
        <v>44006</v>
      </c>
      <c r="J74" s="73">
        <v>0</v>
      </c>
      <c r="K74" s="78">
        <f t="shared" si="0"/>
        <v>0</v>
      </c>
      <c r="L74">
        <v>201</v>
      </c>
      <c r="M74" s="74"/>
    </row>
    <row r="75" spans="1:13">
      <c r="A75" s="72">
        <v>44007</v>
      </c>
      <c r="B75" s="73">
        <v>349119.27</v>
      </c>
      <c r="C75" s="757">
        <f t="shared" si="1"/>
        <v>2.0411756461183335</v>
      </c>
      <c r="D75">
        <v>200</v>
      </c>
      <c r="E75" s="74"/>
      <c r="I75" s="72">
        <v>44007</v>
      </c>
      <c r="J75" s="73">
        <v>0</v>
      </c>
      <c r="K75" s="78">
        <f t="shared" si="0"/>
        <v>-1</v>
      </c>
      <c r="L75">
        <v>200</v>
      </c>
      <c r="M75" s="74"/>
    </row>
    <row r="76" spans="1:13">
      <c r="A76" s="72">
        <v>44008</v>
      </c>
      <c r="B76" s="73">
        <v>383674.96</v>
      </c>
      <c r="C76" s="757">
        <f t="shared" si="1"/>
        <v>2.130978768505766</v>
      </c>
      <c r="D76">
        <v>199</v>
      </c>
      <c r="E76" s="74"/>
      <c r="I76" s="72">
        <v>44008</v>
      </c>
      <c r="J76" s="73">
        <v>0</v>
      </c>
      <c r="K76" s="78">
        <f t="shared" si="0"/>
        <v>0</v>
      </c>
      <c r="L76">
        <v>199</v>
      </c>
      <c r="M76" s="74"/>
    </row>
    <row r="77" spans="1:13">
      <c r="A77" s="72">
        <v>44011</v>
      </c>
      <c r="B77" s="73">
        <v>929097.72</v>
      </c>
      <c r="C77" s="757">
        <f t="shared" si="1"/>
        <v>4.4996086158497084</v>
      </c>
      <c r="D77">
        <v>198</v>
      </c>
      <c r="E77" s="74"/>
      <c r="I77" s="72">
        <v>44011</v>
      </c>
      <c r="J77" s="73">
        <v>0</v>
      </c>
      <c r="K77" s="78">
        <f t="shared" si="0"/>
        <v>0</v>
      </c>
      <c r="L77">
        <v>198</v>
      </c>
      <c r="M77" s="74"/>
    </row>
    <row r="78" spans="1:13">
      <c r="A78" s="72">
        <v>44012</v>
      </c>
      <c r="B78" s="73">
        <v>507313.63</v>
      </c>
      <c r="C78" s="757">
        <f t="shared" si="1"/>
        <v>1.4471585215411216</v>
      </c>
      <c r="D78">
        <v>197</v>
      </c>
      <c r="E78" s="74"/>
      <c r="I78" s="72">
        <v>44012</v>
      </c>
      <c r="J78" s="73">
        <v>0</v>
      </c>
      <c r="K78" s="78">
        <f t="shared" si="0"/>
        <v>0</v>
      </c>
      <c r="L78">
        <v>197</v>
      </c>
      <c r="M78" s="74"/>
    </row>
    <row r="79" spans="1:13">
      <c r="A79" s="72">
        <v>44013</v>
      </c>
      <c r="B79" s="73">
        <v>359639.57</v>
      </c>
      <c r="C79" s="757">
        <f t="shared" si="1"/>
        <v>1.9769782227706825</v>
      </c>
      <c r="D79">
        <v>196</v>
      </c>
      <c r="E79" s="74"/>
      <c r="I79" s="72">
        <v>44013</v>
      </c>
      <c r="J79" s="73">
        <v>508.71969999999999</v>
      </c>
      <c r="K79" s="78">
        <f t="shared" si="0"/>
        <v>-0.51583271359401917</v>
      </c>
      <c r="L79">
        <v>196</v>
      </c>
      <c r="M79" s="74"/>
    </row>
    <row r="80" spans="1:13">
      <c r="A80" s="72">
        <v>44014</v>
      </c>
      <c r="B80" s="73">
        <v>276574.19</v>
      </c>
      <c r="C80" s="757">
        <f t="shared" si="1"/>
        <v>1.1269733152218677</v>
      </c>
      <c r="D80">
        <v>195</v>
      </c>
      <c r="E80" s="74"/>
      <c r="I80" s="72">
        <v>44014</v>
      </c>
      <c r="J80" s="73">
        <v>0</v>
      </c>
      <c r="K80" s="78">
        <f t="shared" si="0"/>
        <v>0</v>
      </c>
      <c r="L80">
        <v>195</v>
      </c>
      <c r="M80" s="74"/>
    </row>
    <row r="81" spans="1:13">
      <c r="A81" s="72">
        <v>44015</v>
      </c>
      <c r="B81" s="76">
        <v>145544.93</v>
      </c>
      <c r="C81" s="757">
        <f t="shared" si="1"/>
        <v>-0.16266578989456873</v>
      </c>
      <c r="D81">
        <v>194</v>
      </c>
      <c r="E81" s="74"/>
      <c r="I81" s="72">
        <v>44015</v>
      </c>
      <c r="J81" s="76">
        <v>3013.4681</v>
      </c>
      <c r="K81" s="78">
        <f t="shared" si="0"/>
        <v>0</v>
      </c>
      <c r="L81">
        <v>194</v>
      </c>
      <c r="M81" s="74"/>
    </row>
    <row r="82" spans="1:13">
      <c r="A82" s="72">
        <v>44018</v>
      </c>
      <c r="B82" s="73">
        <v>314159.14</v>
      </c>
      <c r="C82" s="757">
        <f t="shared" si="1"/>
        <v>0.90741877798698167</v>
      </c>
      <c r="D82">
        <v>193</v>
      </c>
      <c r="E82" s="74"/>
      <c r="I82" s="72">
        <v>44018</v>
      </c>
      <c r="J82" s="73">
        <v>226.95230000000001</v>
      </c>
      <c r="K82" s="78">
        <f t="shared" si="0"/>
        <v>0</v>
      </c>
      <c r="L82">
        <v>193</v>
      </c>
      <c r="M82" s="74"/>
    </row>
    <row r="83" spans="1:13">
      <c r="A83" s="72">
        <v>44019</v>
      </c>
      <c r="B83" s="73">
        <v>400884.86</v>
      </c>
      <c r="C83" s="757">
        <f t="shared" si="1"/>
        <v>0.43117302535735252</v>
      </c>
      <c r="D83">
        <v>192</v>
      </c>
      <c r="E83" s="74"/>
      <c r="I83" s="72">
        <v>44019</v>
      </c>
      <c r="J83" s="73">
        <v>0</v>
      </c>
      <c r="K83" s="78">
        <f t="shared" si="0"/>
        <v>0</v>
      </c>
      <c r="L83">
        <v>192</v>
      </c>
      <c r="M83" s="74"/>
    </row>
    <row r="84" spans="1:13">
      <c r="A84" s="72">
        <v>44020</v>
      </c>
      <c r="B84" s="73">
        <v>297690.87</v>
      </c>
      <c r="C84" s="757">
        <f t="shared" si="1"/>
        <v>1.0165723707835022</v>
      </c>
      <c r="D84">
        <v>191</v>
      </c>
      <c r="E84" s="74"/>
      <c r="I84" s="72">
        <v>44020</v>
      </c>
      <c r="J84" s="73">
        <v>0</v>
      </c>
      <c r="K84" s="78">
        <f t="shared" si="0"/>
        <v>0</v>
      </c>
      <c r="L84">
        <v>191</v>
      </c>
      <c r="M84" s="74"/>
    </row>
    <row r="85" spans="1:13">
      <c r="A85" s="72">
        <v>44021</v>
      </c>
      <c r="B85" s="73">
        <v>263968.33</v>
      </c>
      <c r="C85" s="757">
        <f t="shared" si="1"/>
        <v>0.48150636537667924</v>
      </c>
      <c r="D85">
        <v>190</v>
      </c>
      <c r="E85" s="74"/>
      <c r="I85" s="72">
        <v>44021</v>
      </c>
      <c r="J85" s="73">
        <v>14125.829100000001</v>
      </c>
      <c r="K85" s="78">
        <f t="shared" si="0"/>
        <v>0</v>
      </c>
      <c r="L85">
        <v>190</v>
      </c>
      <c r="M85" s="74"/>
    </row>
    <row r="86" spans="1:13">
      <c r="A86" s="72">
        <v>44022</v>
      </c>
      <c r="B86" s="73">
        <v>124621.6</v>
      </c>
      <c r="C86" s="757">
        <f t="shared" si="1"/>
        <v>-0.5306050999617129</v>
      </c>
      <c r="D86">
        <v>189</v>
      </c>
      <c r="E86" s="74"/>
      <c r="I86" s="72">
        <v>44022</v>
      </c>
      <c r="J86" s="73">
        <v>188.3417</v>
      </c>
      <c r="K86" s="78">
        <f t="shared" si="0"/>
        <v>0</v>
      </c>
      <c r="L86">
        <v>189</v>
      </c>
      <c r="M86" s="74"/>
    </row>
    <row r="87" spans="1:13">
      <c r="A87" s="72">
        <v>44025</v>
      </c>
      <c r="B87" s="73">
        <v>282055.21999999997</v>
      </c>
      <c r="C87" s="757">
        <f t="shared" si="1"/>
        <v>1.255156501206832</v>
      </c>
      <c r="D87">
        <v>188</v>
      </c>
      <c r="E87" s="74"/>
      <c r="I87" s="72">
        <v>44025</v>
      </c>
      <c r="J87" s="73">
        <v>0</v>
      </c>
      <c r="K87" s="78">
        <f t="shared" ref="K87:K150" si="2">IF(J66&lt;&gt;0,(J87-J66)/J66,0)</f>
        <v>0</v>
      </c>
      <c r="L87">
        <v>188</v>
      </c>
      <c r="M87" s="74"/>
    </row>
    <row r="88" spans="1:13">
      <c r="A88" s="72">
        <v>44026</v>
      </c>
      <c r="B88" s="73">
        <v>3487749.76</v>
      </c>
      <c r="C88" s="757">
        <f t="shared" ref="C88:C151" si="3">IF(B67&lt;&gt;0,(B88-B67)/B67,0)</f>
        <v>16.328896592277403</v>
      </c>
      <c r="D88">
        <v>187</v>
      </c>
      <c r="E88" s="74"/>
      <c r="I88" s="72">
        <v>44026</v>
      </c>
      <c r="J88" s="73">
        <v>201.52510000000001</v>
      </c>
      <c r="K88" s="78">
        <f t="shared" si="2"/>
        <v>0</v>
      </c>
      <c r="L88">
        <v>187</v>
      </c>
      <c r="M88" s="74"/>
    </row>
    <row r="89" spans="1:13">
      <c r="A89" s="72">
        <v>44027</v>
      </c>
      <c r="B89" s="73">
        <v>112450.12</v>
      </c>
      <c r="C89" s="757">
        <f t="shared" si="3"/>
        <v>-0.28227571395299839</v>
      </c>
      <c r="D89">
        <v>186</v>
      </c>
      <c r="E89" s="74"/>
      <c r="I89" s="72">
        <v>44027</v>
      </c>
      <c r="J89" s="73">
        <v>0</v>
      </c>
      <c r="K89" s="78">
        <f t="shared" si="2"/>
        <v>0</v>
      </c>
      <c r="L89">
        <v>186</v>
      </c>
      <c r="M89" s="74"/>
    </row>
    <row r="90" spans="1:13">
      <c r="A90" s="72">
        <v>44028</v>
      </c>
      <c r="B90" s="73">
        <v>243332.52</v>
      </c>
      <c r="C90" s="757">
        <f t="shared" si="3"/>
        <v>0.39436924312200228</v>
      </c>
      <c r="D90">
        <v>185</v>
      </c>
      <c r="E90" s="74"/>
      <c r="I90" s="72">
        <v>44028</v>
      </c>
      <c r="J90" s="73">
        <v>0</v>
      </c>
      <c r="K90" s="78">
        <f t="shared" si="2"/>
        <v>0</v>
      </c>
      <c r="L90">
        <v>185</v>
      </c>
      <c r="M90" s="74"/>
    </row>
    <row r="91" spans="1:13">
      <c r="A91" s="72">
        <v>44029</v>
      </c>
      <c r="B91" s="73">
        <v>107090.92</v>
      </c>
      <c r="C91" s="757">
        <f t="shared" si="3"/>
        <v>-0.41715760289850168</v>
      </c>
      <c r="D91">
        <v>184</v>
      </c>
      <c r="E91" s="74"/>
      <c r="I91" s="72">
        <v>44029</v>
      </c>
      <c r="J91" s="73">
        <v>376.68349999999998</v>
      </c>
      <c r="K91" s="78">
        <f t="shared" si="2"/>
        <v>0</v>
      </c>
      <c r="L91">
        <v>184</v>
      </c>
      <c r="M91" s="74"/>
    </row>
    <row r="92" spans="1:13">
      <c r="A92" s="72">
        <v>44032</v>
      </c>
      <c r="B92" s="73">
        <v>207295.28</v>
      </c>
      <c r="C92" s="757">
        <f t="shared" si="3"/>
        <v>0.17099715756986975</v>
      </c>
      <c r="D92">
        <v>183</v>
      </c>
      <c r="E92" s="74"/>
      <c r="I92" s="72">
        <v>44032</v>
      </c>
      <c r="J92" s="73">
        <v>0</v>
      </c>
      <c r="K92" s="78">
        <f t="shared" si="2"/>
        <v>0</v>
      </c>
      <c r="L92">
        <v>183</v>
      </c>
      <c r="M92" s="74"/>
    </row>
    <row r="93" spans="1:13">
      <c r="A93" s="72">
        <v>44033</v>
      </c>
      <c r="B93" s="73">
        <v>372426.55</v>
      </c>
      <c r="C93" s="757">
        <f t="shared" si="3"/>
        <v>1.4854253608364794</v>
      </c>
      <c r="D93">
        <v>182</v>
      </c>
      <c r="E93" s="74"/>
      <c r="I93" s="72">
        <v>44033</v>
      </c>
      <c r="J93" s="73">
        <v>0</v>
      </c>
      <c r="K93" s="78">
        <f t="shared" si="2"/>
        <v>0</v>
      </c>
      <c r="L93">
        <v>182</v>
      </c>
      <c r="M93" s="74"/>
    </row>
    <row r="94" spans="1:13">
      <c r="A94" s="72">
        <v>44034</v>
      </c>
      <c r="B94" s="73">
        <v>291261.68</v>
      </c>
      <c r="C94" s="757">
        <f t="shared" si="3"/>
        <v>0.27435882414015289</v>
      </c>
      <c r="D94">
        <v>181</v>
      </c>
      <c r="E94" s="74"/>
      <c r="I94" s="72">
        <v>44034</v>
      </c>
      <c r="J94" s="73">
        <v>0</v>
      </c>
      <c r="K94" s="78">
        <f t="shared" si="2"/>
        <v>0</v>
      </c>
      <c r="L94">
        <v>181</v>
      </c>
      <c r="M94" s="74"/>
    </row>
    <row r="95" spans="1:13">
      <c r="A95" s="72">
        <v>44035</v>
      </c>
      <c r="B95" s="73">
        <v>133984.9</v>
      </c>
      <c r="C95" s="757">
        <f t="shared" si="3"/>
        <v>-6.6152239776124624E-2</v>
      </c>
      <c r="D95">
        <v>180</v>
      </c>
      <c r="E95" s="74"/>
      <c r="I95" s="72">
        <v>44035</v>
      </c>
      <c r="J95" s="73">
        <v>0</v>
      </c>
      <c r="K95" s="78">
        <f t="shared" si="2"/>
        <v>0</v>
      </c>
      <c r="L95">
        <v>180</v>
      </c>
      <c r="M95" s="74"/>
    </row>
    <row r="96" spans="1:13">
      <c r="A96" s="72">
        <v>44036</v>
      </c>
      <c r="B96" s="73">
        <v>120796.42</v>
      </c>
      <c r="C96" s="757">
        <f t="shared" si="3"/>
        <v>-0.65399669860675413</v>
      </c>
      <c r="D96">
        <v>179</v>
      </c>
      <c r="E96" s="74"/>
      <c r="I96" s="72">
        <v>44036</v>
      </c>
      <c r="J96" s="73">
        <v>0</v>
      </c>
      <c r="K96" s="78">
        <f t="shared" si="2"/>
        <v>0</v>
      </c>
      <c r="L96">
        <v>179</v>
      </c>
      <c r="M96" s="74"/>
    </row>
    <row r="97" spans="1:13">
      <c r="A97" s="72">
        <v>44039</v>
      </c>
      <c r="B97" s="73">
        <v>243790.5</v>
      </c>
      <c r="C97" s="757">
        <f t="shared" si="3"/>
        <v>-0.36459105905686423</v>
      </c>
      <c r="D97">
        <v>178</v>
      </c>
      <c r="E97" s="74"/>
      <c r="I97" s="72">
        <v>44039</v>
      </c>
      <c r="J97" s="73">
        <v>0</v>
      </c>
      <c r="K97" s="78">
        <f t="shared" si="2"/>
        <v>0</v>
      </c>
      <c r="L97">
        <v>178</v>
      </c>
      <c r="M97" s="74"/>
    </row>
    <row r="98" spans="1:13">
      <c r="A98" s="72">
        <v>44040</v>
      </c>
      <c r="B98" s="73">
        <v>255938.24</v>
      </c>
      <c r="C98" s="757">
        <f t="shared" si="3"/>
        <v>-0.72453033250366816</v>
      </c>
      <c r="D98">
        <v>177</v>
      </c>
      <c r="E98" s="74"/>
      <c r="I98" s="72">
        <v>44040</v>
      </c>
      <c r="J98" s="73">
        <v>0</v>
      </c>
      <c r="K98" s="78">
        <f t="shared" si="2"/>
        <v>0</v>
      </c>
      <c r="L98">
        <v>177</v>
      </c>
      <c r="M98" s="74"/>
    </row>
    <row r="99" spans="1:13">
      <c r="A99" s="72">
        <v>44041</v>
      </c>
      <c r="B99" s="73">
        <v>271036.49</v>
      </c>
      <c r="C99" s="757">
        <f t="shared" si="3"/>
        <v>-0.46574175426747355</v>
      </c>
      <c r="D99">
        <v>176</v>
      </c>
      <c r="E99" s="74"/>
      <c r="I99" s="72">
        <v>44041</v>
      </c>
      <c r="J99" s="73">
        <v>0</v>
      </c>
      <c r="K99" s="78">
        <f t="shared" si="2"/>
        <v>0</v>
      </c>
      <c r="L99">
        <v>176</v>
      </c>
      <c r="M99" s="74"/>
    </row>
    <row r="100" spans="1:13">
      <c r="A100" s="72">
        <v>44042</v>
      </c>
      <c r="B100" s="73">
        <v>379641.66</v>
      </c>
      <c r="C100" s="757">
        <f t="shared" si="3"/>
        <v>5.561704458716811E-2</v>
      </c>
      <c r="D100">
        <v>175</v>
      </c>
      <c r="E100" s="74"/>
      <c r="I100" s="72">
        <v>44042</v>
      </c>
      <c r="J100" s="73">
        <v>0</v>
      </c>
      <c r="K100" s="78">
        <f t="shared" si="2"/>
        <v>-1</v>
      </c>
      <c r="L100">
        <v>175</v>
      </c>
      <c r="M100" s="74"/>
    </row>
    <row r="101" spans="1:13">
      <c r="A101" s="72">
        <v>44043</v>
      </c>
      <c r="B101" s="73">
        <v>145480.82999999999</v>
      </c>
      <c r="C101" s="757">
        <f t="shared" si="3"/>
        <v>-0.47398985422320145</v>
      </c>
      <c r="D101">
        <v>174</v>
      </c>
      <c r="E101" s="74"/>
      <c r="I101" s="72">
        <v>44043</v>
      </c>
      <c r="J101" s="73">
        <v>0</v>
      </c>
      <c r="K101" s="78">
        <f t="shared" si="2"/>
        <v>0</v>
      </c>
      <c r="L101">
        <v>174</v>
      </c>
      <c r="M101" s="74"/>
    </row>
    <row r="102" spans="1:13">
      <c r="A102" s="72">
        <v>44046</v>
      </c>
      <c r="B102" s="76">
        <v>126771.17</v>
      </c>
      <c r="C102" s="757">
        <f t="shared" si="3"/>
        <v>-0.12898944676396487</v>
      </c>
      <c r="D102">
        <v>173</v>
      </c>
      <c r="E102" s="74"/>
      <c r="I102" s="72">
        <v>44046</v>
      </c>
      <c r="J102" s="76">
        <v>0</v>
      </c>
      <c r="K102" s="78">
        <f t="shared" si="2"/>
        <v>-1</v>
      </c>
      <c r="L102">
        <v>173</v>
      </c>
      <c r="M102" s="74"/>
    </row>
    <row r="103" spans="1:13">
      <c r="A103" s="72">
        <v>44047</v>
      </c>
      <c r="B103" s="76">
        <v>165138.51999999999</v>
      </c>
      <c r="C103" s="757">
        <f t="shared" si="3"/>
        <v>-0.47434755519129579</v>
      </c>
      <c r="D103">
        <v>172</v>
      </c>
      <c r="E103" s="74"/>
      <c r="I103" s="72">
        <v>44047</v>
      </c>
      <c r="J103" s="76">
        <v>0</v>
      </c>
      <c r="K103" s="78">
        <f t="shared" si="2"/>
        <v>-1</v>
      </c>
      <c r="L103">
        <v>172</v>
      </c>
      <c r="M103" s="74"/>
    </row>
    <row r="104" spans="1:13">
      <c r="A104" s="72">
        <v>44048</v>
      </c>
      <c r="B104" s="76">
        <v>223202.73</v>
      </c>
      <c r="C104" s="757">
        <f t="shared" si="3"/>
        <v>-0.44322484515878197</v>
      </c>
      <c r="D104">
        <v>171</v>
      </c>
      <c r="E104" s="74"/>
      <c r="I104" s="72">
        <v>44048</v>
      </c>
      <c r="J104" s="76">
        <v>0</v>
      </c>
      <c r="K104" s="78">
        <f t="shared" si="2"/>
        <v>0</v>
      </c>
      <c r="L104">
        <v>171</v>
      </c>
      <c r="M104" s="74"/>
    </row>
    <row r="105" spans="1:13">
      <c r="A105" s="72">
        <v>44049</v>
      </c>
      <c r="B105" s="73">
        <v>152937.31</v>
      </c>
      <c r="C105" s="757">
        <f t="shared" si="3"/>
        <v>-0.48625461707979151</v>
      </c>
      <c r="D105">
        <v>170</v>
      </c>
      <c r="E105" s="74"/>
      <c r="I105" s="72">
        <v>44049</v>
      </c>
      <c r="J105" s="73">
        <v>0</v>
      </c>
      <c r="K105" s="78">
        <f t="shared" si="2"/>
        <v>0</v>
      </c>
      <c r="L105">
        <v>170</v>
      </c>
      <c r="M105" s="74"/>
    </row>
    <row r="106" spans="1:13">
      <c r="A106" s="72">
        <v>44050</v>
      </c>
      <c r="B106" s="73">
        <v>153548.13</v>
      </c>
      <c r="C106" s="757">
        <f t="shared" si="3"/>
        <v>-0.41830851451005507</v>
      </c>
      <c r="D106">
        <v>169</v>
      </c>
      <c r="E106" s="74"/>
      <c r="I106" s="72">
        <v>44050</v>
      </c>
      <c r="J106" s="73">
        <v>0</v>
      </c>
      <c r="K106" s="78">
        <f t="shared" si="2"/>
        <v>-1</v>
      </c>
      <c r="L106">
        <v>169</v>
      </c>
      <c r="M106" s="74"/>
    </row>
    <row r="107" spans="1:13">
      <c r="A107" s="72">
        <v>44053</v>
      </c>
      <c r="B107" s="73">
        <v>255372.21</v>
      </c>
      <c r="C107" s="757">
        <f t="shared" si="3"/>
        <v>1.0491809606039402</v>
      </c>
      <c r="D107">
        <v>168</v>
      </c>
      <c r="E107" s="74"/>
      <c r="I107" s="72">
        <v>44053</v>
      </c>
      <c r="J107" s="73">
        <v>0</v>
      </c>
      <c r="K107" s="78">
        <f t="shared" si="2"/>
        <v>-1</v>
      </c>
      <c r="L107">
        <v>168</v>
      </c>
      <c r="M107" s="74"/>
    </row>
    <row r="108" spans="1:13">
      <c r="A108" s="72">
        <v>44054</v>
      </c>
      <c r="B108" s="73">
        <v>220722.22</v>
      </c>
      <c r="C108" s="757">
        <f t="shared" si="3"/>
        <v>-0.21745032763442554</v>
      </c>
      <c r="D108">
        <v>167</v>
      </c>
      <c r="E108" s="74"/>
      <c r="I108" s="72">
        <v>44054</v>
      </c>
      <c r="J108" s="73">
        <v>0</v>
      </c>
      <c r="K108" s="78">
        <f t="shared" si="2"/>
        <v>0</v>
      </c>
      <c r="L108">
        <v>167</v>
      </c>
      <c r="M108" s="74"/>
    </row>
    <row r="109" spans="1:13">
      <c r="A109" s="72">
        <v>44055</v>
      </c>
      <c r="B109" s="73">
        <v>208935.69</v>
      </c>
      <c r="C109" s="757">
        <f t="shared" si="3"/>
        <v>-0.94009441491582246</v>
      </c>
      <c r="D109">
        <v>166</v>
      </c>
      <c r="E109" s="74"/>
      <c r="I109" s="72">
        <v>44055</v>
      </c>
      <c r="J109" s="73">
        <v>0</v>
      </c>
      <c r="K109" s="78">
        <f t="shared" si="2"/>
        <v>-1</v>
      </c>
      <c r="L109">
        <v>166</v>
      </c>
      <c r="M109" s="74"/>
    </row>
    <row r="110" spans="1:13">
      <c r="A110" s="72">
        <v>44056</v>
      </c>
      <c r="B110" s="73">
        <v>147779.65</v>
      </c>
      <c r="C110" s="757">
        <f t="shared" si="3"/>
        <v>0.31417956690486415</v>
      </c>
      <c r="D110">
        <v>165</v>
      </c>
      <c r="E110" s="74"/>
      <c r="I110" s="72">
        <v>44056</v>
      </c>
      <c r="J110" s="73">
        <v>0</v>
      </c>
      <c r="K110" s="78">
        <f t="shared" si="2"/>
        <v>0</v>
      </c>
      <c r="L110">
        <v>165</v>
      </c>
      <c r="M110" s="74"/>
    </row>
    <row r="111" spans="1:13">
      <c r="A111" s="72">
        <v>44057</v>
      </c>
      <c r="B111" s="73">
        <v>278971.62</v>
      </c>
      <c r="C111" s="757">
        <f t="shared" si="3"/>
        <v>0.14646254434055919</v>
      </c>
      <c r="D111">
        <v>164</v>
      </c>
      <c r="E111" s="74"/>
      <c r="I111" s="72">
        <v>44057</v>
      </c>
      <c r="J111" s="73">
        <v>0</v>
      </c>
      <c r="K111" s="78">
        <f t="shared" si="2"/>
        <v>0</v>
      </c>
      <c r="L111">
        <v>164</v>
      </c>
      <c r="M111" s="74"/>
    </row>
    <row r="112" spans="1:13">
      <c r="A112" s="72">
        <v>44060</v>
      </c>
      <c r="B112" s="73">
        <v>207127.73</v>
      </c>
      <c r="C112" s="757">
        <f t="shared" si="3"/>
        <v>0.9341297095962946</v>
      </c>
      <c r="D112">
        <v>163</v>
      </c>
      <c r="E112" s="74"/>
      <c r="I112" s="72">
        <v>44060</v>
      </c>
      <c r="J112" s="73">
        <v>0</v>
      </c>
      <c r="K112" s="78">
        <f t="shared" si="2"/>
        <v>-1</v>
      </c>
      <c r="L112">
        <v>163</v>
      </c>
      <c r="M112" s="74"/>
    </row>
    <row r="113" spans="1:13">
      <c r="A113" s="72">
        <v>44061</v>
      </c>
      <c r="B113" s="73">
        <v>313137.96000000002</v>
      </c>
      <c r="C113" s="757">
        <f t="shared" si="3"/>
        <v>0.51058895311075114</v>
      </c>
      <c r="D113">
        <v>162</v>
      </c>
      <c r="E113" s="74"/>
      <c r="I113" s="72">
        <v>44061</v>
      </c>
      <c r="J113" s="73">
        <v>0</v>
      </c>
      <c r="K113" s="78">
        <f t="shared" si="2"/>
        <v>0</v>
      </c>
      <c r="L113">
        <v>162</v>
      </c>
      <c r="M113" s="74"/>
    </row>
    <row r="114" spans="1:13">
      <c r="A114" s="72">
        <v>44062</v>
      </c>
      <c r="B114" s="73">
        <v>399208.76</v>
      </c>
      <c r="C114" s="757">
        <f t="shared" si="3"/>
        <v>7.1912730174580788E-2</v>
      </c>
      <c r="D114">
        <v>161</v>
      </c>
      <c r="E114" s="74"/>
      <c r="I114" s="72">
        <v>44062</v>
      </c>
      <c r="J114" s="73">
        <v>0</v>
      </c>
      <c r="K114" s="78">
        <f t="shared" si="2"/>
        <v>0</v>
      </c>
      <c r="L114">
        <v>161</v>
      </c>
      <c r="M114" s="74"/>
    </row>
    <row r="115" spans="1:13">
      <c r="A115" s="72">
        <v>44063</v>
      </c>
      <c r="B115" s="73">
        <v>223031.17</v>
      </c>
      <c r="C115" s="757">
        <f t="shared" si="3"/>
        <v>-0.23425845102589526</v>
      </c>
      <c r="D115">
        <v>160</v>
      </c>
      <c r="E115" s="74"/>
      <c r="I115" s="72">
        <v>44063</v>
      </c>
      <c r="J115" s="73">
        <v>0</v>
      </c>
      <c r="K115" s="78">
        <f t="shared" si="2"/>
        <v>0</v>
      </c>
      <c r="L115">
        <v>160</v>
      </c>
      <c r="M115" s="74"/>
    </row>
    <row r="116" spans="1:13">
      <c r="A116" s="72">
        <v>44064</v>
      </c>
      <c r="B116" s="73">
        <v>113593.78</v>
      </c>
      <c r="C116" s="757">
        <f t="shared" si="3"/>
        <v>-0.1521896870468239</v>
      </c>
      <c r="D116">
        <v>159</v>
      </c>
      <c r="E116" s="74"/>
      <c r="I116" s="72">
        <v>44064</v>
      </c>
      <c r="J116" s="73">
        <v>0</v>
      </c>
      <c r="K116" s="78">
        <f t="shared" si="2"/>
        <v>0</v>
      </c>
      <c r="L116">
        <v>159</v>
      </c>
      <c r="M116" s="74"/>
    </row>
    <row r="117" spans="1:13">
      <c r="A117" s="72">
        <v>44067</v>
      </c>
      <c r="B117" s="73">
        <v>172504.72</v>
      </c>
      <c r="C117" s="757">
        <f t="shared" si="3"/>
        <v>0.4280615269889621</v>
      </c>
      <c r="D117">
        <v>158</v>
      </c>
      <c r="E117" s="74"/>
      <c r="I117" s="72">
        <v>44067</v>
      </c>
      <c r="J117" s="73">
        <v>0</v>
      </c>
      <c r="K117" s="78">
        <f t="shared" si="2"/>
        <v>0</v>
      </c>
      <c r="L117">
        <v>158</v>
      </c>
      <c r="M117" s="74"/>
    </row>
    <row r="118" spans="1:13">
      <c r="A118" s="72">
        <v>44068</v>
      </c>
      <c r="B118" s="73">
        <v>203903.25</v>
      </c>
      <c r="C118" s="757">
        <f t="shared" si="3"/>
        <v>-0.16361281510149084</v>
      </c>
      <c r="D118">
        <v>157</v>
      </c>
      <c r="E118" s="74"/>
      <c r="I118" s="72">
        <v>44068</v>
      </c>
      <c r="J118" s="73">
        <v>0</v>
      </c>
      <c r="K118" s="78">
        <f t="shared" si="2"/>
        <v>0</v>
      </c>
      <c r="L118">
        <v>157</v>
      </c>
      <c r="M118" s="74"/>
    </row>
    <row r="119" spans="1:13">
      <c r="A119" s="72">
        <v>44069</v>
      </c>
      <c r="B119" s="73">
        <v>806103.96</v>
      </c>
      <c r="C119" s="757">
        <f t="shared" si="3"/>
        <v>2.1496034355788334</v>
      </c>
      <c r="D119">
        <v>156</v>
      </c>
      <c r="E119" s="74"/>
      <c r="I119" s="72">
        <v>44069</v>
      </c>
      <c r="J119" s="73">
        <v>0</v>
      </c>
      <c r="K119" s="78">
        <f t="shared" si="2"/>
        <v>0</v>
      </c>
      <c r="L119">
        <v>156</v>
      </c>
      <c r="M119" s="74"/>
    </row>
    <row r="120" spans="1:13">
      <c r="A120" s="72">
        <v>44070</v>
      </c>
      <c r="B120" s="73">
        <v>200101.84</v>
      </c>
      <c r="C120" s="757">
        <f t="shared" si="3"/>
        <v>-0.26171623606843492</v>
      </c>
      <c r="D120">
        <v>155</v>
      </c>
      <c r="E120" s="74"/>
      <c r="I120" s="72">
        <v>44070</v>
      </c>
      <c r="J120" s="73">
        <v>0</v>
      </c>
      <c r="K120" s="78">
        <f t="shared" si="2"/>
        <v>0</v>
      </c>
      <c r="L120">
        <v>155</v>
      </c>
      <c r="M120" s="74"/>
    </row>
    <row r="121" spans="1:13">
      <c r="A121" s="72">
        <v>44071</v>
      </c>
      <c r="B121" s="73">
        <v>223565.83</v>
      </c>
      <c r="C121" s="757">
        <f t="shared" si="3"/>
        <v>-0.41111354849728554</v>
      </c>
      <c r="D121">
        <v>154</v>
      </c>
      <c r="E121" s="74"/>
      <c r="I121" s="72">
        <v>44071</v>
      </c>
      <c r="J121" s="73">
        <v>4716.0366999999997</v>
      </c>
      <c r="K121" s="78">
        <f t="shared" si="2"/>
        <v>0</v>
      </c>
      <c r="L121">
        <v>154</v>
      </c>
      <c r="M121" s="74"/>
    </row>
    <row r="122" spans="1:13">
      <c r="A122" s="72">
        <v>44074</v>
      </c>
      <c r="B122" s="73">
        <v>204047.49</v>
      </c>
      <c r="C122" s="757">
        <f t="shared" si="3"/>
        <v>0.40257304003558414</v>
      </c>
      <c r="D122">
        <v>153</v>
      </c>
      <c r="E122" s="74"/>
      <c r="I122" s="72">
        <v>44074</v>
      </c>
      <c r="J122" s="73">
        <v>791.43190000000004</v>
      </c>
      <c r="K122" s="78">
        <f t="shared" si="2"/>
        <v>0</v>
      </c>
      <c r="L122">
        <v>153</v>
      </c>
      <c r="M122" s="74"/>
    </row>
    <row r="123" spans="1:13">
      <c r="A123" s="72">
        <v>44075</v>
      </c>
      <c r="B123" s="73">
        <v>165263.69</v>
      </c>
      <c r="C123" s="757">
        <f t="shared" si="3"/>
        <v>0.30363780660855305</v>
      </c>
      <c r="D123">
        <v>152</v>
      </c>
      <c r="E123" s="74"/>
      <c r="I123" s="72">
        <v>44075</v>
      </c>
      <c r="J123" s="73">
        <v>551.83389999999997</v>
      </c>
      <c r="K123" s="78">
        <f t="shared" si="2"/>
        <v>0</v>
      </c>
      <c r="L123">
        <v>152</v>
      </c>
      <c r="M123" s="74"/>
    </row>
    <row r="124" spans="1:13">
      <c r="A124" s="72">
        <v>44076</v>
      </c>
      <c r="B124" s="76">
        <v>139384.34</v>
      </c>
      <c r="C124" s="757">
        <f t="shared" si="3"/>
        <v>-0.15595501279774091</v>
      </c>
      <c r="D124">
        <v>151</v>
      </c>
      <c r="E124" s="74"/>
      <c r="I124" s="72">
        <v>44076</v>
      </c>
      <c r="J124" s="76">
        <v>1117.8173999999999</v>
      </c>
      <c r="K124" s="78">
        <f t="shared" si="2"/>
        <v>0</v>
      </c>
      <c r="L124">
        <v>151</v>
      </c>
      <c r="M124" s="74"/>
    </row>
    <row r="125" spans="1:13">
      <c r="A125" s="72">
        <v>44077</v>
      </c>
      <c r="B125" s="76">
        <v>286853.8</v>
      </c>
      <c r="C125" s="757">
        <f t="shared" si="3"/>
        <v>0.28517155681742773</v>
      </c>
      <c r="D125">
        <v>150</v>
      </c>
      <c r="E125" s="74"/>
      <c r="I125" s="72">
        <v>44077</v>
      </c>
      <c r="J125" s="76">
        <v>551.83389999999997</v>
      </c>
      <c r="K125" s="78">
        <f t="shared" si="2"/>
        <v>0</v>
      </c>
      <c r="L125">
        <v>150</v>
      </c>
      <c r="M125" s="74"/>
    </row>
    <row r="126" spans="1:13">
      <c r="A126" s="72">
        <v>44078</v>
      </c>
      <c r="B126" s="76">
        <v>141531.46</v>
      </c>
      <c r="C126" s="757">
        <f t="shared" si="3"/>
        <v>-7.4578596942760436E-2</v>
      </c>
      <c r="D126">
        <v>149</v>
      </c>
      <c r="E126" s="74"/>
      <c r="I126" s="72">
        <v>44078</v>
      </c>
      <c r="J126" s="76">
        <v>551.83389999999997</v>
      </c>
      <c r="K126" s="78">
        <f t="shared" si="2"/>
        <v>0</v>
      </c>
      <c r="L126">
        <v>149</v>
      </c>
      <c r="M126" s="74"/>
    </row>
    <row r="127" spans="1:13">
      <c r="A127" s="72">
        <v>44081</v>
      </c>
      <c r="B127" s="73">
        <v>297413.92</v>
      </c>
      <c r="C127" s="757">
        <f t="shared" si="3"/>
        <v>0.93694263811613976</v>
      </c>
      <c r="D127">
        <v>148</v>
      </c>
      <c r="E127" s="74"/>
      <c r="I127" s="72">
        <v>44081</v>
      </c>
      <c r="J127" s="73">
        <v>551.83389999999997</v>
      </c>
      <c r="K127" s="78">
        <f t="shared" si="2"/>
        <v>0</v>
      </c>
      <c r="L127">
        <v>148</v>
      </c>
      <c r="M127" s="74"/>
    </row>
    <row r="128" spans="1:13">
      <c r="A128" s="72">
        <v>44082</v>
      </c>
      <c r="B128" s="73">
        <v>211407.58</v>
      </c>
      <c r="C128" s="757">
        <f t="shared" si="3"/>
        <v>-0.17215902231491831</v>
      </c>
      <c r="D128">
        <v>147</v>
      </c>
      <c r="E128" s="74"/>
      <c r="I128" s="72">
        <v>44082</v>
      </c>
      <c r="J128" s="73">
        <v>551.83389999999997</v>
      </c>
      <c r="K128" s="78">
        <f t="shared" si="2"/>
        <v>0</v>
      </c>
      <c r="L128">
        <v>147</v>
      </c>
      <c r="M128" s="74"/>
    </row>
    <row r="129" spans="1:13">
      <c r="A129" s="72">
        <v>44083</v>
      </c>
      <c r="B129" s="73">
        <v>226689.38</v>
      </c>
      <c r="C129" s="757">
        <f t="shared" si="3"/>
        <v>2.7034704525896864E-2</v>
      </c>
      <c r="D129">
        <v>146</v>
      </c>
      <c r="E129" s="74"/>
      <c r="I129" s="72">
        <v>44083</v>
      </c>
      <c r="J129" s="73">
        <v>551.83389999999997</v>
      </c>
      <c r="K129" s="78">
        <f t="shared" si="2"/>
        <v>0</v>
      </c>
      <c r="L129">
        <v>146</v>
      </c>
      <c r="M129" s="74"/>
    </row>
    <row r="130" spans="1:13">
      <c r="A130" s="72">
        <v>44084</v>
      </c>
      <c r="B130" s="73">
        <v>95041.99</v>
      </c>
      <c r="C130" s="757">
        <f t="shared" si="3"/>
        <v>-0.54511366631521874</v>
      </c>
      <c r="D130">
        <v>145</v>
      </c>
      <c r="E130" s="74"/>
      <c r="I130" s="72">
        <v>44084</v>
      </c>
      <c r="J130" s="73">
        <v>551.83389999999997</v>
      </c>
      <c r="K130" s="78">
        <f t="shared" si="2"/>
        <v>0</v>
      </c>
      <c r="L130">
        <v>145</v>
      </c>
      <c r="M130" s="74"/>
    </row>
    <row r="131" spans="1:13">
      <c r="A131" s="72">
        <v>44085</v>
      </c>
      <c r="B131" s="73">
        <v>306686.90000000002</v>
      </c>
      <c r="C131" s="757">
        <f t="shared" si="3"/>
        <v>1.0752985949012603</v>
      </c>
      <c r="D131">
        <v>144</v>
      </c>
      <c r="E131" s="74"/>
      <c r="I131" s="72">
        <v>44085</v>
      </c>
      <c r="J131" s="73">
        <v>551.83389999999997</v>
      </c>
      <c r="K131" s="78">
        <f t="shared" si="2"/>
        <v>0</v>
      </c>
      <c r="L131">
        <v>144</v>
      </c>
      <c r="M131" s="74"/>
    </row>
    <row r="132" spans="1:13">
      <c r="A132" s="72">
        <v>44088</v>
      </c>
      <c r="B132" s="73">
        <v>172296.98</v>
      </c>
      <c r="C132" s="757">
        <f t="shared" si="3"/>
        <v>-0.38238527632308972</v>
      </c>
      <c r="D132">
        <v>143</v>
      </c>
      <c r="E132" s="74"/>
      <c r="I132" s="72">
        <v>44088</v>
      </c>
      <c r="J132" s="73">
        <v>551.83389999999997</v>
      </c>
      <c r="K132" s="78">
        <f t="shared" si="2"/>
        <v>0</v>
      </c>
      <c r="L132">
        <v>143</v>
      </c>
      <c r="M132" s="74"/>
    </row>
    <row r="133" spans="1:13">
      <c r="A133" s="72">
        <v>44089</v>
      </c>
      <c r="B133" s="73">
        <v>473193.3</v>
      </c>
      <c r="C133" s="757">
        <f t="shared" si="3"/>
        <v>1.2845482833225659</v>
      </c>
      <c r="D133">
        <v>142</v>
      </c>
      <c r="E133" s="74"/>
      <c r="I133" s="72">
        <v>44089</v>
      </c>
      <c r="J133" s="73">
        <v>0</v>
      </c>
      <c r="K133" s="78">
        <f t="shared" si="2"/>
        <v>0</v>
      </c>
      <c r="L133">
        <v>142</v>
      </c>
      <c r="M133" s="74"/>
    </row>
    <row r="134" spans="1:13">
      <c r="A134" s="72">
        <v>44090</v>
      </c>
      <c r="B134" s="73">
        <v>226714.54</v>
      </c>
      <c r="C134" s="757">
        <f t="shared" si="3"/>
        <v>-0.27599151504978831</v>
      </c>
      <c r="D134">
        <v>141</v>
      </c>
      <c r="E134" s="74"/>
      <c r="I134" s="72">
        <v>44090</v>
      </c>
      <c r="J134" s="73">
        <v>0</v>
      </c>
      <c r="K134" s="78">
        <f t="shared" si="2"/>
        <v>0</v>
      </c>
      <c r="L134">
        <v>141</v>
      </c>
      <c r="M134" s="74"/>
    </row>
    <row r="135" spans="1:13">
      <c r="A135" s="72">
        <v>44091</v>
      </c>
      <c r="B135" s="73">
        <v>98356.44</v>
      </c>
      <c r="C135" s="757">
        <f t="shared" si="3"/>
        <v>-0.75362153876583271</v>
      </c>
      <c r="D135">
        <v>140</v>
      </c>
      <c r="E135" s="74"/>
      <c r="I135" s="72">
        <v>44091</v>
      </c>
      <c r="J135" s="73">
        <v>0</v>
      </c>
      <c r="K135" s="78">
        <f t="shared" si="2"/>
        <v>0</v>
      </c>
      <c r="L135">
        <v>140</v>
      </c>
      <c r="M135" s="74"/>
    </row>
    <row r="136" spans="1:13">
      <c r="A136" s="72">
        <v>44092</v>
      </c>
      <c r="B136" s="73">
        <v>111743.91</v>
      </c>
      <c r="C136" s="757">
        <f t="shared" si="3"/>
        <v>-0.49897626416971225</v>
      </c>
      <c r="D136">
        <v>139</v>
      </c>
      <c r="E136" s="74"/>
      <c r="I136" s="72">
        <v>44092</v>
      </c>
      <c r="J136" s="73">
        <v>0</v>
      </c>
      <c r="K136" s="78">
        <f t="shared" si="2"/>
        <v>0</v>
      </c>
      <c r="L136">
        <v>139</v>
      </c>
      <c r="M136" s="74"/>
    </row>
    <row r="137" spans="1:13">
      <c r="A137" s="72">
        <v>44095</v>
      </c>
      <c r="B137" s="73">
        <v>235480.64</v>
      </c>
      <c r="C137" s="757">
        <f t="shared" si="3"/>
        <v>1.0730064621496003</v>
      </c>
      <c r="D137">
        <v>138</v>
      </c>
      <c r="E137" s="74"/>
      <c r="I137" s="72">
        <v>44095</v>
      </c>
      <c r="J137" s="73">
        <v>0</v>
      </c>
      <c r="K137" s="78">
        <f t="shared" si="2"/>
        <v>0</v>
      </c>
      <c r="L137">
        <v>138</v>
      </c>
      <c r="M137" s="74"/>
    </row>
    <row r="138" spans="1:13">
      <c r="A138" s="72">
        <v>44096</v>
      </c>
      <c r="B138" s="73">
        <v>151887.85</v>
      </c>
      <c r="C138" s="757">
        <f t="shared" si="3"/>
        <v>-0.11951481675399951</v>
      </c>
      <c r="D138">
        <v>137</v>
      </c>
      <c r="E138" s="74"/>
      <c r="I138" s="72">
        <v>44096</v>
      </c>
      <c r="J138" s="73">
        <v>0</v>
      </c>
      <c r="K138" s="78">
        <f t="shared" si="2"/>
        <v>0</v>
      </c>
      <c r="L138">
        <v>137</v>
      </c>
      <c r="M138" s="74"/>
    </row>
    <row r="139" spans="1:13">
      <c r="A139" s="72">
        <v>44097</v>
      </c>
      <c r="B139" s="73">
        <v>115502.34</v>
      </c>
      <c r="C139" s="757">
        <f t="shared" si="3"/>
        <v>-0.43354340845474509</v>
      </c>
      <c r="D139">
        <v>136</v>
      </c>
      <c r="E139" s="74"/>
      <c r="I139" s="72">
        <v>44097</v>
      </c>
      <c r="J139" s="73">
        <v>0</v>
      </c>
      <c r="K139" s="78">
        <f t="shared" si="2"/>
        <v>0</v>
      </c>
      <c r="L139">
        <v>136</v>
      </c>
      <c r="M139" s="74"/>
    </row>
    <row r="140" spans="1:13">
      <c r="A140" s="72">
        <v>44098</v>
      </c>
      <c r="B140" s="73">
        <v>183637.79</v>
      </c>
      <c r="C140" s="757">
        <f t="shared" si="3"/>
        <v>-0.77219093428098273</v>
      </c>
      <c r="D140">
        <v>135</v>
      </c>
      <c r="E140" s="74"/>
      <c r="I140" s="72">
        <v>44098</v>
      </c>
      <c r="J140" s="73">
        <v>0</v>
      </c>
      <c r="K140" s="78">
        <f t="shared" si="2"/>
        <v>0</v>
      </c>
      <c r="L140">
        <v>135</v>
      </c>
      <c r="M140" s="74"/>
    </row>
    <row r="141" spans="1:13">
      <c r="A141" s="72">
        <v>44099</v>
      </c>
      <c r="B141" s="73">
        <v>123191.36</v>
      </c>
      <c r="C141" s="757">
        <f t="shared" si="3"/>
        <v>-0.38435668557570485</v>
      </c>
      <c r="D141">
        <v>134</v>
      </c>
      <c r="E141" s="74"/>
      <c r="I141" s="72">
        <v>44099</v>
      </c>
      <c r="J141" s="73">
        <v>0</v>
      </c>
      <c r="K141" s="78">
        <f t="shared" si="2"/>
        <v>0</v>
      </c>
      <c r="L141">
        <v>134</v>
      </c>
      <c r="M141" s="74"/>
    </row>
    <row r="142" spans="1:13">
      <c r="A142" s="72">
        <v>44102</v>
      </c>
      <c r="B142" s="73">
        <v>958737.88</v>
      </c>
      <c r="C142" s="757">
        <f t="shared" si="3"/>
        <v>3.2883918351923462</v>
      </c>
      <c r="D142">
        <v>133</v>
      </c>
      <c r="E142" s="74"/>
      <c r="I142" s="72">
        <v>44102</v>
      </c>
      <c r="J142" s="73">
        <v>0</v>
      </c>
      <c r="K142" s="78">
        <f t="shared" si="2"/>
        <v>-1</v>
      </c>
      <c r="L142">
        <v>133</v>
      </c>
      <c r="M142" s="74"/>
    </row>
    <row r="143" spans="1:13">
      <c r="A143" s="72">
        <v>44103</v>
      </c>
      <c r="B143" s="73">
        <v>78043.289999999994</v>
      </c>
      <c r="C143" s="757">
        <f t="shared" si="3"/>
        <v>-0.61752389112946204</v>
      </c>
      <c r="D143">
        <v>132</v>
      </c>
      <c r="E143" s="74"/>
      <c r="I143" s="72">
        <v>44103</v>
      </c>
      <c r="J143" s="73">
        <v>0</v>
      </c>
      <c r="K143" s="78">
        <f t="shared" si="2"/>
        <v>-1</v>
      </c>
      <c r="L143">
        <v>132</v>
      </c>
      <c r="M143" s="74"/>
    </row>
    <row r="144" spans="1:13">
      <c r="A144" s="72">
        <v>44104</v>
      </c>
      <c r="B144" s="73">
        <v>95671.17</v>
      </c>
      <c r="C144" s="757">
        <f t="shared" si="3"/>
        <v>-0.42109987983446334</v>
      </c>
      <c r="D144">
        <v>131</v>
      </c>
      <c r="E144" s="74"/>
      <c r="I144" s="72">
        <v>44104</v>
      </c>
      <c r="J144" s="73">
        <v>0</v>
      </c>
      <c r="K144" s="78">
        <f t="shared" si="2"/>
        <v>-1</v>
      </c>
      <c r="L144">
        <v>131</v>
      </c>
      <c r="M144" s="74"/>
    </row>
    <row r="145" spans="1:13">
      <c r="A145" s="72">
        <v>44105</v>
      </c>
      <c r="B145" s="73">
        <v>208344.3</v>
      </c>
      <c r="C145" s="757">
        <f t="shared" si="3"/>
        <v>0.49474682736955955</v>
      </c>
      <c r="D145">
        <v>130</v>
      </c>
      <c r="E145" s="74"/>
      <c r="I145" s="72">
        <v>44105</v>
      </c>
      <c r="J145" s="73">
        <v>0</v>
      </c>
      <c r="K145" s="78">
        <f t="shared" si="2"/>
        <v>-1</v>
      </c>
      <c r="L145">
        <v>130</v>
      </c>
      <c r="M145" s="74"/>
    </row>
    <row r="146" spans="1:13">
      <c r="A146" s="72">
        <v>44106</v>
      </c>
      <c r="B146" s="73">
        <v>117279.99</v>
      </c>
      <c r="C146" s="757">
        <f t="shared" si="3"/>
        <v>-0.59115064886712332</v>
      </c>
      <c r="D146">
        <v>129</v>
      </c>
      <c r="E146" s="74"/>
      <c r="I146" s="72">
        <v>44106</v>
      </c>
      <c r="J146" s="73">
        <v>0</v>
      </c>
      <c r="K146" s="78">
        <f t="shared" si="2"/>
        <v>-1</v>
      </c>
      <c r="L146">
        <v>129</v>
      </c>
      <c r="M146" s="74"/>
    </row>
    <row r="147" spans="1:13">
      <c r="A147" s="72">
        <v>44109</v>
      </c>
      <c r="B147" s="76">
        <v>183084.04</v>
      </c>
      <c r="C147" s="757">
        <f t="shared" si="3"/>
        <v>0.29359253412633501</v>
      </c>
      <c r="D147">
        <v>128</v>
      </c>
      <c r="E147" s="74"/>
      <c r="I147" s="72">
        <v>44109</v>
      </c>
      <c r="J147" s="76">
        <v>0</v>
      </c>
      <c r="K147" s="78">
        <f t="shared" si="2"/>
        <v>-1</v>
      </c>
      <c r="L147">
        <v>128</v>
      </c>
      <c r="M147" s="74"/>
    </row>
    <row r="148" spans="1:13">
      <c r="A148" s="72">
        <v>44110</v>
      </c>
      <c r="B148" s="73">
        <v>115775.53</v>
      </c>
      <c r="C148" s="757">
        <f t="shared" si="3"/>
        <v>-0.61072592029317252</v>
      </c>
      <c r="D148">
        <v>127</v>
      </c>
      <c r="E148" s="74"/>
      <c r="I148" s="72">
        <v>44110</v>
      </c>
      <c r="J148" s="73">
        <v>0</v>
      </c>
      <c r="K148" s="78">
        <f t="shared" si="2"/>
        <v>-1</v>
      </c>
      <c r="L148">
        <v>127</v>
      </c>
      <c r="M148" s="74"/>
    </row>
    <row r="149" spans="1:13">
      <c r="A149" s="72">
        <v>44111</v>
      </c>
      <c r="B149" s="73">
        <v>106786.3</v>
      </c>
      <c r="C149" s="757">
        <f t="shared" si="3"/>
        <v>-0.49487951188883572</v>
      </c>
      <c r="D149">
        <v>126</v>
      </c>
      <c r="E149" s="74"/>
      <c r="I149" s="72">
        <v>44111</v>
      </c>
      <c r="J149" s="73">
        <v>0</v>
      </c>
      <c r="K149" s="78">
        <f t="shared" si="2"/>
        <v>-1</v>
      </c>
      <c r="L149">
        <v>126</v>
      </c>
      <c r="M149" s="74"/>
    </row>
    <row r="150" spans="1:13">
      <c r="A150" s="72">
        <v>44112</v>
      </c>
      <c r="B150" s="73">
        <v>117805.72</v>
      </c>
      <c r="C150" s="757">
        <f t="shared" si="3"/>
        <v>-0.48032095724996027</v>
      </c>
      <c r="D150">
        <v>125</v>
      </c>
      <c r="E150" s="74"/>
      <c r="I150" s="72">
        <v>44112</v>
      </c>
      <c r="J150" s="73">
        <v>0</v>
      </c>
      <c r="K150" s="78">
        <f t="shared" si="2"/>
        <v>-1</v>
      </c>
      <c r="L150">
        <v>125</v>
      </c>
      <c r="M150" s="74"/>
    </row>
    <row r="151" spans="1:13">
      <c r="A151" s="72">
        <v>44113</v>
      </c>
      <c r="B151" s="73">
        <v>77511.06</v>
      </c>
      <c r="C151" s="757">
        <f t="shared" si="3"/>
        <v>-0.18445457634041551</v>
      </c>
      <c r="D151">
        <v>124</v>
      </c>
      <c r="E151" s="74"/>
      <c r="I151" s="72">
        <v>44113</v>
      </c>
      <c r="J151" s="73">
        <v>0</v>
      </c>
      <c r="K151" s="78">
        <f t="shared" ref="K151:K214" si="4">IF(J130&lt;&gt;0,(J151-J130)/J130,0)</f>
        <v>-1</v>
      </c>
      <c r="L151">
        <v>124</v>
      </c>
      <c r="M151" s="74"/>
    </row>
    <row r="152" spans="1:13">
      <c r="A152" s="72">
        <v>44116</v>
      </c>
      <c r="B152" s="73">
        <v>137190.82</v>
      </c>
      <c r="C152" s="757">
        <f t="shared" ref="C152:C215" si="5">IF(B131&lt;&gt;0,(B152-B131)/B131,0)</f>
        <v>-0.55266814461263258</v>
      </c>
      <c r="D152">
        <v>123</v>
      </c>
      <c r="E152" s="74"/>
      <c r="I152" s="72">
        <v>44116</v>
      </c>
      <c r="J152" s="73">
        <v>0</v>
      </c>
      <c r="K152" s="78">
        <f t="shared" si="4"/>
        <v>-1</v>
      </c>
      <c r="L152">
        <v>123</v>
      </c>
      <c r="M152" s="74"/>
    </row>
    <row r="153" spans="1:13">
      <c r="A153" s="72">
        <v>44117</v>
      </c>
      <c r="B153" s="73">
        <v>98956.64</v>
      </c>
      <c r="C153" s="757">
        <f t="shared" si="5"/>
        <v>-0.42566236506292804</v>
      </c>
      <c r="D153">
        <v>122</v>
      </c>
      <c r="E153" s="74"/>
      <c r="I153" s="72">
        <v>44117</v>
      </c>
      <c r="J153" s="73">
        <v>0</v>
      </c>
      <c r="K153" s="78">
        <f t="shared" si="4"/>
        <v>-1</v>
      </c>
      <c r="L153">
        <v>122</v>
      </c>
      <c r="M153" s="74"/>
    </row>
    <row r="154" spans="1:13">
      <c r="A154" s="72">
        <v>44118</v>
      </c>
      <c r="B154" s="73">
        <v>146986.72</v>
      </c>
      <c r="C154" s="757">
        <f t="shared" si="5"/>
        <v>-0.68937277852412526</v>
      </c>
      <c r="D154">
        <v>121</v>
      </c>
      <c r="E154" s="74"/>
      <c r="I154" s="72">
        <v>44118</v>
      </c>
      <c r="J154" s="73">
        <v>0</v>
      </c>
      <c r="K154" s="78">
        <f t="shared" si="4"/>
        <v>0</v>
      </c>
      <c r="L154">
        <v>121</v>
      </c>
      <c r="M154" s="74"/>
    </row>
    <row r="155" spans="1:13">
      <c r="A155" s="72">
        <v>44119</v>
      </c>
      <c r="B155" s="73">
        <v>93648.639999999999</v>
      </c>
      <c r="C155" s="757">
        <f t="shared" si="5"/>
        <v>-0.58693147779582211</v>
      </c>
      <c r="D155">
        <v>120</v>
      </c>
      <c r="E155" s="74"/>
      <c r="I155" s="72">
        <v>44119</v>
      </c>
      <c r="J155" s="73">
        <v>0</v>
      </c>
      <c r="K155" s="78">
        <f t="shared" si="4"/>
        <v>0</v>
      </c>
      <c r="L155">
        <v>120</v>
      </c>
      <c r="M155" s="74"/>
    </row>
    <row r="156" spans="1:13">
      <c r="A156" s="72">
        <v>44120</v>
      </c>
      <c r="B156" s="73">
        <v>122672.19</v>
      </c>
      <c r="C156" s="757">
        <f t="shared" si="5"/>
        <v>0.24722072088009692</v>
      </c>
      <c r="D156">
        <v>119</v>
      </c>
      <c r="E156" s="74"/>
      <c r="I156" s="72">
        <v>44120</v>
      </c>
      <c r="J156" s="73">
        <v>0</v>
      </c>
      <c r="K156" s="78">
        <f t="shared" si="4"/>
        <v>0</v>
      </c>
      <c r="L156">
        <v>119</v>
      </c>
      <c r="M156" s="74"/>
    </row>
    <row r="157" spans="1:13">
      <c r="A157" s="72">
        <v>44123</v>
      </c>
      <c r="B157" s="73">
        <v>366163.84</v>
      </c>
      <c r="C157" s="757">
        <f t="shared" si="5"/>
        <v>2.2768124902735192</v>
      </c>
      <c r="D157">
        <v>118</v>
      </c>
      <c r="E157" s="74"/>
      <c r="I157" s="72">
        <v>44123</v>
      </c>
      <c r="J157" s="73">
        <v>0</v>
      </c>
      <c r="K157" s="78">
        <f t="shared" si="4"/>
        <v>0</v>
      </c>
      <c r="L157">
        <v>118</v>
      </c>
      <c r="M157" s="74"/>
    </row>
    <row r="158" spans="1:13">
      <c r="A158" s="72">
        <v>44124</v>
      </c>
      <c r="B158" s="73">
        <v>307948.28999999998</v>
      </c>
      <c r="C158" s="757">
        <f t="shared" si="5"/>
        <v>0.30774355802668091</v>
      </c>
      <c r="D158">
        <v>117</v>
      </c>
      <c r="E158" s="74"/>
      <c r="I158" s="72">
        <v>44124</v>
      </c>
      <c r="J158" s="73">
        <v>0</v>
      </c>
      <c r="K158" s="78">
        <f t="shared" si="4"/>
        <v>0</v>
      </c>
      <c r="L158">
        <v>117</v>
      </c>
      <c r="M158" s="74"/>
    </row>
    <row r="159" spans="1:13">
      <c r="A159" s="72">
        <v>44125</v>
      </c>
      <c r="B159" s="73">
        <v>131686.48000000001</v>
      </c>
      <c r="C159" s="757">
        <f t="shared" si="5"/>
        <v>-0.13300188263906557</v>
      </c>
      <c r="D159">
        <v>116</v>
      </c>
      <c r="E159" s="74"/>
      <c r="I159" s="72">
        <v>44125</v>
      </c>
      <c r="J159" s="73">
        <v>941.03269999999998</v>
      </c>
      <c r="K159" s="78">
        <f t="shared" si="4"/>
        <v>0</v>
      </c>
      <c r="L159">
        <v>116</v>
      </c>
      <c r="M159" s="74"/>
    </row>
    <row r="160" spans="1:13">
      <c r="A160" s="72">
        <v>44126</v>
      </c>
      <c r="B160" s="73">
        <v>140402.03</v>
      </c>
      <c r="C160" s="757">
        <f t="shared" si="5"/>
        <v>0.21557736406032987</v>
      </c>
      <c r="D160">
        <v>115</v>
      </c>
      <c r="E160" s="74"/>
      <c r="I160" s="72">
        <v>44126</v>
      </c>
      <c r="J160" s="73">
        <v>0</v>
      </c>
      <c r="K160" s="78">
        <f t="shared" si="4"/>
        <v>0</v>
      </c>
      <c r="L160">
        <v>115</v>
      </c>
      <c r="M160" s="74"/>
    </row>
    <row r="161" spans="1:13">
      <c r="A161" s="72">
        <v>44127</v>
      </c>
      <c r="B161" s="73">
        <v>156588.1</v>
      </c>
      <c r="C161" s="757">
        <f t="shared" si="5"/>
        <v>-0.14729914795859828</v>
      </c>
      <c r="D161">
        <v>114</v>
      </c>
      <c r="E161" s="74"/>
      <c r="I161" s="72">
        <v>44127</v>
      </c>
      <c r="J161" s="73">
        <v>3829.6513</v>
      </c>
      <c r="K161" s="78">
        <f t="shared" si="4"/>
        <v>0</v>
      </c>
      <c r="L161">
        <v>114</v>
      </c>
      <c r="M161" s="74"/>
    </row>
    <row r="162" spans="1:13">
      <c r="A162" s="72">
        <v>44130</v>
      </c>
      <c r="B162" s="73">
        <v>103529.2</v>
      </c>
      <c r="C162" s="757">
        <f t="shared" si="5"/>
        <v>-0.15960664773893238</v>
      </c>
      <c r="D162">
        <v>113</v>
      </c>
      <c r="E162" s="74"/>
      <c r="I162" s="72">
        <v>44130</v>
      </c>
      <c r="J162" s="73">
        <v>0</v>
      </c>
      <c r="K162" s="78">
        <f t="shared" si="4"/>
        <v>0</v>
      </c>
      <c r="L162">
        <v>113</v>
      </c>
      <c r="M162" s="74"/>
    </row>
    <row r="163" spans="1:13">
      <c r="A163" s="72">
        <v>44131</v>
      </c>
      <c r="B163" s="73">
        <v>622808.55000000005</v>
      </c>
      <c r="C163" s="757">
        <f t="shared" si="5"/>
        <v>-0.35038704218091388</v>
      </c>
      <c r="D163">
        <v>112</v>
      </c>
      <c r="E163" s="74"/>
      <c r="I163" s="72">
        <v>44131</v>
      </c>
      <c r="J163" s="73">
        <v>0</v>
      </c>
      <c r="K163" s="78">
        <f t="shared" si="4"/>
        <v>0</v>
      </c>
      <c r="L163">
        <v>112</v>
      </c>
      <c r="M163" s="74"/>
    </row>
    <row r="164" spans="1:13">
      <c r="A164" s="72">
        <v>44132</v>
      </c>
      <c r="B164" s="73">
        <v>230936.7</v>
      </c>
      <c r="C164" s="757">
        <f t="shared" si="5"/>
        <v>1.9590846311066594</v>
      </c>
      <c r="D164">
        <v>111</v>
      </c>
      <c r="E164" s="74"/>
      <c r="I164" s="72">
        <v>44132</v>
      </c>
      <c r="J164" s="73">
        <v>0</v>
      </c>
      <c r="K164" s="78">
        <f t="shared" si="4"/>
        <v>0</v>
      </c>
      <c r="L164">
        <v>111</v>
      </c>
      <c r="M164" s="74"/>
    </row>
    <row r="165" spans="1:13">
      <c r="A165" s="72">
        <v>44133</v>
      </c>
      <c r="B165" s="73">
        <v>200661.53</v>
      </c>
      <c r="C165" s="757">
        <f t="shared" si="5"/>
        <v>1.0974085505591706</v>
      </c>
      <c r="D165">
        <v>110</v>
      </c>
      <c r="E165" s="74"/>
      <c r="I165" s="72">
        <v>44133</v>
      </c>
      <c r="J165" s="73">
        <v>0</v>
      </c>
      <c r="K165" s="78">
        <f t="shared" si="4"/>
        <v>0</v>
      </c>
      <c r="L165">
        <v>110</v>
      </c>
      <c r="M165" s="74"/>
    </row>
    <row r="166" spans="1:13">
      <c r="A166" s="72">
        <v>44134</v>
      </c>
      <c r="B166" s="73">
        <v>123385.23</v>
      </c>
      <c r="C166" s="757">
        <f t="shared" si="5"/>
        <v>-0.40778207035181668</v>
      </c>
      <c r="D166">
        <v>109</v>
      </c>
      <c r="E166" s="74"/>
      <c r="I166" s="72">
        <v>44134</v>
      </c>
      <c r="J166" s="73">
        <v>0</v>
      </c>
      <c r="K166" s="78">
        <f t="shared" si="4"/>
        <v>0</v>
      </c>
      <c r="L166">
        <v>109</v>
      </c>
      <c r="M166" s="74"/>
    </row>
    <row r="167" spans="1:13">
      <c r="A167" s="72">
        <v>44137</v>
      </c>
      <c r="B167" s="76">
        <v>247568.51</v>
      </c>
      <c r="C167" s="757">
        <f t="shared" si="5"/>
        <v>1.1109185803989239</v>
      </c>
      <c r="D167">
        <v>108</v>
      </c>
      <c r="E167" s="74"/>
      <c r="I167" s="72">
        <v>44137</v>
      </c>
      <c r="J167" s="76">
        <v>9616.7153999999991</v>
      </c>
      <c r="K167" s="78">
        <f t="shared" si="4"/>
        <v>0</v>
      </c>
      <c r="L167">
        <v>108</v>
      </c>
      <c r="M167" s="74"/>
    </row>
    <row r="168" spans="1:13">
      <c r="A168" s="72">
        <v>44138</v>
      </c>
      <c r="B168" s="76">
        <v>118738.54</v>
      </c>
      <c r="C168" s="757">
        <f t="shared" si="5"/>
        <v>-0.35145335442674308</v>
      </c>
      <c r="D168">
        <v>107</v>
      </c>
      <c r="E168" s="74"/>
      <c r="I168" s="72">
        <v>44138</v>
      </c>
      <c r="J168" s="76">
        <v>0</v>
      </c>
      <c r="K168" s="78">
        <f t="shared" si="4"/>
        <v>0</v>
      </c>
      <c r="L168">
        <v>107</v>
      </c>
      <c r="M168" s="74"/>
    </row>
    <row r="169" spans="1:13">
      <c r="A169" s="72">
        <v>44139</v>
      </c>
      <c r="B169" s="76">
        <v>272942.77</v>
      </c>
      <c r="C169" s="757">
        <f t="shared" si="5"/>
        <v>1.3575169122525288</v>
      </c>
      <c r="D169">
        <v>106</v>
      </c>
      <c r="E169" s="74"/>
      <c r="I169" s="72">
        <v>44139</v>
      </c>
      <c r="J169" s="76">
        <v>0</v>
      </c>
      <c r="K169" s="78">
        <f t="shared" si="4"/>
        <v>0</v>
      </c>
      <c r="L169">
        <v>106</v>
      </c>
      <c r="M169" s="74"/>
    </row>
    <row r="170" spans="1:13">
      <c r="A170" s="72">
        <v>44140</v>
      </c>
      <c r="B170" s="73">
        <v>651645.37</v>
      </c>
      <c r="C170" s="757">
        <f t="shared" si="5"/>
        <v>5.102331197915837</v>
      </c>
      <c r="D170">
        <v>105</v>
      </c>
      <c r="E170" s="74"/>
      <c r="I170" s="72">
        <v>44140</v>
      </c>
      <c r="J170" s="73">
        <v>0</v>
      </c>
      <c r="K170" s="78">
        <f t="shared" si="4"/>
        <v>0</v>
      </c>
      <c r="L170">
        <v>105</v>
      </c>
      <c r="M170" s="74"/>
    </row>
    <row r="171" spans="1:13">
      <c r="A171" s="72">
        <v>44141</v>
      </c>
      <c r="B171" s="73">
        <v>131724.76</v>
      </c>
      <c r="C171" s="757">
        <f t="shared" si="5"/>
        <v>0.11815249717925418</v>
      </c>
      <c r="D171">
        <v>104</v>
      </c>
      <c r="E171" s="74"/>
      <c r="I171" s="72">
        <v>44141</v>
      </c>
      <c r="J171" s="73">
        <v>0</v>
      </c>
      <c r="K171" s="78">
        <f t="shared" si="4"/>
        <v>0</v>
      </c>
      <c r="L171">
        <v>104</v>
      </c>
      <c r="M171" s="74"/>
    </row>
    <row r="172" spans="1:13">
      <c r="A172" s="72">
        <v>44144</v>
      </c>
      <c r="B172" s="73">
        <v>314879.38</v>
      </c>
      <c r="C172" s="757">
        <f t="shared" si="5"/>
        <v>3.062380000995987</v>
      </c>
      <c r="D172">
        <v>103</v>
      </c>
      <c r="E172" s="74"/>
      <c r="I172" s="72">
        <v>44144</v>
      </c>
      <c r="J172" s="73">
        <v>0</v>
      </c>
      <c r="K172" s="78">
        <f t="shared" si="4"/>
        <v>0</v>
      </c>
      <c r="L172">
        <v>103</v>
      </c>
      <c r="M172" s="74"/>
    </row>
    <row r="173" spans="1:13">
      <c r="A173" s="72">
        <v>44145</v>
      </c>
      <c r="B173" s="73">
        <v>166526.39999999999</v>
      </c>
      <c r="C173" s="757">
        <f t="shared" si="5"/>
        <v>0.21383048807493085</v>
      </c>
      <c r="D173">
        <v>102</v>
      </c>
      <c r="E173" s="74"/>
      <c r="I173" s="72">
        <v>44145</v>
      </c>
      <c r="J173" s="73">
        <v>0</v>
      </c>
      <c r="K173" s="78">
        <f t="shared" si="4"/>
        <v>0</v>
      </c>
      <c r="L173">
        <v>102</v>
      </c>
      <c r="M173" s="74"/>
    </row>
    <row r="174" spans="1:13">
      <c r="A174" s="72">
        <v>44146</v>
      </c>
      <c r="B174" s="73">
        <v>98681.31</v>
      </c>
      <c r="C174" s="757">
        <f t="shared" si="5"/>
        <v>-2.7823297153177569E-3</v>
      </c>
      <c r="D174">
        <v>101</v>
      </c>
      <c r="E174" s="74"/>
      <c r="I174" s="72">
        <v>44146</v>
      </c>
      <c r="J174" s="73">
        <v>0</v>
      </c>
      <c r="K174" s="78">
        <f t="shared" si="4"/>
        <v>0</v>
      </c>
      <c r="L174">
        <v>101</v>
      </c>
      <c r="M174" s="74"/>
    </row>
    <row r="175" spans="1:13">
      <c r="A175" s="72">
        <v>44147</v>
      </c>
      <c r="B175" s="73">
        <v>199297.56</v>
      </c>
      <c r="C175" s="757">
        <f t="shared" si="5"/>
        <v>0.35588820541066563</v>
      </c>
      <c r="D175">
        <v>100</v>
      </c>
      <c r="E175" s="74"/>
      <c r="I175" s="72">
        <v>44147</v>
      </c>
      <c r="J175" s="73">
        <v>0</v>
      </c>
      <c r="K175" s="78">
        <f t="shared" si="4"/>
        <v>0</v>
      </c>
      <c r="L175">
        <v>100</v>
      </c>
      <c r="M175" s="74"/>
    </row>
    <row r="176" spans="1:13">
      <c r="A176" s="72">
        <v>44148</v>
      </c>
      <c r="B176" s="73">
        <v>173742.18</v>
      </c>
      <c r="C176" s="757">
        <f t="shared" si="5"/>
        <v>0.85525577306835421</v>
      </c>
      <c r="D176">
        <v>99</v>
      </c>
      <c r="E176" s="74"/>
      <c r="I176" s="72">
        <v>44148</v>
      </c>
      <c r="J176" s="73">
        <v>0</v>
      </c>
      <c r="K176" s="78">
        <f t="shared" si="4"/>
        <v>0</v>
      </c>
      <c r="L176">
        <v>99</v>
      </c>
      <c r="M176" s="74"/>
    </row>
    <row r="177" spans="1:13">
      <c r="A177" s="72">
        <v>44151</v>
      </c>
      <c r="B177" s="73">
        <v>372412.26</v>
      </c>
      <c r="C177" s="757">
        <f t="shared" si="5"/>
        <v>2.0358328158973928</v>
      </c>
      <c r="D177">
        <v>98</v>
      </c>
      <c r="E177" s="74"/>
      <c r="I177" s="72">
        <v>44151</v>
      </c>
      <c r="J177" s="73">
        <v>16.348099999999999</v>
      </c>
      <c r="K177" s="78">
        <f t="shared" si="4"/>
        <v>0</v>
      </c>
      <c r="L177">
        <v>98</v>
      </c>
      <c r="M177" s="74"/>
    </row>
    <row r="178" spans="1:13">
      <c r="A178" s="72">
        <v>44152</v>
      </c>
      <c r="B178" s="73">
        <v>187871.02</v>
      </c>
      <c r="C178" s="757">
        <f t="shared" si="5"/>
        <v>-0.48692088219306423</v>
      </c>
      <c r="D178">
        <v>97</v>
      </c>
      <c r="E178" s="74"/>
      <c r="I178" s="72">
        <v>44152</v>
      </c>
      <c r="J178" s="73">
        <v>0</v>
      </c>
      <c r="K178" s="78">
        <f t="shared" si="4"/>
        <v>0</v>
      </c>
      <c r="L178">
        <v>97</v>
      </c>
      <c r="M178" s="74"/>
    </row>
    <row r="179" spans="1:13">
      <c r="A179" s="72">
        <v>44153</v>
      </c>
      <c r="B179" s="73">
        <v>148597.47</v>
      </c>
      <c r="C179" s="757">
        <f t="shared" si="5"/>
        <v>-0.51745966830989709</v>
      </c>
      <c r="D179">
        <v>96</v>
      </c>
      <c r="E179" s="74"/>
      <c r="I179" s="72">
        <v>44153</v>
      </c>
      <c r="J179" s="73">
        <v>0</v>
      </c>
      <c r="K179" s="78">
        <f t="shared" si="4"/>
        <v>0</v>
      </c>
      <c r="L179">
        <v>96</v>
      </c>
      <c r="M179" s="74"/>
    </row>
    <row r="180" spans="1:13">
      <c r="A180" s="72">
        <v>44154</v>
      </c>
      <c r="B180" s="73">
        <v>117994.11</v>
      </c>
      <c r="C180" s="757">
        <f t="shared" si="5"/>
        <v>-0.10397703697448674</v>
      </c>
      <c r="D180">
        <v>95</v>
      </c>
      <c r="E180" s="74"/>
      <c r="I180" s="72">
        <v>44154</v>
      </c>
      <c r="J180" s="73">
        <v>0</v>
      </c>
      <c r="K180" s="78">
        <f t="shared" si="4"/>
        <v>-1</v>
      </c>
      <c r="L180">
        <v>95</v>
      </c>
      <c r="M180" s="74"/>
    </row>
    <row r="181" spans="1:13">
      <c r="A181" s="72">
        <v>44155</v>
      </c>
      <c r="B181" s="73">
        <v>109115.19</v>
      </c>
      <c r="C181" s="757">
        <f t="shared" si="5"/>
        <v>-0.22283751880225661</v>
      </c>
      <c r="D181">
        <v>94</v>
      </c>
      <c r="E181" s="74"/>
      <c r="I181" s="72">
        <v>44155</v>
      </c>
      <c r="J181" s="73">
        <v>0</v>
      </c>
      <c r="K181" s="78">
        <f t="shared" si="4"/>
        <v>0</v>
      </c>
      <c r="L181">
        <v>94</v>
      </c>
      <c r="M181" s="74"/>
    </row>
    <row r="182" spans="1:13">
      <c r="A182" s="72">
        <v>44158</v>
      </c>
      <c r="B182" s="73">
        <v>85600.91</v>
      </c>
      <c r="C182" s="757">
        <f t="shared" si="5"/>
        <v>-0.45333706712068156</v>
      </c>
      <c r="D182">
        <v>93</v>
      </c>
      <c r="E182" s="74"/>
      <c r="I182" s="72">
        <v>44158</v>
      </c>
      <c r="J182" s="73">
        <v>0</v>
      </c>
      <c r="K182" s="78">
        <f t="shared" si="4"/>
        <v>-1</v>
      </c>
      <c r="L182">
        <v>93</v>
      </c>
      <c r="M182" s="74"/>
    </row>
    <row r="183" spans="1:13">
      <c r="A183" s="72">
        <v>44159</v>
      </c>
      <c r="B183" s="73">
        <v>179183.93</v>
      </c>
      <c r="C183" s="757">
        <f t="shared" si="5"/>
        <v>0.7307574095037922</v>
      </c>
      <c r="D183">
        <v>92</v>
      </c>
      <c r="E183" s="74"/>
      <c r="I183" s="72">
        <v>44159</v>
      </c>
      <c r="J183" s="73">
        <v>0</v>
      </c>
      <c r="K183" s="78">
        <f t="shared" si="4"/>
        <v>0</v>
      </c>
      <c r="L183">
        <v>92</v>
      </c>
      <c r="M183" s="74"/>
    </row>
    <row r="184" spans="1:13">
      <c r="A184" s="72">
        <v>44160</v>
      </c>
      <c r="B184" s="73">
        <v>459724.5</v>
      </c>
      <c r="C184" s="757">
        <f t="shared" si="5"/>
        <v>-0.26185261907531621</v>
      </c>
      <c r="D184">
        <v>91</v>
      </c>
      <c r="E184" s="74"/>
      <c r="I184" s="72">
        <v>44160</v>
      </c>
      <c r="J184" s="73">
        <v>0</v>
      </c>
      <c r="K184" s="78">
        <f t="shared" si="4"/>
        <v>0</v>
      </c>
      <c r="L184">
        <v>91</v>
      </c>
      <c r="M184" s="74"/>
    </row>
    <row r="185" spans="1:13">
      <c r="A185" s="72">
        <v>44161</v>
      </c>
      <c r="B185" s="73">
        <v>503570.86</v>
      </c>
      <c r="C185" s="757">
        <f t="shared" si="5"/>
        <v>1.1805579624200049</v>
      </c>
      <c r="D185">
        <v>90</v>
      </c>
      <c r="E185" s="74"/>
      <c r="I185" s="72">
        <v>44161</v>
      </c>
      <c r="J185" s="73">
        <v>0</v>
      </c>
      <c r="K185" s="78">
        <f t="shared" si="4"/>
        <v>0</v>
      </c>
      <c r="L185">
        <v>90</v>
      </c>
      <c r="M185" s="74"/>
    </row>
    <row r="186" spans="1:13">
      <c r="A186" s="72">
        <v>44162</v>
      </c>
      <c r="B186" s="73">
        <v>433523.56</v>
      </c>
      <c r="C186" s="757">
        <f t="shared" si="5"/>
        <v>1.1604717157294675</v>
      </c>
      <c r="D186">
        <v>89</v>
      </c>
      <c r="E186" s="74"/>
      <c r="I186" s="72">
        <v>44162</v>
      </c>
      <c r="J186" s="73">
        <v>0</v>
      </c>
      <c r="K186" s="78">
        <f t="shared" si="4"/>
        <v>0</v>
      </c>
      <c r="L186">
        <v>89</v>
      </c>
      <c r="M186" s="74"/>
    </row>
    <row r="187" spans="1:13">
      <c r="A187" s="72">
        <v>44165</v>
      </c>
      <c r="B187" s="73">
        <v>110735.25</v>
      </c>
      <c r="C187" s="757">
        <f t="shared" si="5"/>
        <v>-0.10252426485730906</v>
      </c>
      <c r="D187">
        <v>88</v>
      </c>
      <c r="E187" s="74"/>
      <c r="I187" s="72">
        <v>44165</v>
      </c>
      <c r="J187" s="73">
        <v>964.87620000000004</v>
      </c>
      <c r="K187" s="78">
        <f t="shared" si="4"/>
        <v>0</v>
      </c>
      <c r="L187">
        <v>88</v>
      </c>
      <c r="M187" s="74"/>
    </row>
    <row r="188" spans="1:13">
      <c r="A188" s="72">
        <v>44166</v>
      </c>
      <c r="B188" s="73">
        <v>173466.76</v>
      </c>
      <c r="C188" s="757">
        <f t="shared" si="5"/>
        <v>-0.29931815641658138</v>
      </c>
      <c r="D188">
        <v>87</v>
      </c>
      <c r="E188" s="74"/>
      <c r="I188" s="72">
        <v>44166</v>
      </c>
      <c r="J188" s="73">
        <v>0</v>
      </c>
      <c r="K188" s="78">
        <f t="shared" si="4"/>
        <v>-1</v>
      </c>
      <c r="L188">
        <v>87</v>
      </c>
      <c r="M188" s="74"/>
    </row>
    <row r="189" spans="1:13">
      <c r="A189" s="72">
        <v>44167</v>
      </c>
      <c r="B189" s="73">
        <v>248981.53</v>
      </c>
      <c r="C189" s="757">
        <f t="shared" si="5"/>
        <v>1.0968889292389818</v>
      </c>
      <c r="D189">
        <v>86</v>
      </c>
      <c r="E189" s="74"/>
      <c r="I189" s="72">
        <v>44167</v>
      </c>
      <c r="J189" s="73">
        <v>1058.001</v>
      </c>
      <c r="K189" s="78">
        <f t="shared" si="4"/>
        <v>0</v>
      </c>
      <c r="L189">
        <v>86</v>
      </c>
      <c r="M189" s="74"/>
    </row>
    <row r="190" spans="1:13">
      <c r="A190" s="72">
        <v>44168</v>
      </c>
      <c r="B190" s="76">
        <v>21268.47</v>
      </c>
      <c r="C190" s="757">
        <f t="shared" si="5"/>
        <v>-0.92207718123473281</v>
      </c>
      <c r="D190">
        <v>85</v>
      </c>
      <c r="E190" s="74"/>
      <c r="I190" s="72">
        <v>44168</v>
      </c>
      <c r="J190" s="76">
        <v>0</v>
      </c>
      <c r="K190" s="78">
        <f t="shared" si="4"/>
        <v>0</v>
      </c>
      <c r="L190">
        <v>85</v>
      </c>
      <c r="M190" s="74"/>
    </row>
    <row r="191" spans="1:13">
      <c r="A191" s="72">
        <v>44169</v>
      </c>
      <c r="B191" s="76">
        <v>154537.5</v>
      </c>
      <c r="C191" s="757">
        <f t="shared" si="5"/>
        <v>-0.76285030614120686</v>
      </c>
      <c r="D191">
        <v>84</v>
      </c>
      <c r="E191" s="74"/>
      <c r="I191" s="72">
        <v>44169</v>
      </c>
      <c r="J191" s="76">
        <v>0</v>
      </c>
      <c r="K191" s="78">
        <f t="shared" si="4"/>
        <v>0</v>
      </c>
      <c r="L191">
        <v>84</v>
      </c>
      <c r="M191" s="74"/>
    </row>
    <row r="192" spans="1:13">
      <c r="A192" s="72">
        <v>44172</v>
      </c>
      <c r="B192" s="73">
        <v>364219.44</v>
      </c>
      <c r="C192" s="757">
        <f t="shared" si="5"/>
        <v>1.7650036333336268</v>
      </c>
      <c r="D192">
        <v>83</v>
      </c>
      <c r="E192" s="74"/>
      <c r="I192" s="72">
        <v>44172</v>
      </c>
      <c r="J192" s="73">
        <v>0</v>
      </c>
      <c r="K192" s="78">
        <f t="shared" si="4"/>
        <v>0</v>
      </c>
      <c r="L192">
        <v>83</v>
      </c>
      <c r="M192" s="74"/>
    </row>
    <row r="193" spans="1:13">
      <c r="A193" s="72">
        <v>44173</v>
      </c>
      <c r="B193" s="73">
        <v>366415.19</v>
      </c>
      <c r="C193" s="757">
        <f t="shared" si="5"/>
        <v>0.16366841804630078</v>
      </c>
      <c r="D193">
        <v>82</v>
      </c>
      <c r="E193" s="74"/>
      <c r="I193" s="72">
        <v>44173</v>
      </c>
      <c r="J193" s="73">
        <v>0</v>
      </c>
      <c r="K193" s="78">
        <f t="shared" si="4"/>
        <v>0</v>
      </c>
      <c r="L193">
        <v>82</v>
      </c>
      <c r="M193" s="74"/>
    </row>
    <row r="194" spans="1:13">
      <c r="A194" s="72">
        <v>44174</v>
      </c>
      <c r="B194" s="73">
        <v>706976.03</v>
      </c>
      <c r="C194" s="757">
        <f t="shared" si="5"/>
        <v>3.2454291331584662</v>
      </c>
      <c r="D194">
        <v>81</v>
      </c>
      <c r="E194" s="74"/>
      <c r="I194" s="72">
        <v>44174</v>
      </c>
      <c r="J194" s="73">
        <v>0</v>
      </c>
      <c r="K194" s="78">
        <f t="shared" si="4"/>
        <v>0</v>
      </c>
      <c r="L194">
        <v>81</v>
      </c>
      <c r="M194" s="74"/>
    </row>
    <row r="195" spans="1:13">
      <c r="A195" s="72">
        <v>44175</v>
      </c>
      <c r="B195" s="73">
        <v>140376.94</v>
      </c>
      <c r="C195" s="757">
        <f t="shared" si="5"/>
        <v>0.42252813628031494</v>
      </c>
      <c r="D195">
        <v>80</v>
      </c>
      <c r="E195" s="74"/>
      <c r="I195" s="72">
        <v>44175</v>
      </c>
      <c r="J195" s="73">
        <v>0</v>
      </c>
      <c r="K195" s="78">
        <f t="shared" si="4"/>
        <v>0</v>
      </c>
      <c r="L195">
        <v>80</v>
      </c>
      <c r="M195" s="74"/>
    </row>
    <row r="196" spans="1:13">
      <c r="A196" s="72">
        <v>44176</v>
      </c>
      <c r="B196" s="73">
        <v>279856.03999999998</v>
      </c>
      <c r="C196" s="757">
        <f t="shared" si="5"/>
        <v>0.40421207364505607</v>
      </c>
      <c r="D196">
        <v>79</v>
      </c>
      <c r="E196" s="74"/>
      <c r="I196" s="72">
        <v>44176</v>
      </c>
      <c r="J196" s="73">
        <v>0</v>
      </c>
      <c r="K196" s="78">
        <f t="shared" si="4"/>
        <v>0</v>
      </c>
      <c r="L196">
        <v>79</v>
      </c>
      <c r="M196" s="74"/>
    </row>
    <row r="197" spans="1:13">
      <c r="A197" s="72">
        <v>44179</v>
      </c>
      <c r="B197" s="73">
        <v>283702.57</v>
      </c>
      <c r="C197" s="757">
        <f t="shared" si="5"/>
        <v>0.63289403874177252</v>
      </c>
      <c r="D197">
        <v>78</v>
      </c>
      <c r="E197" s="74"/>
      <c r="I197" s="72">
        <v>44179</v>
      </c>
      <c r="J197" s="73">
        <v>0</v>
      </c>
      <c r="K197" s="78">
        <f t="shared" si="4"/>
        <v>0</v>
      </c>
      <c r="L197">
        <v>78</v>
      </c>
      <c r="M197" s="74"/>
    </row>
    <row r="198" spans="1:13">
      <c r="A198" s="72">
        <v>44180</v>
      </c>
      <c r="B198" s="73">
        <v>277701.8</v>
      </c>
      <c r="C198" s="757">
        <f t="shared" si="5"/>
        <v>-0.25431617100897813</v>
      </c>
      <c r="D198">
        <v>77</v>
      </c>
      <c r="E198" s="74"/>
      <c r="I198" s="72">
        <v>44180</v>
      </c>
      <c r="J198" s="73">
        <v>0</v>
      </c>
      <c r="K198" s="78">
        <f t="shared" si="4"/>
        <v>-1</v>
      </c>
      <c r="L198">
        <v>77</v>
      </c>
      <c r="M198" s="74"/>
    </row>
    <row r="199" spans="1:13">
      <c r="A199" s="72">
        <v>44181</v>
      </c>
      <c r="B199" s="73">
        <v>266160.75</v>
      </c>
      <c r="C199" s="757">
        <f t="shared" si="5"/>
        <v>0.41672063099460477</v>
      </c>
      <c r="D199">
        <v>76</v>
      </c>
      <c r="E199" s="74"/>
      <c r="I199" s="72">
        <v>44181</v>
      </c>
      <c r="J199" s="73">
        <v>0</v>
      </c>
      <c r="K199" s="78">
        <f t="shared" si="4"/>
        <v>0</v>
      </c>
      <c r="L199">
        <v>76</v>
      </c>
      <c r="M199" s="74"/>
    </row>
    <row r="200" spans="1:13">
      <c r="A200" s="72">
        <v>44182</v>
      </c>
      <c r="B200" s="73">
        <v>207942.3</v>
      </c>
      <c r="C200" s="757">
        <f t="shared" si="5"/>
        <v>0.39936635529528186</v>
      </c>
      <c r="D200">
        <v>75</v>
      </c>
      <c r="E200" s="74"/>
      <c r="I200" s="72">
        <v>44182</v>
      </c>
      <c r="J200" s="73">
        <v>0</v>
      </c>
      <c r="K200" s="78">
        <f t="shared" si="4"/>
        <v>0</v>
      </c>
      <c r="L200">
        <v>75</v>
      </c>
      <c r="M200" s="74"/>
    </row>
    <row r="201" spans="1:13">
      <c r="A201" s="72">
        <v>44183</v>
      </c>
      <c r="B201" s="73">
        <v>279396.2</v>
      </c>
      <c r="C201" s="757">
        <f t="shared" si="5"/>
        <v>1.3678826002416564</v>
      </c>
      <c r="D201">
        <v>74</v>
      </c>
      <c r="E201" s="74"/>
      <c r="I201" s="72">
        <v>44183</v>
      </c>
      <c r="J201" s="73">
        <v>0</v>
      </c>
      <c r="K201" s="78">
        <f t="shared" si="4"/>
        <v>0</v>
      </c>
      <c r="L201">
        <v>74</v>
      </c>
      <c r="M201" s="74"/>
    </row>
    <row r="202" spans="1:13">
      <c r="A202" s="72">
        <v>44186</v>
      </c>
      <c r="B202" s="73">
        <v>86156.85</v>
      </c>
      <c r="C202" s="757">
        <f t="shared" si="5"/>
        <v>-0.21040461919188333</v>
      </c>
      <c r="D202">
        <v>73</v>
      </c>
      <c r="E202" s="74"/>
      <c r="I202" s="72">
        <v>44186</v>
      </c>
      <c r="J202" s="73">
        <v>0</v>
      </c>
      <c r="K202" s="78">
        <f t="shared" si="4"/>
        <v>0</v>
      </c>
      <c r="L202">
        <v>73</v>
      </c>
      <c r="M202" s="74"/>
    </row>
    <row r="203" spans="1:13">
      <c r="A203" s="72">
        <v>44187</v>
      </c>
      <c r="B203" s="73">
        <v>92143.46</v>
      </c>
      <c r="C203" s="757">
        <f t="shared" si="5"/>
        <v>7.6430846354320334E-2</v>
      </c>
      <c r="D203">
        <v>72</v>
      </c>
      <c r="E203" s="74"/>
      <c r="I203" s="72">
        <v>44187</v>
      </c>
      <c r="J203" s="73">
        <v>0</v>
      </c>
      <c r="K203" s="78">
        <f t="shared" si="4"/>
        <v>0</v>
      </c>
      <c r="L203">
        <v>72</v>
      </c>
      <c r="M203" s="74"/>
    </row>
    <row r="204" spans="1:13">
      <c r="A204" s="72">
        <v>44188</v>
      </c>
      <c r="B204" s="73">
        <v>451463.85</v>
      </c>
      <c r="C204" s="757">
        <f t="shared" si="5"/>
        <v>1.5195554645999783</v>
      </c>
      <c r="D204">
        <v>71</v>
      </c>
      <c r="E204" s="74"/>
      <c r="I204" s="72">
        <v>44188</v>
      </c>
      <c r="J204" s="73">
        <v>0</v>
      </c>
      <c r="K204" s="78">
        <f t="shared" si="4"/>
        <v>0</v>
      </c>
      <c r="L204">
        <v>71</v>
      </c>
      <c r="M204" s="74"/>
    </row>
    <row r="205" spans="1:13">
      <c r="A205" s="72">
        <v>44189</v>
      </c>
      <c r="B205" s="73">
        <v>61634.25</v>
      </c>
      <c r="C205" s="757">
        <f t="shared" si="5"/>
        <v>-0.86593220504889346</v>
      </c>
      <c r="D205">
        <v>70</v>
      </c>
      <c r="E205" s="74"/>
      <c r="I205" s="72">
        <v>44189</v>
      </c>
      <c r="J205" s="73">
        <v>0</v>
      </c>
      <c r="K205" s="78">
        <f t="shared" si="4"/>
        <v>0</v>
      </c>
      <c r="L205">
        <v>70</v>
      </c>
      <c r="M205" s="74"/>
    </row>
    <row r="206" spans="1:13">
      <c r="A206" s="72">
        <v>44190</v>
      </c>
      <c r="B206" s="73">
        <v>61634.25</v>
      </c>
      <c r="C206" s="757">
        <f t="shared" si="5"/>
        <v>-0.87760560648803232</v>
      </c>
      <c r="D206">
        <v>69</v>
      </c>
      <c r="E206" s="74"/>
      <c r="I206" s="72">
        <v>44190</v>
      </c>
      <c r="J206" s="73">
        <v>0</v>
      </c>
      <c r="K206" s="78">
        <f t="shared" si="4"/>
        <v>0</v>
      </c>
      <c r="L206">
        <v>69</v>
      </c>
      <c r="M206" s="74"/>
    </row>
    <row r="207" spans="1:13">
      <c r="A207" s="72">
        <v>44193</v>
      </c>
      <c r="B207" s="73">
        <v>685487.7</v>
      </c>
      <c r="C207" s="757">
        <f t="shared" si="5"/>
        <v>0.5812005695838075</v>
      </c>
      <c r="D207">
        <v>68</v>
      </c>
      <c r="E207" s="74"/>
      <c r="I207" s="72">
        <v>44193</v>
      </c>
      <c r="J207" s="73">
        <v>0</v>
      </c>
      <c r="K207" s="78">
        <f t="shared" si="4"/>
        <v>0</v>
      </c>
      <c r="L207">
        <v>68</v>
      </c>
      <c r="M207" s="74"/>
    </row>
    <row r="208" spans="1:13">
      <c r="A208" s="72">
        <v>44194</v>
      </c>
      <c r="B208" s="73">
        <v>230374.31</v>
      </c>
      <c r="C208" s="757">
        <f t="shared" si="5"/>
        <v>1.0804062843584135</v>
      </c>
      <c r="D208">
        <v>67</v>
      </c>
      <c r="E208" s="74"/>
      <c r="I208" s="72">
        <v>44194</v>
      </c>
      <c r="J208" s="73">
        <v>0</v>
      </c>
      <c r="K208" s="78">
        <f t="shared" si="4"/>
        <v>-1</v>
      </c>
      <c r="L208">
        <v>67</v>
      </c>
      <c r="M208" s="74"/>
    </row>
    <row r="209" spans="1:13">
      <c r="A209" s="72">
        <v>44195</v>
      </c>
      <c r="B209" s="73">
        <v>249083.93</v>
      </c>
      <c r="C209" s="757">
        <f t="shared" si="5"/>
        <v>0.43591734808443983</v>
      </c>
      <c r="D209">
        <v>66</v>
      </c>
      <c r="E209" s="74"/>
      <c r="I209" s="72">
        <v>44195</v>
      </c>
      <c r="J209" s="73">
        <v>0</v>
      </c>
      <c r="K209" s="78">
        <f t="shared" si="4"/>
        <v>0</v>
      </c>
      <c r="L209">
        <v>66</v>
      </c>
      <c r="M209" s="74"/>
    </row>
    <row r="210" spans="1:13">
      <c r="A210" s="72">
        <v>44196</v>
      </c>
      <c r="B210" s="73">
        <v>115207.79</v>
      </c>
      <c r="C210" s="757">
        <f t="shared" si="5"/>
        <v>-0.53728378968512236</v>
      </c>
      <c r="D210">
        <v>65</v>
      </c>
      <c r="E210" s="74"/>
      <c r="I210" s="72">
        <v>44196</v>
      </c>
      <c r="J210" s="73">
        <v>0</v>
      </c>
      <c r="K210" s="78">
        <f t="shared" si="4"/>
        <v>-1</v>
      </c>
      <c r="L210">
        <v>65</v>
      </c>
      <c r="M210" s="74"/>
    </row>
    <row r="211" spans="1:13">
      <c r="A211" s="72">
        <v>44197</v>
      </c>
      <c r="B211" s="73">
        <v>115207.79</v>
      </c>
      <c r="C211" s="757">
        <f t="shared" si="5"/>
        <v>4.4168348734065024</v>
      </c>
      <c r="D211">
        <v>64</v>
      </c>
      <c r="E211" s="74"/>
      <c r="I211" s="72">
        <v>44197</v>
      </c>
      <c r="J211" s="73">
        <v>0</v>
      </c>
      <c r="K211" s="78">
        <f t="shared" si="4"/>
        <v>0</v>
      </c>
      <c r="L211">
        <v>64</v>
      </c>
      <c r="M211" s="74"/>
    </row>
    <row r="212" spans="1:13">
      <c r="A212" s="72">
        <v>44200</v>
      </c>
      <c r="B212" s="76">
        <v>252034.12</v>
      </c>
      <c r="C212" s="757">
        <f t="shared" si="5"/>
        <v>0.63089295478443741</v>
      </c>
      <c r="D212">
        <v>63</v>
      </c>
      <c r="E212" s="74"/>
      <c r="I212" s="72">
        <v>44200</v>
      </c>
      <c r="J212" s="76">
        <v>1239.4490000000001</v>
      </c>
      <c r="K212" s="78">
        <f t="shared" si="4"/>
        <v>0</v>
      </c>
      <c r="L212">
        <v>63</v>
      </c>
      <c r="M212" s="74"/>
    </row>
    <row r="213" spans="1:13">
      <c r="A213" s="72">
        <v>44201</v>
      </c>
      <c r="B213" s="76">
        <v>232400.89</v>
      </c>
      <c r="C213" s="757">
        <f t="shared" si="5"/>
        <v>-0.36192068715497444</v>
      </c>
      <c r="D213">
        <v>62</v>
      </c>
      <c r="E213" s="74"/>
      <c r="I213" s="72">
        <v>44201</v>
      </c>
      <c r="J213" s="76">
        <v>0</v>
      </c>
      <c r="K213" s="78">
        <f t="shared" si="4"/>
        <v>0</v>
      </c>
      <c r="L213">
        <v>62</v>
      </c>
      <c r="M213" s="74"/>
    </row>
    <row r="214" spans="1:13">
      <c r="A214" s="72">
        <v>44202</v>
      </c>
      <c r="B214" s="73">
        <v>153891.54999999999</v>
      </c>
      <c r="C214" s="757">
        <f t="shared" si="5"/>
        <v>-0.58000772293310221</v>
      </c>
      <c r="D214">
        <v>61</v>
      </c>
      <c r="E214" s="74"/>
      <c r="I214" s="72">
        <v>44202</v>
      </c>
      <c r="J214" s="73">
        <v>0</v>
      </c>
      <c r="K214" s="78">
        <f t="shared" si="4"/>
        <v>0</v>
      </c>
      <c r="L214">
        <v>61</v>
      </c>
      <c r="M214" s="74"/>
    </row>
    <row r="215" spans="1:13">
      <c r="A215" s="72">
        <v>44203</v>
      </c>
      <c r="B215" s="73">
        <v>121363.42</v>
      </c>
      <c r="C215" s="757">
        <f t="shared" si="5"/>
        <v>-0.82833446276813649</v>
      </c>
      <c r="D215">
        <v>60</v>
      </c>
      <c r="E215" s="74"/>
      <c r="I215" s="72">
        <v>44203</v>
      </c>
      <c r="J215" s="73">
        <v>48218.959199999998</v>
      </c>
      <c r="K215" s="78">
        <f t="shared" ref="K215:K272" si="6">IF(J194&lt;&gt;0,(J215-J194)/J194,0)</f>
        <v>0</v>
      </c>
      <c r="L215">
        <v>60</v>
      </c>
      <c r="M215" s="74"/>
    </row>
    <row r="216" spans="1:13">
      <c r="A216" s="72">
        <v>44204</v>
      </c>
      <c r="B216" s="73">
        <v>198304.19</v>
      </c>
      <c r="C216" s="757">
        <f t="shared" ref="C216:C274" si="7">IF(B195&lt;&gt;0,(B216-B195)/B195,0)</f>
        <v>0.41265502724307851</v>
      </c>
      <c r="D216">
        <v>59</v>
      </c>
      <c r="E216" s="74"/>
      <c r="I216" s="72">
        <v>44204</v>
      </c>
      <c r="J216" s="73">
        <v>0</v>
      </c>
      <c r="K216" s="78">
        <f t="shared" si="6"/>
        <v>0</v>
      </c>
      <c r="L216">
        <v>59</v>
      </c>
      <c r="M216" s="74"/>
    </row>
    <row r="217" spans="1:13">
      <c r="A217" s="72">
        <v>44207</v>
      </c>
      <c r="B217" s="73">
        <v>381868.68</v>
      </c>
      <c r="C217" s="757">
        <f t="shared" si="7"/>
        <v>0.36451827160850281</v>
      </c>
      <c r="D217">
        <v>58</v>
      </c>
      <c r="E217" s="74"/>
      <c r="I217" s="72">
        <v>44207</v>
      </c>
      <c r="J217" s="73">
        <v>-53.231299999999997</v>
      </c>
      <c r="K217" s="78">
        <f t="shared" si="6"/>
        <v>0</v>
      </c>
      <c r="L217">
        <v>58</v>
      </c>
      <c r="M217" s="74"/>
    </row>
    <row r="218" spans="1:13">
      <c r="A218" s="72">
        <v>44208</v>
      </c>
      <c r="B218" s="73">
        <v>195469.62</v>
      </c>
      <c r="C218" s="757">
        <f t="shared" si="7"/>
        <v>-0.31100511355959876</v>
      </c>
      <c r="D218">
        <v>57</v>
      </c>
      <c r="E218" s="74"/>
      <c r="I218" s="72">
        <v>44208</v>
      </c>
      <c r="J218" s="73">
        <v>-53.231299999999997</v>
      </c>
      <c r="K218" s="78">
        <f t="shared" si="6"/>
        <v>0</v>
      </c>
      <c r="L218">
        <v>57</v>
      </c>
      <c r="M218" s="74"/>
    </row>
    <row r="219" spans="1:13">
      <c r="A219" s="72">
        <v>44209</v>
      </c>
      <c r="B219" s="73">
        <v>157374</v>
      </c>
      <c r="C219" s="757">
        <f t="shared" si="7"/>
        <v>-0.43329859583193192</v>
      </c>
      <c r="D219">
        <v>56</v>
      </c>
      <c r="E219" s="74"/>
      <c r="I219" s="72">
        <v>44209</v>
      </c>
      <c r="J219" s="73">
        <v>0</v>
      </c>
      <c r="K219" s="78">
        <f t="shared" si="6"/>
        <v>0</v>
      </c>
      <c r="L219">
        <v>56</v>
      </c>
      <c r="M219" s="74"/>
    </row>
    <row r="220" spans="1:13">
      <c r="A220" s="72">
        <v>44210</v>
      </c>
      <c r="B220" s="73">
        <v>332996.53000000003</v>
      </c>
      <c r="C220" s="757">
        <f t="shared" si="7"/>
        <v>0.2511105788513146</v>
      </c>
      <c r="D220">
        <v>55</v>
      </c>
      <c r="E220" s="74"/>
      <c r="I220" s="72">
        <v>44210</v>
      </c>
      <c r="J220" s="73">
        <v>17945.9728</v>
      </c>
      <c r="K220" s="78">
        <f t="shared" si="6"/>
        <v>0</v>
      </c>
      <c r="L220">
        <v>55</v>
      </c>
      <c r="M220" s="74"/>
    </row>
    <row r="221" spans="1:13">
      <c r="A221" s="72">
        <v>44211</v>
      </c>
      <c r="B221" s="73">
        <v>258496.37</v>
      </c>
      <c r="C221" s="757">
        <f t="shared" si="7"/>
        <v>0.2431158547347029</v>
      </c>
      <c r="D221">
        <v>54</v>
      </c>
      <c r="E221" s="74"/>
      <c r="I221" s="72">
        <v>44211</v>
      </c>
      <c r="J221" s="73">
        <v>0</v>
      </c>
      <c r="K221" s="78">
        <f t="shared" si="6"/>
        <v>0</v>
      </c>
      <c r="L221">
        <v>54</v>
      </c>
      <c r="M221" s="74"/>
    </row>
    <row r="222" spans="1:13">
      <c r="A222" s="72">
        <v>44214</v>
      </c>
      <c r="B222" s="73">
        <v>261783.74</v>
      </c>
      <c r="C222" s="757">
        <f t="shared" si="7"/>
        <v>-6.3037578893342217E-2</v>
      </c>
      <c r="D222">
        <v>53</v>
      </c>
      <c r="E222" s="74"/>
      <c r="I222" s="72">
        <v>44214</v>
      </c>
      <c r="J222" s="73">
        <v>19758.120800000001</v>
      </c>
      <c r="K222" s="78">
        <f t="shared" si="6"/>
        <v>0</v>
      </c>
      <c r="L222">
        <v>53</v>
      </c>
      <c r="M222" s="74"/>
    </row>
    <row r="223" spans="1:13">
      <c r="A223" s="72">
        <v>44215</v>
      </c>
      <c r="B223" s="73">
        <v>178814.26</v>
      </c>
      <c r="C223" s="757">
        <f t="shared" si="7"/>
        <v>1.0754502979159521</v>
      </c>
      <c r="D223">
        <v>52</v>
      </c>
      <c r="E223" s="74"/>
      <c r="I223" s="72">
        <v>44215</v>
      </c>
      <c r="J223" s="73">
        <v>0</v>
      </c>
      <c r="K223" s="78">
        <f t="shared" si="6"/>
        <v>0</v>
      </c>
      <c r="L223">
        <v>52</v>
      </c>
      <c r="M223" s="74"/>
    </row>
    <row r="224" spans="1:13">
      <c r="A224" s="72">
        <v>44216</v>
      </c>
      <c r="B224" s="73">
        <v>109302.46</v>
      </c>
      <c r="C224" s="757">
        <f t="shared" si="7"/>
        <v>0.18622048705355757</v>
      </c>
      <c r="D224">
        <v>51</v>
      </c>
      <c r="E224" s="74"/>
      <c r="I224" s="72">
        <v>44216</v>
      </c>
      <c r="J224" s="73">
        <v>0</v>
      </c>
      <c r="K224" s="78">
        <f t="shared" si="6"/>
        <v>0</v>
      </c>
      <c r="L224">
        <v>51</v>
      </c>
      <c r="M224" s="74"/>
    </row>
    <row r="225" spans="1:13">
      <c r="A225" s="72">
        <v>44217</v>
      </c>
      <c r="B225" s="73">
        <v>143703.19</v>
      </c>
      <c r="C225" s="757">
        <f t="shared" si="7"/>
        <v>-0.68169502386514447</v>
      </c>
      <c r="D225">
        <v>50</v>
      </c>
      <c r="E225" s="74"/>
      <c r="I225" s="72">
        <v>44217</v>
      </c>
      <c r="J225" s="73">
        <v>94.453000000000003</v>
      </c>
      <c r="K225" s="78">
        <f t="shared" si="6"/>
        <v>0</v>
      </c>
      <c r="L225">
        <v>50</v>
      </c>
      <c r="M225" s="74"/>
    </row>
    <row r="226" spans="1:13">
      <c r="A226" s="72">
        <v>44218</v>
      </c>
      <c r="B226" s="73">
        <v>77249.100000000006</v>
      </c>
      <c r="C226" s="757">
        <f t="shared" si="7"/>
        <v>0.25334696211927632</v>
      </c>
      <c r="D226">
        <v>49</v>
      </c>
      <c r="E226" s="74"/>
      <c r="I226" s="72">
        <v>44218</v>
      </c>
      <c r="J226" s="73">
        <v>0</v>
      </c>
      <c r="K226" s="78">
        <f t="shared" si="6"/>
        <v>0</v>
      </c>
      <c r="L226">
        <v>49</v>
      </c>
      <c r="M226" s="74"/>
    </row>
    <row r="227" spans="1:13">
      <c r="A227" s="72">
        <v>44221</v>
      </c>
      <c r="B227" s="73">
        <v>124051.31</v>
      </c>
      <c r="C227" s="757">
        <f t="shared" si="7"/>
        <v>1.012700892766603</v>
      </c>
      <c r="D227">
        <v>48</v>
      </c>
      <c r="E227" s="74"/>
      <c r="I227" s="72">
        <v>44221</v>
      </c>
      <c r="J227" s="73">
        <v>629.60339999999997</v>
      </c>
      <c r="K227" s="78">
        <f t="shared" si="6"/>
        <v>0</v>
      </c>
      <c r="L227">
        <v>48</v>
      </c>
      <c r="M227" s="74"/>
    </row>
    <row r="228" spans="1:13">
      <c r="A228" s="72">
        <v>44222</v>
      </c>
      <c r="B228" s="73">
        <v>194072.5</v>
      </c>
      <c r="C228" s="757">
        <f t="shared" si="7"/>
        <v>-0.71688405204061278</v>
      </c>
      <c r="D228">
        <v>47</v>
      </c>
      <c r="E228" s="74"/>
      <c r="I228" s="72">
        <v>44222</v>
      </c>
      <c r="J228" s="73">
        <v>0</v>
      </c>
      <c r="K228" s="78">
        <f t="shared" si="6"/>
        <v>0</v>
      </c>
      <c r="L228">
        <v>47</v>
      </c>
      <c r="M228" s="74"/>
    </row>
    <row r="229" spans="1:13">
      <c r="A229" s="72">
        <v>44223</v>
      </c>
      <c r="B229" s="73">
        <v>344228.62</v>
      </c>
      <c r="C229" s="757">
        <f t="shared" si="7"/>
        <v>0.49421443736499959</v>
      </c>
      <c r="D229">
        <v>46</v>
      </c>
      <c r="E229" s="74"/>
      <c r="I229" s="72">
        <v>44223</v>
      </c>
      <c r="J229" s="73">
        <v>0</v>
      </c>
      <c r="K229" s="78">
        <f t="shared" si="6"/>
        <v>0</v>
      </c>
      <c r="L229">
        <v>46</v>
      </c>
      <c r="M229" s="74"/>
    </row>
    <row r="230" spans="1:13">
      <c r="A230" s="72">
        <v>44224</v>
      </c>
      <c r="B230" s="73">
        <v>126651.68</v>
      </c>
      <c r="C230" s="757">
        <f t="shared" si="7"/>
        <v>-0.4915301039292258</v>
      </c>
      <c r="D230">
        <v>45</v>
      </c>
      <c r="E230" s="74"/>
      <c r="I230" s="72">
        <v>44224</v>
      </c>
      <c r="J230" s="73">
        <v>0</v>
      </c>
      <c r="K230" s="78">
        <f t="shared" si="6"/>
        <v>0</v>
      </c>
      <c r="L230">
        <v>45</v>
      </c>
      <c r="M230" s="74"/>
    </row>
    <row r="231" spans="1:13">
      <c r="A231" s="72">
        <v>44225</v>
      </c>
      <c r="B231" s="73">
        <v>147855.94</v>
      </c>
      <c r="C231" s="757">
        <f t="shared" si="7"/>
        <v>0.28338491694007856</v>
      </c>
      <c r="D231">
        <v>44</v>
      </c>
      <c r="E231" s="74"/>
      <c r="I231" s="72">
        <v>44225</v>
      </c>
      <c r="J231" s="73">
        <v>0</v>
      </c>
      <c r="K231" s="78">
        <f t="shared" si="6"/>
        <v>0</v>
      </c>
      <c r="L231">
        <v>44</v>
      </c>
      <c r="M231" s="74"/>
    </row>
    <row r="232" spans="1:13">
      <c r="A232" s="72">
        <v>44228</v>
      </c>
      <c r="B232" s="73">
        <v>87749.16</v>
      </c>
      <c r="C232" s="757">
        <f t="shared" si="7"/>
        <v>-0.23834004627638453</v>
      </c>
      <c r="D232">
        <v>43</v>
      </c>
      <c r="E232" s="74"/>
      <c r="I232" s="72">
        <v>44228</v>
      </c>
      <c r="J232" s="73">
        <v>0</v>
      </c>
      <c r="K232" s="78">
        <f t="shared" si="6"/>
        <v>0</v>
      </c>
      <c r="L232">
        <v>43</v>
      </c>
      <c r="M232" s="74"/>
    </row>
    <row r="233" spans="1:13">
      <c r="A233" s="72">
        <v>44229</v>
      </c>
      <c r="B233" s="76">
        <v>127799.7</v>
      </c>
      <c r="C233" s="757">
        <f t="shared" si="7"/>
        <v>-0.49292698940921176</v>
      </c>
      <c r="D233">
        <v>42</v>
      </c>
      <c r="E233" s="74"/>
      <c r="I233" s="72">
        <v>44229</v>
      </c>
      <c r="J233" s="76">
        <v>0</v>
      </c>
      <c r="K233" s="78">
        <f t="shared" si="6"/>
        <v>-1</v>
      </c>
      <c r="L233">
        <v>42</v>
      </c>
      <c r="M233" s="74"/>
    </row>
    <row r="234" spans="1:13">
      <c r="A234" s="72">
        <v>44230</v>
      </c>
      <c r="B234" s="76">
        <v>72199.149999999994</v>
      </c>
      <c r="C234" s="757">
        <f t="shared" si="7"/>
        <v>-0.68933359076206635</v>
      </c>
      <c r="D234">
        <v>41</v>
      </c>
      <c r="E234" s="74"/>
      <c r="I234" s="72">
        <v>44230</v>
      </c>
      <c r="J234" s="76">
        <v>0</v>
      </c>
      <c r="K234" s="78">
        <f t="shared" si="6"/>
        <v>0</v>
      </c>
      <c r="L234">
        <v>41</v>
      </c>
      <c r="M234" s="74"/>
    </row>
    <row r="235" spans="1:13">
      <c r="A235" s="72">
        <v>44231</v>
      </c>
      <c r="B235" s="76">
        <v>210754.28</v>
      </c>
      <c r="C235" s="757">
        <f t="shared" si="7"/>
        <v>0.3694987151666223</v>
      </c>
      <c r="D235">
        <v>40</v>
      </c>
      <c r="E235" s="74"/>
      <c r="I235" s="72">
        <v>44231</v>
      </c>
      <c r="J235" s="76">
        <v>0</v>
      </c>
      <c r="K235" s="78">
        <f t="shared" si="6"/>
        <v>0</v>
      </c>
      <c r="L235">
        <v>40</v>
      </c>
      <c r="M235" s="74"/>
    </row>
    <row r="236" spans="1:13">
      <c r="A236" s="72">
        <v>44232</v>
      </c>
      <c r="B236" s="73">
        <v>76078.679999999993</v>
      </c>
      <c r="C236" s="757">
        <f t="shared" si="7"/>
        <v>-0.37313335435009992</v>
      </c>
      <c r="D236">
        <v>39</v>
      </c>
      <c r="E236" s="74"/>
      <c r="I236" s="72">
        <v>44232</v>
      </c>
      <c r="J236" s="73">
        <v>0</v>
      </c>
      <c r="K236" s="78">
        <f t="shared" si="6"/>
        <v>-1</v>
      </c>
      <c r="L236">
        <v>39</v>
      </c>
      <c r="M236" s="74"/>
    </row>
    <row r="237" spans="1:13">
      <c r="A237" s="72">
        <v>44235</v>
      </c>
      <c r="B237" s="73">
        <v>256694.3</v>
      </c>
      <c r="C237" s="757">
        <f t="shared" si="7"/>
        <v>0.29444718238177409</v>
      </c>
      <c r="D237">
        <v>38</v>
      </c>
      <c r="E237" s="74"/>
      <c r="I237" s="72">
        <v>44235</v>
      </c>
      <c r="J237" s="73">
        <v>0</v>
      </c>
      <c r="K237" s="78">
        <f t="shared" si="6"/>
        <v>0</v>
      </c>
      <c r="L237">
        <v>38</v>
      </c>
      <c r="M237" s="74"/>
    </row>
    <row r="238" spans="1:13">
      <c r="A238" s="72">
        <v>44236</v>
      </c>
      <c r="B238" s="73">
        <v>169158.35</v>
      </c>
      <c r="C238" s="757">
        <f t="shared" si="7"/>
        <v>-0.5570248128230888</v>
      </c>
      <c r="D238">
        <v>37</v>
      </c>
      <c r="E238" s="74"/>
      <c r="I238" s="72">
        <v>44236</v>
      </c>
      <c r="J238" s="73">
        <v>0</v>
      </c>
      <c r="K238" s="78">
        <f t="shared" si="6"/>
        <v>-1</v>
      </c>
      <c r="L238">
        <v>37</v>
      </c>
      <c r="M238" s="74"/>
    </row>
    <row r="239" spans="1:13">
      <c r="A239" s="72">
        <v>44237</v>
      </c>
      <c r="B239" s="73">
        <v>248663.1</v>
      </c>
      <c r="C239" s="757">
        <f t="shared" si="7"/>
        <v>0.27213170005651011</v>
      </c>
      <c r="D239">
        <v>36</v>
      </c>
      <c r="E239" s="74"/>
      <c r="I239" s="72">
        <v>44237</v>
      </c>
      <c r="J239" s="73">
        <v>0</v>
      </c>
      <c r="K239" s="78">
        <f t="shared" si="6"/>
        <v>-1</v>
      </c>
      <c r="L239">
        <v>36</v>
      </c>
      <c r="M239" s="74"/>
    </row>
    <row r="240" spans="1:13">
      <c r="A240" s="72">
        <v>44238</v>
      </c>
      <c r="B240" s="73">
        <v>43714.82</v>
      </c>
      <c r="C240" s="757">
        <f t="shared" si="7"/>
        <v>-0.72222336599438275</v>
      </c>
      <c r="D240">
        <v>35</v>
      </c>
      <c r="E240" s="74"/>
      <c r="I240" s="72">
        <v>44238</v>
      </c>
      <c r="J240" s="73">
        <v>0</v>
      </c>
      <c r="K240" s="78">
        <f t="shared" si="6"/>
        <v>0</v>
      </c>
      <c r="L240">
        <v>35</v>
      </c>
      <c r="M240" s="74"/>
    </row>
    <row r="241" spans="1:13">
      <c r="A241" s="72">
        <v>44239</v>
      </c>
      <c r="B241" s="73">
        <v>54990.11</v>
      </c>
      <c r="C241" s="757">
        <f t="shared" si="7"/>
        <v>-0.83486281373562665</v>
      </c>
      <c r="D241">
        <v>34</v>
      </c>
      <c r="E241" s="74"/>
      <c r="I241" s="72">
        <v>44239</v>
      </c>
      <c r="J241" s="73">
        <v>0</v>
      </c>
      <c r="K241" s="78">
        <f t="shared" si="6"/>
        <v>-1</v>
      </c>
      <c r="L241">
        <v>34</v>
      </c>
      <c r="M241" s="74"/>
    </row>
    <row r="242" spans="1:13">
      <c r="A242" s="72">
        <v>44242</v>
      </c>
      <c r="B242" s="73">
        <v>51571.09</v>
      </c>
      <c r="C242" s="757">
        <f t="shared" si="7"/>
        <v>-0.80049588317236331</v>
      </c>
      <c r="D242">
        <v>33</v>
      </c>
      <c r="E242" s="74"/>
      <c r="I242" s="72">
        <v>44242</v>
      </c>
      <c r="J242" s="73">
        <v>8746.3853999999992</v>
      </c>
      <c r="K242" s="78">
        <f t="shared" si="6"/>
        <v>0</v>
      </c>
      <c r="L242">
        <v>33</v>
      </c>
      <c r="M242" s="74"/>
    </row>
    <row r="243" spans="1:13">
      <c r="A243" s="72">
        <v>44243</v>
      </c>
      <c r="B243" s="73">
        <v>260792.9</v>
      </c>
      <c r="C243" s="757">
        <f t="shared" si="7"/>
        <v>-3.7849562390696863E-3</v>
      </c>
      <c r="D243">
        <v>32</v>
      </c>
      <c r="E243" s="74"/>
      <c r="I243" s="72">
        <v>44243</v>
      </c>
      <c r="J243" s="73">
        <v>0</v>
      </c>
      <c r="K243" s="78">
        <f t="shared" si="6"/>
        <v>-1</v>
      </c>
      <c r="L243">
        <v>32</v>
      </c>
      <c r="M243" s="74"/>
    </row>
    <row r="244" spans="1:13">
      <c r="A244" s="72">
        <v>44244</v>
      </c>
      <c r="B244" s="73">
        <v>64812.41</v>
      </c>
      <c r="C244" s="757">
        <f t="shared" si="7"/>
        <v>-0.63754339279205141</v>
      </c>
      <c r="D244">
        <v>31</v>
      </c>
      <c r="E244" s="74"/>
      <c r="I244" s="72">
        <v>44244</v>
      </c>
      <c r="J244" s="73">
        <v>0</v>
      </c>
      <c r="K244" s="78">
        <f t="shared" si="6"/>
        <v>0</v>
      </c>
      <c r="L244">
        <v>31</v>
      </c>
      <c r="M244" s="74"/>
    </row>
    <row r="245" spans="1:13">
      <c r="A245" s="72">
        <v>44245</v>
      </c>
      <c r="B245" s="73">
        <v>190723.92</v>
      </c>
      <c r="C245" s="757">
        <f t="shared" si="7"/>
        <v>0.74491882433387135</v>
      </c>
      <c r="D245">
        <v>30</v>
      </c>
      <c r="E245" s="74"/>
      <c r="I245" s="72">
        <v>44245</v>
      </c>
      <c r="J245" s="73">
        <v>0</v>
      </c>
      <c r="K245" s="78">
        <f t="shared" si="6"/>
        <v>0</v>
      </c>
      <c r="L245">
        <v>30</v>
      </c>
      <c r="M245" s="74"/>
    </row>
    <row r="246" spans="1:13">
      <c r="A246" s="72">
        <v>44246</v>
      </c>
      <c r="B246" s="73">
        <v>32183.95</v>
      </c>
      <c r="C246" s="757">
        <f t="shared" si="7"/>
        <v>-0.77603872259203155</v>
      </c>
      <c r="D246">
        <v>29</v>
      </c>
      <c r="E246" s="74"/>
      <c r="I246" s="72">
        <v>44246</v>
      </c>
      <c r="J246" s="73">
        <v>0</v>
      </c>
      <c r="K246" s="78">
        <f t="shared" si="6"/>
        <v>-1</v>
      </c>
      <c r="L246">
        <v>29</v>
      </c>
      <c r="M246" s="74"/>
    </row>
    <row r="247" spans="1:13">
      <c r="A247" s="72">
        <v>44249</v>
      </c>
      <c r="B247" s="73">
        <v>98316.94</v>
      </c>
      <c r="C247" s="757">
        <f t="shared" si="7"/>
        <v>0.27272602528702594</v>
      </c>
      <c r="D247">
        <v>28</v>
      </c>
      <c r="E247" s="74"/>
      <c r="I247" s="72">
        <v>44249</v>
      </c>
      <c r="J247" s="73">
        <v>0</v>
      </c>
      <c r="K247" s="78">
        <f t="shared" si="6"/>
        <v>0</v>
      </c>
      <c r="L247">
        <v>28</v>
      </c>
      <c r="M247" s="74"/>
    </row>
    <row r="248" spans="1:13">
      <c r="A248" s="72">
        <v>44250</v>
      </c>
      <c r="B248" s="73">
        <v>102759.32</v>
      </c>
      <c r="C248" s="757">
        <f t="shared" si="7"/>
        <v>-0.17163857439312807</v>
      </c>
      <c r="D248">
        <v>27</v>
      </c>
      <c r="E248" s="74"/>
      <c r="I248" s="72">
        <v>44250</v>
      </c>
      <c r="J248" s="73">
        <v>0</v>
      </c>
      <c r="K248" s="78">
        <f t="shared" si="6"/>
        <v>-1</v>
      </c>
      <c r="L248">
        <v>27</v>
      </c>
      <c r="M248" s="74"/>
    </row>
    <row r="249" spans="1:13">
      <c r="A249" s="72">
        <v>44251</v>
      </c>
      <c r="B249" s="73">
        <v>65110.400000000001</v>
      </c>
      <c r="C249" s="757">
        <f t="shared" si="7"/>
        <v>-0.66450475981913981</v>
      </c>
      <c r="D249">
        <v>26</v>
      </c>
      <c r="E249" s="74"/>
      <c r="I249" s="72">
        <v>44251</v>
      </c>
      <c r="J249" s="73">
        <v>145.28870000000001</v>
      </c>
      <c r="K249" s="78">
        <f t="shared" si="6"/>
        <v>0</v>
      </c>
      <c r="L249">
        <v>26</v>
      </c>
      <c r="M249" s="74"/>
    </row>
    <row r="250" spans="1:13">
      <c r="A250" s="72">
        <v>44252</v>
      </c>
      <c r="B250" s="73">
        <v>87221.45</v>
      </c>
      <c r="C250" s="757">
        <f t="shared" si="7"/>
        <v>-0.74661766938495699</v>
      </c>
      <c r="D250">
        <v>25</v>
      </c>
      <c r="E250" s="74"/>
      <c r="I250" s="72">
        <v>44252</v>
      </c>
      <c r="J250" s="73">
        <v>2963.8914</v>
      </c>
      <c r="K250" s="78">
        <f t="shared" si="6"/>
        <v>0</v>
      </c>
      <c r="L250">
        <v>25</v>
      </c>
      <c r="M250" s="74"/>
    </row>
    <row r="251" spans="1:13">
      <c r="A251" s="72">
        <v>44253</v>
      </c>
      <c r="B251" s="73">
        <v>209862.84</v>
      </c>
      <c r="C251" s="757">
        <f t="shared" si="7"/>
        <v>0.65700794494001191</v>
      </c>
      <c r="D251">
        <v>24</v>
      </c>
      <c r="E251" s="74"/>
      <c r="I251" s="72">
        <v>44253</v>
      </c>
      <c r="J251" s="73">
        <v>2905.7757999999999</v>
      </c>
      <c r="K251" s="78">
        <f t="shared" si="6"/>
        <v>0</v>
      </c>
      <c r="L251">
        <v>24</v>
      </c>
      <c r="M251" s="74"/>
    </row>
    <row r="252" spans="1:13">
      <c r="A252" s="72">
        <v>44256</v>
      </c>
      <c r="B252" s="73">
        <v>206394.18</v>
      </c>
      <c r="C252" s="757">
        <f t="shared" si="7"/>
        <v>0.39591402279813709</v>
      </c>
      <c r="D252">
        <v>23</v>
      </c>
      <c r="E252" s="74"/>
      <c r="I252" s="72">
        <v>44256</v>
      </c>
      <c r="J252" s="73">
        <v>-2.5999999999999999E-3</v>
      </c>
      <c r="K252" s="78">
        <f t="shared" si="6"/>
        <v>0</v>
      </c>
      <c r="L252">
        <v>23</v>
      </c>
      <c r="M252" s="74"/>
    </row>
    <row r="253" spans="1:13">
      <c r="A253" s="72">
        <v>44257</v>
      </c>
      <c r="B253" s="73">
        <v>90329.1</v>
      </c>
      <c r="C253" s="757">
        <f t="shared" si="7"/>
        <v>2.9401307089435412E-2</v>
      </c>
      <c r="D253">
        <v>22</v>
      </c>
      <c r="E253" s="74"/>
      <c r="I253" s="72">
        <v>44257</v>
      </c>
      <c r="J253" s="73">
        <v>0</v>
      </c>
      <c r="K253" s="78">
        <f t="shared" si="6"/>
        <v>0</v>
      </c>
      <c r="L253">
        <v>22</v>
      </c>
      <c r="M253" s="74"/>
    </row>
    <row r="254" spans="1:13">
      <c r="A254" s="72">
        <v>44258</v>
      </c>
      <c r="B254" s="73">
        <v>221768.68</v>
      </c>
      <c r="C254" s="757">
        <f t="shared" si="7"/>
        <v>0.73528325966336383</v>
      </c>
      <c r="D254">
        <v>21</v>
      </c>
      <c r="E254" s="74"/>
      <c r="I254" s="72">
        <v>44258</v>
      </c>
      <c r="J254" s="73">
        <v>0</v>
      </c>
      <c r="K254" s="78">
        <f t="shared" si="6"/>
        <v>0</v>
      </c>
      <c r="L254">
        <v>21</v>
      </c>
      <c r="M254" s="74"/>
    </row>
    <row r="255" spans="1:13">
      <c r="A255" s="72">
        <v>44259</v>
      </c>
      <c r="B255" s="73">
        <v>117978.86</v>
      </c>
      <c r="C255" s="757">
        <f t="shared" si="7"/>
        <v>0.63407547041758816</v>
      </c>
      <c r="D255">
        <v>20</v>
      </c>
      <c r="E255" s="74"/>
      <c r="I255" s="72">
        <v>44259</v>
      </c>
      <c r="J255" s="73">
        <v>0</v>
      </c>
      <c r="K255" s="78">
        <f t="shared" si="6"/>
        <v>0</v>
      </c>
      <c r="L255">
        <v>20</v>
      </c>
      <c r="M255" s="74"/>
    </row>
    <row r="256" spans="1:13">
      <c r="A256" s="72">
        <v>44260</v>
      </c>
      <c r="B256" s="76">
        <v>124740.38</v>
      </c>
      <c r="C256" s="757">
        <f t="shared" si="7"/>
        <v>-0.40812409598514438</v>
      </c>
      <c r="D256">
        <v>19</v>
      </c>
      <c r="E256" s="74"/>
      <c r="I256" s="72">
        <v>44260</v>
      </c>
      <c r="J256" s="76">
        <v>97.128</v>
      </c>
      <c r="K256" s="78">
        <f t="shared" si="6"/>
        <v>0</v>
      </c>
      <c r="L256">
        <v>19</v>
      </c>
      <c r="M256" s="74"/>
    </row>
    <row r="257" spans="1:13">
      <c r="A257" s="72">
        <v>44263</v>
      </c>
      <c r="B257" s="73">
        <v>119667.57</v>
      </c>
      <c r="C257" s="757">
        <f t="shared" si="7"/>
        <v>0.57294487759251367</v>
      </c>
      <c r="D257">
        <v>18</v>
      </c>
      <c r="E257" s="74"/>
      <c r="I257" s="72">
        <v>44263</v>
      </c>
      <c r="J257" s="73">
        <v>2.5999999999999999E-3</v>
      </c>
      <c r="K257" s="78">
        <f t="shared" si="6"/>
        <v>0</v>
      </c>
      <c r="L257">
        <v>18</v>
      </c>
      <c r="M257" s="74"/>
    </row>
    <row r="258" spans="1:13">
      <c r="A258" s="72">
        <v>44264</v>
      </c>
      <c r="B258" s="73">
        <v>110796.55</v>
      </c>
      <c r="C258" s="757">
        <f t="shared" si="7"/>
        <v>-0.56837159999267617</v>
      </c>
      <c r="D258">
        <v>17</v>
      </c>
      <c r="E258" s="74"/>
      <c r="I258" s="72">
        <v>44264</v>
      </c>
      <c r="J258" s="73">
        <v>2.5999999999999999E-3</v>
      </c>
      <c r="K258" s="78">
        <f t="shared" si="6"/>
        <v>0</v>
      </c>
      <c r="L258">
        <v>17</v>
      </c>
      <c r="M258" s="74"/>
    </row>
    <row r="259" spans="1:13">
      <c r="A259" s="72">
        <v>44265</v>
      </c>
      <c r="B259" s="73">
        <v>212488.48</v>
      </c>
      <c r="C259" s="757">
        <f t="shared" si="7"/>
        <v>0.2561512925610826</v>
      </c>
      <c r="D259">
        <v>16</v>
      </c>
      <c r="E259" s="74"/>
      <c r="I259" s="72">
        <v>44265</v>
      </c>
      <c r="J259" s="73">
        <v>2.5999999999999999E-3</v>
      </c>
      <c r="K259" s="78">
        <f t="shared" si="6"/>
        <v>0</v>
      </c>
      <c r="L259">
        <v>16</v>
      </c>
      <c r="M259" s="74"/>
    </row>
    <row r="260" spans="1:13">
      <c r="A260" s="72">
        <v>44266</v>
      </c>
      <c r="B260" s="73">
        <v>242716.99</v>
      </c>
      <c r="C260" s="757">
        <f t="shared" si="7"/>
        <v>-2.3912313487606383E-2</v>
      </c>
      <c r="D260">
        <v>15</v>
      </c>
      <c r="E260" s="74"/>
      <c r="I260" s="72">
        <v>44266</v>
      </c>
      <c r="J260" s="73">
        <v>2.5999999999999999E-3</v>
      </c>
      <c r="K260" s="78">
        <f t="shared" si="6"/>
        <v>0</v>
      </c>
      <c r="L260">
        <v>15</v>
      </c>
      <c r="M260" s="74"/>
    </row>
    <row r="261" spans="1:13">
      <c r="A261" s="72">
        <v>44267</v>
      </c>
      <c r="B261" s="73">
        <v>139379.81</v>
      </c>
      <c r="C261" s="757">
        <f t="shared" si="7"/>
        <v>2.1883880569564278</v>
      </c>
      <c r="D261">
        <v>14</v>
      </c>
      <c r="E261" s="74"/>
      <c r="I261" s="72">
        <v>44267</v>
      </c>
      <c r="J261" s="73">
        <v>2.5999999999999999E-3</v>
      </c>
      <c r="K261" s="78">
        <f t="shared" si="6"/>
        <v>0</v>
      </c>
      <c r="L261">
        <v>14</v>
      </c>
      <c r="M261" s="74"/>
    </row>
    <row r="262" spans="1:13">
      <c r="A262" s="72">
        <v>44270</v>
      </c>
      <c r="B262" s="73">
        <v>259714.54</v>
      </c>
      <c r="C262" s="757">
        <f t="shared" si="7"/>
        <v>3.722931814466274</v>
      </c>
      <c r="D262">
        <v>13</v>
      </c>
      <c r="E262" s="74"/>
      <c r="I262" s="72">
        <v>44270</v>
      </c>
      <c r="J262" s="73">
        <v>2.5999999999999999E-3</v>
      </c>
      <c r="K262" s="78">
        <f t="shared" si="6"/>
        <v>0</v>
      </c>
      <c r="L262">
        <v>13</v>
      </c>
      <c r="M262" s="74"/>
    </row>
    <row r="263" spans="1:13">
      <c r="A263" s="72">
        <v>44271</v>
      </c>
      <c r="B263" s="73">
        <v>362034.45</v>
      </c>
      <c r="C263" s="757">
        <f t="shared" si="7"/>
        <v>6.0201046749254283</v>
      </c>
      <c r="D263">
        <v>12</v>
      </c>
      <c r="E263" s="74"/>
      <c r="I263" s="72">
        <v>44271</v>
      </c>
      <c r="J263" s="73">
        <v>2.5999999999999999E-3</v>
      </c>
      <c r="K263" s="78">
        <f t="shared" si="6"/>
        <v>-0.99999970273434324</v>
      </c>
      <c r="L263">
        <v>12</v>
      </c>
      <c r="M263" s="74"/>
    </row>
    <row r="264" spans="1:13">
      <c r="A264" s="72">
        <v>44272</v>
      </c>
      <c r="B264" s="73">
        <v>103328.36</v>
      </c>
      <c r="C264" s="757">
        <f t="shared" si="7"/>
        <v>-0.60379151426284983</v>
      </c>
      <c r="D264">
        <v>11</v>
      </c>
      <c r="E264" s="74"/>
      <c r="I264" s="72">
        <v>44272</v>
      </c>
      <c r="J264" s="73">
        <v>485.62939999999998</v>
      </c>
      <c r="K264" s="78">
        <f t="shared" si="6"/>
        <v>0</v>
      </c>
      <c r="L264">
        <v>11</v>
      </c>
      <c r="M264" s="74"/>
    </row>
    <row r="265" spans="1:13">
      <c r="A265" s="72">
        <v>44273</v>
      </c>
      <c r="B265" s="73">
        <v>87554.33</v>
      </c>
      <c r="C265" s="757">
        <f t="shared" si="7"/>
        <v>0.35088835610340668</v>
      </c>
      <c r="D265">
        <v>10</v>
      </c>
      <c r="E265" s="74"/>
      <c r="I265" s="72">
        <v>44273</v>
      </c>
      <c r="J265" s="73">
        <v>2.5999999999999999E-3</v>
      </c>
      <c r="K265" s="78">
        <f t="shared" si="6"/>
        <v>0</v>
      </c>
      <c r="L265">
        <v>10</v>
      </c>
      <c r="M265" s="74"/>
    </row>
    <row r="266" spans="1:13">
      <c r="A266" s="72">
        <v>44274</v>
      </c>
      <c r="B266" s="73">
        <v>75309.399999999994</v>
      </c>
      <c r="C266" s="757">
        <f t="shared" si="7"/>
        <v>-0.60513919806178484</v>
      </c>
      <c r="D266">
        <v>9</v>
      </c>
      <c r="E266" s="74"/>
      <c r="I266" s="72">
        <v>44274</v>
      </c>
      <c r="J266" s="73">
        <v>2.5999999999999999E-3</v>
      </c>
      <c r="K266" s="78">
        <f t="shared" si="6"/>
        <v>0</v>
      </c>
      <c r="L266">
        <v>9</v>
      </c>
      <c r="M266" s="74"/>
    </row>
    <row r="267" spans="1:13">
      <c r="A267" s="72">
        <v>44277</v>
      </c>
      <c r="B267" s="73">
        <v>140788.82999999999</v>
      </c>
      <c r="C267" s="757">
        <f t="shared" si="7"/>
        <v>3.3745043725210855</v>
      </c>
      <c r="D267">
        <v>8</v>
      </c>
      <c r="E267" s="74"/>
      <c r="I267" s="72">
        <v>44277</v>
      </c>
      <c r="J267" s="73">
        <v>2.5999999999999999E-3</v>
      </c>
      <c r="K267" s="78">
        <f t="shared" si="6"/>
        <v>0</v>
      </c>
      <c r="L267">
        <v>8</v>
      </c>
      <c r="M267" s="74"/>
    </row>
    <row r="268" spans="1:13">
      <c r="A268" s="72">
        <v>44278</v>
      </c>
      <c r="B268" s="73">
        <v>102308.72</v>
      </c>
      <c r="C268" s="757">
        <f t="shared" si="7"/>
        <v>4.0601141573364662E-2</v>
      </c>
      <c r="D268">
        <v>7</v>
      </c>
      <c r="E268" s="74"/>
      <c r="I268" s="72">
        <v>44278</v>
      </c>
      <c r="J268" s="73">
        <v>2.5999999999999999E-3</v>
      </c>
      <c r="K268" s="78">
        <f t="shared" si="6"/>
        <v>0</v>
      </c>
      <c r="L268">
        <v>7</v>
      </c>
      <c r="M268" s="74"/>
    </row>
    <row r="269" spans="1:13">
      <c r="A269" s="72">
        <v>44279</v>
      </c>
      <c r="B269" s="73">
        <v>115072.86</v>
      </c>
      <c r="C269" s="757">
        <f t="shared" si="7"/>
        <v>0.11982893619770929</v>
      </c>
      <c r="D269">
        <v>6</v>
      </c>
      <c r="E269" s="74"/>
      <c r="I269" s="72">
        <v>44279</v>
      </c>
      <c r="J269" s="73">
        <v>2.5999999999999999E-3</v>
      </c>
      <c r="K269" s="78">
        <f t="shared" si="6"/>
        <v>0</v>
      </c>
      <c r="L269">
        <v>6</v>
      </c>
      <c r="M269" s="74"/>
    </row>
    <row r="270" spans="1:13">
      <c r="A270" s="72">
        <v>44280</v>
      </c>
      <c r="B270" s="73">
        <v>234645.16</v>
      </c>
      <c r="C270" s="757">
        <f t="shared" si="7"/>
        <v>2.6038046149309482</v>
      </c>
      <c r="D270">
        <v>5</v>
      </c>
      <c r="E270" s="74"/>
      <c r="I270" s="72">
        <v>44280</v>
      </c>
      <c r="J270" s="73">
        <v>2.5999999999999999E-3</v>
      </c>
      <c r="K270" s="78">
        <f t="shared" si="6"/>
        <v>-0.99998210459588388</v>
      </c>
      <c r="L270">
        <v>5</v>
      </c>
      <c r="M270" s="74"/>
    </row>
    <row r="271" spans="1:13">
      <c r="A271" s="72">
        <v>44281</v>
      </c>
      <c r="B271" s="73">
        <v>92493.64</v>
      </c>
      <c r="C271" s="757">
        <f t="shared" si="7"/>
        <v>6.0446025604940098E-2</v>
      </c>
      <c r="D271">
        <v>4</v>
      </c>
      <c r="E271" s="74"/>
      <c r="I271" s="72">
        <v>44281</v>
      </c>
      <c r="J271" s="73">
        <v>2.5999999999999999E-3</v>
      </c>
      <c r="K271" s="78">
        <f t="shared" si="6"/>
        <v>-0.99999912277487635</v>
      </c>
      <c r="L271">
        <v>4</v>
      </c>
      <c r="M271" s="74"/>
    </row>
    <row r="272" spans="1:13">
      <c r="A272" s="72">
        <v>44284</v>
      </c>
      <c r="B272" s="73">
        <v>533279.69999999995</v>
      </c>
      <c r="C272" s="757">
        <f t="shared" si="7"/>
        <v>1.5410868355731773</v>
      </c>
      <c r="D272">
        <v>3</v>
      </c>
      <c r="E272" s="74"/>
      <c r="I272" s="72">
        <v>44284</v>
      </c>
      <c r="J272" s="73">
        <v>2.5999999999999999E-3</v>
      </c>
      <c r="K272" s="78">
        <f t="shared" si="6"/>
        <v>-0.99999910523034852</v>
      </c>
      <c r="L272">
        <v>3</v>
      </c>
      <c r="M272" s="74"/>
    </row>
    <row r="273" spans="1:19">
      <c r="A273" s="72">
        <v>44285</v>
      </c>
      <c r="B273" s="73">
        <v>244026.92</v>
      </c>
      <c r="C273" s="757">
        <f t="shared" si="7"/>
        <v>0.18233430807012108</v>
      </c>
      <c r="D273">
        <v>2</v>
      </c>
      <c r="I273" s="72">
        <v>44285</v>
      </c>
      <c r="J273" s="73">
        <v>2.5999999999999999E-3</v>
      </c>
      <c r="K273" s="78">
        <f>IF(J252&lt;&gt;0,(J273-J252)/J252,0)</f>
        <v>-2</v>
      </c>
      <c r="L273">
        <v>2</v>
      </c>
    </row>
    <row r="274" spans="1:19" ht="15">
      <c r="A274" s="72">
        <v>44286</v>
      </c>
      <c r="B274" s="73">
        <v>137544.45000000001</v>
      </c>
      <c r="C274" s="757">
        <f t="shared" si="7"/>
        <v>0.52270364699747929</v>
      </c>
      <c r="D274">
        <v>1</v>
      </c>
      <c r="E274" s="81"/>
      <c r="I274" s="72">
        <v>44286</v>
      </c>
      <c r="J274" s="73">
        <v>113.3537</v>
      </c>
      <c r="K274" s="78">
        <f>IF(J253&lt;&gt;0,(J274-J253)/J253,0)</f>
        <v>0</v>
      </c>
      <c r="L274">
        <v>1</v>
      </c>
      <c r="M274" s="81"/>
    </row>
    <row r="275" spans="1:19" ht="16.5">
      <c r="A275" s="82"/>
      <c r="C275" s="83"/>
      <c r="D275" s="296" t="s">
        <v>300</v>
      </c>
      <c r="I275" s="82"/>
      <c r="K275" s="83"/>
      <c r="L275" s="296" t="s">
        <v>300</v>
      </c>
      <c r="S275" s="140"/>
    </row>
    <row r="276" spans="1:19" ht="16.5">
      <c r="A276" s="84"/>
      <c r="C276" s="83"/>
      <c r="D276" s="296" t="s">
        <v>301</v>
      </c>
      <c r="I276" s="84"/>
      <c r="K276" s="83"/>
      <c r="L276" s="296" t="s">
        <v>301</v>
      </c>
    </row>
    <row r="277" spans="1:19" ht="16.5">
      <c r="A277" s="84" t="s">
        <v>302</v>
      </c>
      <c r="B277" s="297">
        <v>1.645</v>
      </c>
      <c r="C277" s="83">
        <f>STDEV(C23:C274)</f>
        <v>1.4677401098632128</v>
      </c>
      <c r="E277" s="296"/>
      <c r="I277" s="84" t="s">
        <v>302</v>
      </c>
      <c r="J277" s="297">
        <v>1.645</v>
      </c>
      <c r="K277" s="83">
        <f>STDEV(K23:K274)</f>
        <v>0.38095345316488499</v>
      </c>
      <c r="M277" s="296"/>
    </row>
    <row r="278" spans="1:19" ht="15">
      <c r="A278" s="82"/>
      <c r="C278" s="86"/>
      <c r="I278" s="82"/>
      <c r="K278" s="86"/>
    </row>
    <row r="279" spans="1:19">
      <c r="A279" s="110"/>
      <c r="B279" s="111"/>
      <c r="C279" s="112" t="s">
        <v>187</v>
      </c>
      <c r="D279" s="112" t="s">
        <v>188</v>
      </c>
      <c r="E279" s="112" t="s">
        <v>201</v>
      </c>
      <c r="I279" s="110"/>
      <c r="J279" s="111"/>
      <c r="K279" s="112" t="s">
        <v>187</v>
      </c>
      <c r="L279" s="112" t="s">
        <v>188</v>
      </c>
      <c r="M279" s="112" t="s">
        <v>201</v>
      </c>
    </row>
    <row r="280" spans="1:19">
      <c r="A280" s="766" t="s">
        <v>189</v>
      </c>
      <c r="B280" s="113"/>
      <c r="C280" s="114">
        <f>$C$277*$B$277</f>
        <v>2.4144324807249853</v>
      </c>
      <c r="D280" s="115">
        <f>C280*$B$274</f>
        <v>332091.78762345371</v>
      </c>
      <c r="E280" s="763">
        <f>IF(D280&gt;$B$274,$B$274,D280)</f>
        <v>137544.45000000001</v>
      </c>
      <c r="I280" s="766" t="s">
        <v>189</v>
      </c>
      <c r="J280" s="778"/>
      <c r="K280" s="114">
        <f>$K$277*$J$277</f>
        <v>0.62666843045623577</v>
      </c>
      <c r="L280" s="115">
        <f>K280*$J$274</f>
        <v>71.035185265407009</v>
      </c>
      <c r="M280" s="763">
        <f>IF(L280&gt;$J$274,$J$274,L280)</f>
        <v>71.035185265407009</v>
      </c>
    </row>
    <row r="281" spans="1:19">
      <c r="A281" s="766" t="s">
        <v>202</v>
      </c>
      <c r="B281" s="113"/>
      <c r="C281" s="114">
        <f>$C$277*$B$277*SQRT(2)</f>
        <v>3.4145231596753907</v>
      </c>
      <c r="D281" s="115">
        <f>C281*$B$274</f>
        <v>469648.71000981383</v>
      </c>
      <c r="E281" s="763">
        <f>IF(SUM(D281+D280)&gt;$B$274,$B$274-E280,D281-D280)</f>
        <v>0</v>
      </c>
      <c r="I281" s="766" t="s">
        <v>202</v>
      </c>
      <c r="J281" s="778"/>
      <c r="K281" s="114">
        <f>$K$277*$J$277*SQRT(2)</f>
        <v>0.88624299346226942</v>
      </c>
      <c r="L281" s="115">
        <f>K281*$J$274</f>
        <v>100.45892240802405</v>
      </c>
      <c r="M281" s="763">
        <f>IF(SUM(L281+L280)&gt;$J$274,$J$274-M280,L281-L280)</f>
        <v>42.318514734592995</v>
      </c>
    </row>
    <row r="282" spans="1:19">
      <c r="A282" s="766" t="s">
        <v>203</v>
      </c>
      <c r="B282" s="113"/>
      <c r="C282" s="114">
        <f>$C$277*$B$277*SQRT(3)</f>
        <v>4.1819197280602385</v>
      </c>
      <c r="D282" s="115">
        <f>C282*$B$274</f>
        <v>575199.84894019517</v>
      </c>
      <c r="E282" s="763">
        <f>IF(SUM(D282+D281)&gt;B274,0,D282-D281)</f>
        <v>0</v>
      </c>
      <c r="I282" s="766" t="s">
        <v>203</v>
      </c>
      <c r="J282" s="778"/>
      <c r="K282" s="114">
        <f>$K$277*$J$277*SQRT(3)</f>
        <v>1.0854215610496438</v>
      </c>
      <c r="L282" s="115">
        <f>K282*$J$274</f>
        <v>123.03655000475301</v>
      </c>
      <c r="M282" s="763">
        <f>IF(SUM(L282+L281)&gt;$J$274,0,L282-L281)</f>
        <v>0</v>
      </c>
    </row>
    <row r="283" spans="1:19">
      <c r="A283" s="766" t="s">
        <v>305</v>
      </c>
      <c r="B283" s="116"/>
      <c r="C283" s="117"/>
      <c r="D283" s="115"/>
      <c r="E283" s="763">
        <f>B274-SUM(E280:E282)</f>
        <v>0</v>
      </c>
      <c r="I283" s="766" t="s">
        <v>305</v>
      </c>
      <c r="J283" s="770"/>
      <c r="K283" s="117"/>
      <c r="L283" s="115"/>
      <c r="M283" s="763">
        <f>J274-SUM(M280:M282)</f>
        <v>0</v>
      </c>
    </row>
    <row r="284" spans="1:19">
      <c r="A284" s="118"/>
      <c r="B284" s="118"/>
      <c r="C284" s="119"/>
      <c r="D284" s="120"/>
      <c r="E284" s="121">
        <f>SUM(E280:E283)</f>
        <v>137544.45000000001</v>
      </c>
      <c r="I284" s="118"/>
      <c r="J284" s="118"/>
      <c r="K284" s="119"/>
      <c r="L284" s="120"/>
      <c r="M284" s="121">
        <f>SUM(M280:M283)</f>
        <v>113.3537</v>
      </c>
    </row>
    <row r="285" spans="1:19">
      <c r="A285" s="82"/>
      <c r="B285" s="123"/>
      <c r="C285" s="119"/>
      <c r="D285" s="124"/>
      <c r="E285" s="124">
        <f>+B274-E284</f>
        <v>0</v>
      </c>
      <c r="I285" s="82"/>
      <c r="J285" s="123"/>
      <c r="K285" s="119"/>
      <c r="L285" s="124"/>
      <c r="M285" s="124">
        <f>+J274-M284</f>
        <v>0</v>
      </c>
    </row>
    <row r="286" spans="1:19" ht="15">
      <c r="A286" s="82"/>
      <c r="B286" s="118"/>
      <c r="C286" s="119"/>
      <c r="D286" s="558">
        <v>2111</v>
      </c>
      <c r="E286" s="80"/>
      <c r="I286" s="82"/>
      <c r="J286" s="118"/>
      <c r="K286" s="119"/>
      <c r="L286" s="558">
        <v>2121</v>
      </c>
      <c r="M286" s="80"/>
    </row>
    <row r="287" spans="1:19">
      <c r="A287" s="122"/>
      <c r="B287" s="123"/>
      <c r="C287" s="125"/>
      <c r="D287" s="123"/>
      <c r="E287" s="124"/>
      <c r="I287" s="122"/>
      <c r="J287" s="123"/>
      <c r="K287" s="125"/>
      <c r="L287" s="123"/>
      <c r="M287" s="1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AE83"/>
  <sheetViews>
    <sheetView showGridLines="0" tabSelected="1" zoomScale="85" zoomScaleNormal="85" workbookViewId="0">
      <selection activeCell="D16" sqref="D16"/>
    </sheetView>
  </sheetViews>
  <sheetFormatPr baseColWidth="10" defaultRowHeight="15"/>
  <cols>
    <col min="1" max="1" width="30" style="159" customWidth="1"/>
    <col min="2" max="2" width="65.570312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3" width="13.28515625" style="24" bestFit="1" customWidth="1"/>
    <col min="24" max="24" width="13.140625" style="24" bestFit="1" customWidth="1"/>
    <col min="25" max="25" width="13.85546875" style="24" bestFit="1" customWidth="1"/>
    <col min="26" max="26" width="12.85546875" style="24" bestFit="1" customWidth="1"/>
    <col min="27" max="16384" width="11.42578125" style="24"/>
  </cols>
  <sheetData>
    <row r="1" spans="1:31" s="160" customFormat="1" ht="16.5">
      <c r="A1" s="853" t="s">
        <v>281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190" t="s">
        <v>282</v>
      </c>
      <c r="X1" s="191" t="str">
        <f>+Anx16AMN!R1</f>
        <v>28/02/2021</v>
      </c>
    </row>
    <row r="2" spans="1:31" s="160" customFormat="1" ht="16.5">
      <c r="A2" s="853" t="s">
        <v>280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192" t="s">
        <v>283</v>
      </c>
      <c r="X2" s="273">
        <f>+Anx16AMN!R2</f>
        <v>92459563.390000001</v>
      </c>
    </row>
    <row r="3" spans="1:31" s="160" customFormat="1" ht="16.5">
      <c r="A3" s="853" t="str">
        <f>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189" t="s">
        <v>284</v>
      </c>
      <c r="X3" s="191">
        <f>+Anx16AMN!R3</f>
        <v>3.7570000000000001</v>
      </c>
    </row>
    <row r="4" spans="1:31" s="160" customFormat="1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192" t="s">
        <v>285</v>
      </c>
      <c r="X4" s="273">
        <f>ROUND(X2/X3,2)</f>
        <v>24609945.010000002</v>
      </c>
    </row>
    <row r="5" spans="1:31" s="160" customFormat="1" ht="16.5">
      <c r="A5" s="860" t="s">
        <v>438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</row>
    <row r="6" spans="1:31" s="160" customFormat="1" ht="16.5">
      <c r="A6" s="161"/>
      <c r="B6" s="188"/>
    </row>
    <row r="7" spans="1:31" s="160" customFormat="1" ht="16.5">
      <c r="A7" s="161"/>
    </row>
    <row r="8" spans="1:31" s="160" customFormat="1" ht="16.5">
      <c r="A8" s="187" t="s">
        <v>5</v>
      </c>
      <c r="B8" s="44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222</v>
      </c>
      <c r="R8" s="859"/>
      <c r="S8" s="858" t="s">
        <v>221</v>
      </c>
      <c r="T8" s="859"/>
      <c r="U8" s="858" t="s">
        <v>20</v>
      </c>
      <c r="V8" s="859"/>
    </row>
    <row r="9" spans="1:31" s="160" customFormat="1" ht="16.5">
      <c r="A9" s="161"/>
      <c r="B9" s="186"/>
      <c r="C9" s="44" t="s">
        <v>205</v>
      </c>
      <c r="D9" s="44" t="s">
        <v>204</v>
      </c>
      <c r="E9" s="44" t="s">
        <v>205</v>
      </c>
      <c r="F9" s="44" t="s">
        <v>204</v>
      </c>
      <c r="G9" s="44" t="s">
        <v>205</v>
      </c>
      <c r="H9" s="44" t="s">
        <v>204</v>
      </c>
      <c r="I9" s="44" t="s">
        <v>205</v>
      </c>
      <c r="J9" s="44" t="s">
        <v>204</v>
      </c>
      <c r="K9" s="44" t="s">
        <v>205</v>
      </c>
      <c r="L9" s="44" t="s">
        <v>204</v>
      </c>
      <c r="M9" s="44" t="s">
        <v>205</v>
      </c>
      <c r="N9" s="44" t="s">
        <v>204</v>
      </c>
      <c r="O9" s="44" t="s">
        <v>205</v>
      </c>
      <c r="P9" s="44" t="s">
        <v>204</v>
      </c>
      <c r="Q9" s="44" t="s">
        <v>205</v>
      </c>
      <c r="R9" s="44" t="s">
        <v>204</v>
      </c>
      <c r="S9" s="44" t="s">
        <v>205</v>
      </c>
      <c r="T9" s="44" t="s">
        <v>204</v>
      </c>
      <c r="U9" s="44" t="s">
        <v>205</v>
      </c>
      <c r="V9" s="44" t="s">
        <v>204</v>
      </c>
      <c r="W9" s="160" t="s">
        <v>297</v>
      </c>
    </row>
    <row r="10" spans="1:31" s="160" customFormat="1" ht="16.5">
      <c r="A10" s="161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3"/>
      <c r="X10" s="263"/>
      <c r="Y10" s="263"/>
      <c r="Z10" s="263"/>
      <c r="AA10" s="263"/>
      <c r="AB10" s="263"/>
      <c r="AC10" s="263"/>
      <c r="AD10" s="263"/>
      <c r="AE10" s="263"/>
    </row>
    <row r="11" spans="1:31" s="166" customFormat="1" ht="16.5">
      <c r="A11" s="36" t="s">
        <v>277</v>
      </c>
      <c r="B11" s="185" t="s">
        <v>276</v>
      </c>
      <c r="C11" s="264">
        <f>ROUND(+Anx16AMN!C9+Anx16AMN!C64,2)</f>
        <v>32083618.649999999</v>
      </c>
      <c r="D11" s="264">
        <f>ROUND(Anx16AME!C9+Anx16AME!C64,2)</f>
        <v>2223154.31</v>
      </c>
      <c r="E11" s="264">
        <f>+Anx16AMN!D9+Anx16AMN!D64</f>
        <v>12255900.280000001</v>
      </c>
      <c r="F11" s="265">
        <f>ROUND(Anx16AME!D9+Anx16AME!D64,2)</f>
        <v>512317.15</v>
      </c>
      <c r="G11" s="264">
        <f>ROUND(Anx16AMN!E9+Anx16AMN!E64,2)</f>
        <v>6804949.8899999997</v>
      </c>
      <c r="H11" s="265">
        <f>ROUND(Anx16AME!E9+Anx16AME!E64,2)</f>
        <v>358954.75</v>
      </c>
      <c r="I11" s="264">
        <f>ROUND(Anx16AMN!F9+Anx16AMN!F64,2)</f>
        <v>704782.39</v>
      </c>
      <c r="J11" s="265">
        <f>ROUND(Anx16AME!F9+Anx16AME!F64,2)</f>
        <v>52398.51</v>
      </c>
      <c r="K11" s="264">
        <f>ROUND(Anx16AMN!G9+Anx16AMN!G64,2)</f>
        <v>4746051.08</v>
      </c>
      <c r="L11" s="265">
        <f>Anx16AME!G9+Anx16AME!G64</f>
        <v>57506.49</v>
      </c>
      <c r="M11" s="264">
        <f>Anx16AMN!H9+Anx16AMN!H64</f>
        <v>619378.12</v>
      </c>
      <c r="N11" s="265">
        <f>ROUND(Anx16AME!H9+Anx16AME!H64,2)</f>
        <v>32731.43</v>
      </c>
      <c r="O11" s="264">
        <f>ROUND(Anx16AMN!I9+Anx16AMN!I64,2)</f>
        <v>5437403.6500000004</v>
      </c>
      <c r="P11" s="265">
        <f>Anx16AME!I9+Anx16AME!I64</f>
        <v>43183.89</v>
      </c>
      <c r="Q11" s="264">
        <f>Anx16AMN!J9+Anx16AMN!J64</f>
        <v>1868898.11</v>
      </c>
      <c r="R11" s="265">
        <f>Anx16AME!J9+Anx16AME!J64</f>
        <v>66019.73</v>
      </c>
      <c r="S11" s="264">
        <f>SUM(Anx16AMN!K9:M9)+SUM(Anx16AMN!K64:M64)</f>
        <v>9936347.8599999975</v>
      </c>
      <c r="T11" s="265">
        <f>SUM(Anx16AME!K9:M9)+SUM(Anx16AME!K64:M64)</f>
        <v>767365.69</v>
      </c>
      <c r="U11" s="172">
        <f>C11+E11+G11+I11+K11+M11+O11+Q11+S11</f>
        <v>74457330.029999986</v>
      </c>
      <c r="V11" s="172">
        <f>D11+F11+H11+J11+L11+N11+P11+R11+T11</f>
        <v>4113631.95</v>
      </c>
      <c r="W11" s="568">
        <f>+Anx16AMN!N9+Anx16AMN!N64</f>
        <v>74457330.030000001</v>
      </c>
      <c r="X11" s="568">
        <f>+Anx16AME!N9+Anx16AME!N64</f>
        <v>4113631.95</v>
      </c>
      <c r="Y11" s="772">
        <f>+W11-U11</f>
        <v>0</v>
      </c>
      <c r="Z11" s="772">
        <f>+X11-V11</f>
        <v>0</v>
      </c>
      <c r="AA11" s="568"/>
      <c r="AB11" s="568"/>
      <c r="AC11" s="568"/>
      <c r="AD11" s="568"/>
      <c r="AE11" s="266"/>
    </row>
    <row r="12" spans="1:31" s="166" customFormat="1" ht="15" customHeight="1">
      <c r="A12" s="183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568"/>
      <c r="X12" s="568"/>
      <c r="Y12" s="772"/>
      <c r="Z12" s="772"/>
      <c r="AA12" s="568"/>
      <c r="AB12" s="568"/>
      <c r="AC12" s="568"/>
      <c r="AD12" s="568"/>
      <c r="AE12" s="266"/>
    </row>
    <row r="13" spans="1:31" s="166" customFormat="1" ht="15" customHeight="1">
      <c r="A13" s="183" t="s">
        <v>140</v>
      </c>
      <c r="B13" s="185" t="s">
        <v>274</v>
      </c>
      <c r="C13" s="178">
        <f>+C80</f>
        <v>0</v>
      </c>
      <c r="D13" s="178">
        <f t="shared" ref="D13:T13" si="0">+D80</f>
        <v>0</v>
      </c>
      <c r="E13" s="178">
        <f t="shared" si="0"/>
        <v>0</v>
      </c>
      <c r="F13" s="178">
        <f t="shared" si="0"/>
        <v>0</v>
      </c>
      <c r="G13" s="178">
        <f t="shared" si="0"/>
        <v>0</v>
      </c>
      <c r="H13" s="178">
        <f t="shared" si="0"/>
        <v>0</v>
      </c>
      <c r="I13" s="178">
        <f t="shared" si="0"/>
        <v>0</v>
      </c>
      <c r="J13" s="178">
        <f t="shared" si="0"/>
        <v>0</v>
      </c>
      <c r="K13" s="178">
        <f t="shared" si="0"/>
        <v>0</v>
      </c>
      <c r="L13" s="178">
        <f t="shared" si="0"/>
        <v>0</v>
      </c>
      <c r="M13" s="178">
        <f t="shared" si="0"/>
        <v>0</v>
      </c>
      <c r="N13" s="178">
        <f t="shared" si="0"/>
        <v>0</v>
      </c>
      <c r="O13" s="178">
        <f t="shared" si="0"/>
        <v>0</v>
      </c>
      <c r="P13" s="178">
        <f t="shared" si="0"/>
        <v>0</v>
      </c>
      <c r="Q13" s="178">
        <f t="shared" si="0"/>
        <v>0</v>
      </c>
      <c r="R13" s="178">
        <f t="shared" si="0"/>
        <v>0</v>
      </c>
      <c r="S13" s="178">
        <f t="shared" si="0"/>
        <v>0</v>
      </c>
      <c r="T13" s="178">
        <f t="shared" si="0"/>
        <v>0</v>
      </c>
      <c r="U13" s="172">
        <f t="shared" ref="U13:V19" si="1">C13+E13+G13+I13+K13+M13+O13+Q13+S13</f>
        <v>0</v>
      </c>
      <c r="V13" s="172">
        <f t="shared" si="1"/>
        <v>0</v>
      </c>
      <c r="W13" s="568"/>
      <c r="X13" s="568">
        <f>+Anx16AME!Q65</f>
        <v>0</v>
      </c>
      <c r="Y13" s="772">
        <f t="shared" ref="Y13:Z19" si="2">+W13-U13</f>
        <v>0</v>
      </c>
      <c r="Z13" s="772">
        <f t="shared" si="2"/>
        <v>0</v>
      </c>
      <c r="AA13" s="568" t="s">
        <v>431</v>
      </c>
      <c r="AB13" s="568"/>
      <c r="AC13" s="568"/>
      <c r="AD13" s="568"/>
      <c r="AE13" s="266"/>
    </row>
    <row r="14" spans="1:31" s="166" customFormat="1" ht="15" customHeight="1">
      <c r="A14" s="183" t="s">
        <v>273</v>
      </c>
      <c r="B14" s="171" t="s">
        <v>25</v>
      </c>
      <c r="C14" s="264">
        <f>+C81</f>
        <v>9513673.9199999999</v>
      </c>
      <c r="D14" s="264">
        <f t="shared" ref="D14:T14" si="3">+D81</f>
        <v>0</v>
      </c>
      <c r="E14" s="264">
        <f t="shared" si="3"/>
        <v>0</v>
      </c>
      <c r="F14" s="264">
        <f t="shared" si="3"/>
        <v>0</v>
      </c>
      <c r="G14" s="264">
        <f t="shared" si="3"/>
        <v>0</v>
      </c>
      <c r="H14" s="264">
        <f t="shared" si="3"/>
        <v>0</v>
      </c>
      <c r="I14" s="264">
        <f t="shared" si="3"/>
        <v>0</v>
      </c>
      <c r="J14" s="264">
        <f t="shared" si="3"/>
        <v>0</v>
      </c>
      <c r="K14" s="264">
        <f t="shared" si="3"/>
        <v>0</v>
      </c>
      <c r="L14" s="264">
        <f t="shared" si="3"/>
        <v>0</v>
      </c>
      <c r="M14" s="264">
        <f t="shared" si="3"/>
        <v>0</v>
      </c>
      <c r="N14" s="264">
        <f t="shared" si="3"/>
        <v>0</v>
      </c>
      <c r="O14" s="264">
        <f t="shared" si="3"/>
        <v>0</v>
      </c>
      <c r="P14" s="264">
        <f t="shared" si="3"/>
        <v>0</v>
      </c>
      <c r="Q14" s="264">
        <f t="shared" si="3"/>
        <v>0</v>
      </c>
      <c r="R14" s="264">
        <f t="shared" si="3"/>
        <v>0</v>
      </c>
      <c r="S14" s="264">
        <f t="shared" si="3"/>
        <v>0</v>
      </c>
      <c r="T14" s="264">
        <f t="shared" si="3"/>
        <v>0</v>
      </c>
      <c r="U14" s="172">
        <f t="shared" si="1"/>
        <v>9513673.9199999999</v>
      </c>
      <c r="V14" s="172">
        <f t="shared" si="1"/>
        <v>0</v>
      </c>
      <c r="W14" s="568">
        <f>+Anx16AMN!N11</f>
        <v>12585031.15</v>
      </c>
      <c r="X14" s="568">
        <f>+Anx16AME!N11</f>
        <v>0</v>
      </c>
      <c r="Y14" s="772">
        <f t="shared" si="2"/>
        <v>3071357.2300000004</v>
      </c>
      <c r="Z14" s="772">
        <f t="shared" si="2"/>
        <v>0</v>
      </c>
      <c r="AA14" s="568" t="s">
        <v>432</v>
      </c>
      <c r="AB14" s="568"/>
      <c r="AC14" s="568"/>
      <c r="AD14" s="568"/>
      <c r="AE14" s="266"/>
    </row>
    <row r="15" spans="1:31" s="166" customFormat="1" ht="15" customHeight="1">
      <c r="A15" s="40" t="s">
        <v>138</v>
      </c>
      <c r="B15" s="171" t="s">
        <v>26</v>
      </c>
      <c r="C15" s="264">
        <f>Anx16AMN!C12</f>
        <v>0</v>
      </c>
      <c r="D15" s="264">
        <f>Anx16AME!C12</f>
        <v>0</v>
      </c>
      <c r="E15" s="264">
        <f>Anx16AMN!D12</f>
        <v>0</v>
      </c>
      <c r="F15" s="265">
        <f>Anx16AME!D12</f>
        <v>0</v>
      </c>
      <c r="G15" s="264">
        <f>Anx16AMN!E12</f>
        <v>0</v>
      </c>
      <c r="H15" s="265">
        <f>Anx16AME!E12</f>
        <v>0</v>
      </c>
      <c r="I15" s="264">
        <f>ROUND(Anx16AMN!F12,2)</f>
        <v>0</v>
      </c>
      <c r="J15" s="265">
        <f>ROUND(Anx16AME!F12,2)</f>
        <v>0</v>
      </c>
      <c r="K15" s="264">
        <f>ROUND(Anx16AMN!G12,2)</f>
        <v>0</v>
      </c>
      <c r="L15" s="265">
        <f>Anx16AME!G12</f>
        <v>0</v>
      </c>
      <c r="M15" s="264">
        <f>Anx16AMN!H12</f>
        <v>0</v>
      </c>
      <c r="N15" s="265">
        <f>Anx16AME!H12</f>
        <v>0</v>
      </c>
      <c r="O15" s="264">
        <f>Anx16AMN!I12</f>
        <v>0</v>
      </c>
      <c r="P15" s="265">
        <f>Anx16AME!I12</f>
        <v>0</v>
      </c>
      <c r="Q15" s="264">
        <f>Anx16AMN!J12</f>
        <v>113349.12</v>
      </c>
      <c r="R15" s="265">
        <f>Anx16AME!J12</f>
        <v>0</v>
      </c>
      <c r="S15" s="264">
        <f>SUM(Anx16AMN!K12:M12)</f>
        <v>0</v>
      </c>
      <c r="T15" s="265">
        <f>SUM(Anx16AME!K12:M12)</f>
        <v>0</v>
      </c>
      <c r="U15" s="567">
        <f t="shared" si="1"/>
        <v>113349.12</v>
      </c>
      <c r="V15" s="178">
        <f t="shared" si="1"/>
        <v>0</v>
      </c>
      <c r="W15" s="568">
        <f>+Anx16AMN!N12</f>
        <v>113349.12</v>
      </c>
      <c r="X15" s="568">
        <f>+Anx16AME!N12</f>
        <v>0</v>
      </c>
      <c r="Y15" s="772">
        <f t="shared" si="2"/>
        <v>0</v>
      </c>
      <c r="Z15" s="772">
        <f t="shared" si="2"/>
        <v>0</v>
      </c>
      <c r="AA15" s="568"/>
      <c r="AB15" s="568"/>
      <c r="AC15" s="568"/>
      <c r="AD15" s="568"/>
      <c r="AE15" s="266"/>
    </row>
    <row r="16" spans="1:31" s="160" customFormat="1" ht="18.75" customHeight="1">
      <c r="A16" s="40" t="s">
        <v>272</v>
      </c>
      <c r="B16" s="176" t="s">
        <v>28</v>
      </c>
      <c r="C16" s="808">
        <f>Creditos!B27+SUM(AnxRendInt!C16:'AnxRendInt'!C19)</f>
        <v>1193385.8086078854</v>
      </c>
      <c r="D16" s="808">
        <f>Creditos!C27+SUM(AnxRendInt!D16:'AnxRendInt'!D19)</f>
        <v>3060.8309099702728</v>
      </c>
      <c r="E16" s="184">
        <f>Creditos!D27</f>
        <v>914674.70427960227</v>
      </c>
      <c r="F16" s="184">
        <f>Creditos!E27</f>
        <v>5134.2042373325221</v>
      </c>
      <c r="G16" s="184">
        <f>ROUND(Creditos!F27,2)</f>
        <v>1122231.7</v>
      </c>
      <c r="H16" s="184">
        <f>ROUND(Creditos!G27,2)</f>
        <v>5137.42</v>
      </c>
      <c r="I16" s="184">
        <f>ROUND(Creditos!H27,2)</f>
        <v>1135923.8600000001</v>
      </c>
      <c r="J16" s="184">
        <f>ROUND(Creditos!I27,2)</f>
        <v>5203.83</v>
      </c>
      <c r="K16" s="184">
        <f>ROUND(Creditos!J27,2)</f>
        <v>682570.55</v>
      </c>
      <c r="L16" s="184">
        <f>Creditos!K27</f>
        <v>2636.1355710903899</v>
      </c>
      <c r="M16" s="184">
        <f>Creditos!L27</f>
        <v>2699024.1668146742</v>
      </c>
      <c r="N16" s="184">
        <f>ROUND(Creditos!M27,2)</f>
        <v>6864.79</v>
      </c>
      <c r="O16" s="184">
        <f>ROUND(Creditos!N27,2)</f>
        <v>2871890.17</v>
      </c>
      <c r="P16" s="184">
        <f>Creditos!O27</f>
        <v>21006.341291019122</v>
      </c>
      <c r="Q16" s="184">
        <f>Creditos!P27</f>
        <v>4022573.0190004092</v>
      </c>
      <c r="R16" s="184">
        <f>Creditos!Q27</f>
        <v>21534.469081704297</v>
      </c>
      <c r="S16" s="184">
        <f>Creditos!R27</f>
        <v>36893589.962033167</v>
      </c>
      <c r="T16" s="566">
        <f>Creditos!S27</f>
        <v>229818.64000742103</v>
      </c>
      <c r="U16" s="491">
        <f t="shared" si="1"/>
        <v>51535863.940735742</v>
      </c>
      <c r="V16" s="178">
        <f t="shared" si="1"/>
        <v>300396.66109853762</v>
      </c>
      <c r="W16" s="568">
        <f>SUM(AnxRendInt!Y12:'AnxRendInt'!Y15)+SUM(AnxRendInt!Y16:'AnxRendInt'!Y19)</f>
        <v>51535863.93</v>
      </c>
      <c r="X16" s="568">
        <f>SUM(AnxRendInt!Z12:'AnxRendInt'!Z15)+SUM(AnxRendInt!Z16:'AnxRendInt'!Z19)</f>
        <v>300396.65999999997</v>
      </c>
      <c r="Y16" s="772">
        <f t="shared" si="2"/>
        <v>-1.0735742747783661E-2</v>
      </c>
      <c r="Z16" s="772">
        <f t="shared" si="2"/>
        <v>-1.0985376429744065E-3</v>
      </c>
      <c r="AA16" s="569"/>
      <c r="AB16" s="569"/>
      <c r="AC16" s="569"/>
      <c r="AD16" s="569"/>
      <c r="AE16" s="263"/>
    </row>
    <row r="17" spans="1:31" s="160" customFormat="1" ht="15" customHeight="1">
      <c r="A17" s="40" t="s">
        <v>271</v>
      </c>
      <c r="B17" s="176" t="s">
        <v>30</v>
      </c>
      <c r="C17" s="808">
        <f>Creditos!B28+SUM(AnxRendInt!C35:'AnxRendInt'!C36)</f>
        <v>8329418.7397425305</v>
      </c>
      <c r="D17" s="808">
        <f>Creditos!C28+SUM(AnxRendInt!D35:'AnxRendInt'!D36)</f>
        <v>1627.079536254555</v>
      </c>
      <c r="E17" s="184">
        <f>Creditos!D28</f>
        <v>8840369.3245443143</v>
      </c>
      <c r="F17" s="184">
        <f>Creditos!E28</f>
        <v>1626.8341232784967</v>
      </c>
      <c r="G17" s="184">
        <f>ROUND(Creditos!F28,2)</f>
        <v>8850412.5600000005</v>
      </c>
      <c r="H17" s="184">
        <f>ROUND(Creditos!G28,2)</f>
        <v>1647.33</v>
      </c>
      <c r="I17" s="184">
        <f>ROUND(Creditos!H28,2)</f>
        <v>8933826.3000000007</v>
      </c>
      <c r="J17" s="184">
        <f>ROUND(Creditos!I28,2)</f>
        <v>1859.26</v>
      </c>
      <c r="K17" s="184">
        <f>ROUND(Creditos!J28,2)</f>
        <v>8804866.6999999993</v>
      </c>
      <c r="L17" s="184">
        <f>Creditos!K28</f>
        <v>1706.4845119822671</v>
      </c>
      <c r="M17" s="184">
        <f>Creditos!L28</f>
        <v>8459436.4548235442</v>
      </c>
      <c r="N17" s="184">
        <f>ROUND(Creditos!M28,2)</f>
        <v>184.05</v>
      </c>
      <c r="O17" s="184">
        <f>ROUND(Creditos!N28,2)</f>
        <v>22401897.27</v>
      </c>
      <c r="P17" s="184">
        <f>Creditos!O28</f>
        <v>576.43293894429257</v>
      </c>
      <c r="Q17" s="184">
        <f>Creditos!P28</f>
        <v>17644427.809341896</v>
      </c>
      <c r="R17" s="184">
        <f>Creditos!Q28</f>
        <v>600.18190805321512</v>
      </c>
      <c r="S17" s="184">
        <f>Creditos!R28</f>
        <v>104569356.35594574</v>
      </c>
      <c r="T17" s="566">
        <f>Creditos!S28</f>
        <v>21799.06620027381</v>
      </c>
      <c r="U17" s="491">
        <f t="shared" si="1"/>
        <v>196834011.51439804</v>
      </c>
      <c r="V17" s="178">
        <f t="shared" si="1"/>
        <v>31626.719218786635</v>
      </c>
      <c r="W17" s="568">
        <f>SUM(AnxRendInt!Y33:'AnxRendInt'!Y34)+SUM(AnxRendInt!Y35:'AnxRendInt'!Y36)</f>
        <v>196834011.51999998</v>
      </c>
      <c r="X17" s="568">
        <f>SUM(AnxRendInt!Z33:'AnxRendInt'!Z34)+SUM(AnxRendInt!Z35:'AnxRendInt'!Z36)</f>
        <v>31626.720000000005</v>
      </c>
      <c r="Y17" s="772">
        <f t="shared" si="2"/>
        <v>5.6019425392150879E-3</v>
      </c>
      <c r="Z17" s="772">
        <f t="shared" si="2"/>
        <v>7.8121336991898715E-4</v>
      </c>
      <c r="AA17" s="569"/>
      <c r="AB17" s="569"/>
      <c r="AC17" s="569"/>
      <c r="AD17" s="569"/>
      <c r="AE17" s="263"/>
    </row>
    <row r="18" spans="1:31" s="160" customFormat="1" ht="15" customHeight="1">
      <c r="A18" s="40" t="s">
        <v>270</v>
      </c>
      <c r="B18" s="176" t="s">
        <v>32</v>
      </c>
      <c r="C18" s="184">
        <f>Creditos!B29+AnxRendInt!C47</f>
        <v>237842.1504265145</v>
      </c>
      <c r="D18" s="809">
        <f>Creditos!C29+AnxRendInt!D47</f>
        <v>5714.6052509007386</v>
      </c>
      <c r="E18" s="184">
        <f>Creditos!D29</f>
        <v>139768.49511830567</v>
      </c>
      <c r="F18" s="184">
        <f>Creditos!E29</f>
        <v>707.49835880301487</v>
      </c>
      <c r="G18" s="184">
        <f>ROUND(Creditos!F29,2)</f>
        <v>128046</v>
      </c>
      <c r="H18" s="184">
        <f>ROUND(Creditos!G29,2)</f>
        <v>0</v>
      </c>
      <c r="I18" s="184">
        <f>ROUND(Creditos!H29,2)</f>
        <v>144164.03</v>
      </c>
      <c r="J18" s="184">
        <f>ROUND(Creditos!I29,2)</f>
        <v>0</v>
      </c>
      <c r="K18" s="184">
        <f>ROUND(Creditos!J29,2)</f>
        <v>144000.43</v>
      </c>
      <c r="L18" s="184">
        <f>Creditos!K29</f>
        <v>0</v>
      </c>
      <c r="M18" s="184">
        <f>Creditos!L29</f>
        <v>138305.07429517127</v>
      </c>
      <c r="N18" s="184">
        <f>ROUND(Creditos!M29,2)</f>
        <v>0</v>
      </c>
      <c r="O18" s="184">
        <f>ROUND(Creditos!N29,2)</f>
        <v>445008.74</v>
      </c>
      <c r="P18" s="184">
        <f>Creditos!O29</f>
        <v>0</v>
      </c>
      <c r="Q18" s="184">
        <f>Creditos!P29</f>
        <v>436333.04586778086</v>
      </c>
      <c r="R18" s="184">
        <f>Creditos!Q29</f>
        <v>0</v>
      </c>
      <c r="S18" s="184">
        <f>Creditos!R29</f>
        <v>13209035.945206843</v>
      </c>
      <c r="T18" s="566">
        <f>Creditos!S29</f>
        <v>1136.0263902962456</v>
      </c>
      <c r="U18" s="491">
        <f t="shared" si="1"/>
        <v>15022503.910914615</v>
      </c>
      <c r="V18" s="178">
        <f t="shared" si="1"/>
        <v>7558.1299999999992</v>
      </c>
      <c r="W18" s="568">
        <f>+AnxRendInt!Y45+AnxRendInt!Y47</f>
        <v>15022503.91</v>
      </c>
      <c r="X18" s="568">
        <f>+AnxRendInt!Z45+AnxRendInt!Z47</f>
        <v>7558.1299999999992</v>
      </c>
      <c r="Y18" s="772">
        <f t="shared" si="2"/>
        <v>-9.1461464762687683E-4</v>
      </c>
      <c r="Z18" s="772">
        <f t="shared" si="2"/>
        <v>0</v>
      </c>
      <c r="AA18" s="569"/>
      <c r="AB18" s="569"/>
      <c r="AC18" s="569"/>
      <c r="AD18" s="569"/>
      <c r="AE18" s="263"/>
    </row>
    <row r="19" spans="1:31" s="160" customFormat="1" ht="15" customHeight="1">
      <c r="A19" s="40" t="s">
        <v>269</v>
      </c>
      <c r="B19" s="176" t="s">
        <v>34</v>
      </c>
      <c r="C19" s="184">
        <f>Creditos!B30+AnxRendInt!C53</f>
        <v>9010532.9723347668</v>
      </c>
      <c r="D19" s="809">
        <f>Creditos!C30+AnxRendInt!D53</f>
        <v>1274.7845654304515</v>
      </c>
      <c r="E19" s="184">
        <f>Creditos!D30</f>
        <v>3007589.2288484219</v>
      </c>
      <c r="F19" s="184">
        <f>Creditos!E30</f>
        <v>1103.2267088244262</v>
      </c>
      <c r="G19" s="184">
        <f>ROUND(Creditos!F30,2)</f>
        <v>2921233.6</v>
      </c>
      <c r="H19" s="184">
        <f>ROUND(Creditos!G30,2)</f>
        <v>1105.95</v>
      </c>
      <c r="I19" s="184">
        <f>ROUND(Creditos!H30,2)</f>
        <v>2965981.26</v>
      </c>
      <c r="J19" s="184">
        <f>ROUND(Creditos!I30,2)</f>
        <v>1133.49</v>
      </c>
      <c r="K19" s="184">
        <f>ROUND(Creditos!J30,2)</f>
        <v>2801849.65</v>
      </c>
      <c r="L19" s="184">
        <f>Creditos!K30</f>
        <v>1137.6053596346944</v>
      </c>
      <c r="M19" s="184">
        <f>Creditos!L30</f>
        <v>2687668.8372740182</v>
      </c>
      <c r="N19" s="184">
        <f>ROUND(Creditos!M30,2)</f>
        <v>1153.69</v>
      </c>
      <c r="O19" s="184">
        <f>ROUND(Creditos!N30,2)</f>
        <v>7596781.3700000001</v>
      </c>
      <c r="P19" s="184">
        <f>Creditos!O30</f>
        <v>3579.9340482902326</v>
      </c>
      <c r="Q19" s="184">
        <f>Creditos!P30</f>
        <v>6584443.9662610115</v>
      </c>
      <c r="R19" s="184">
        <f>Creditos!Q30</f>
        <v>3737.1445765382769</v>
      </c>
      <c r="S19" s="184">
        <f>Creditos!R30</f>
        <v>63226750.385358714</v>
      </c>
      <c r="T19" s="566">
        <f>Creditos!S30</f>
        <v>21960.637593489198</v>
      </c>
      <c r="U19" s="491">
        <f t="shared" si="1"/>
        <v>100802831.27007693</v>
      </c>
      <c r="V19" s="178">
        <f t="shared" si="1"/>
        <v>36186.462852207282</v>
      </c>
      <c r="W19" s="568">
        <f>+AnxRendInt!Y51+AnxRendInt!Y53</f>
        <v>100802831.26999998</v>
      </c>
      <c r="X19" s="568">
        <f>+AnxRendInt!Z51+AnxRendInt!Z53</f>
        <v>36186.47</v>
      </c>
      <c r="Y19" s="772">
        <f t="shared" si="2"/>
        <v>-7.6949596405029297E-5</v>
      </c>
      <c r="Z19" s="772">
        <f t="shared" si="2"/>
        <v>7.1477927194791846E-3</v>
      </c>
      <c r="AA19" s="569"/>
      <c r="AB19" s="569"/>
      <c r="AC19" s="569"/>
      <c r="AD19" s="569"/>
      <c r="AE19" s="263"/>
    </row>
    <row r="20" spans="1:31" s="160" customFormat="1" ht="15" customHeight="1">
      <c r="A20" s="183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566"/>
      <c r="V20" s="184"/>
      <c r="W20" s="568"/>
      <c r="X20" s="568"/>
      <c r="Y20" s="772"/>
      <c r="Z20" s="772"/>
      <c r="AA20" s="569"/>
      <c r="AB20" s="569"/>
      <c r="AC20" s="569"/>
      <c r="AD20" s="569"/>
      <c r="AE20" s="263"/>
    </row>
    <row r="21" spans="1:31" s="160" customFormat="1" ht="16.5">
      <c r="A21" s="40" t="s">
        <v>268</v>
      </c>
      <c r="B21" s="181" t="s">
        <v>38</v>
      </c>
      <c r="C21" s="264">
        <f>Anx16AMN!C45+Anx16AMN!C72</f>
        <v>1436052.3699999999</v>
      </c>
      <c r="D21" s="264">
        <f>ROUND(Anx16AME!C45+Anx16AME!C72,2)</f>
        <v>264.64</v>
      </c>
      <c r="E21" s="264">
        <f>Anx16AMN!D45+Anx16AMN!D72</f>
        <v>2110535.7799999998</v>
      </c>
      <c r="F21" s="265">
        <f>Anx16AME!D45+Anx16AME!D72</f>
        <v>0</v>
      </c>
      <c r="G21" s="264">
        <f>Anx16AMN!E45+Anx16AMN!E72</f>
        <v>932053.41999999993</v>
      </c>
      <c r="H21" s="265">
        <f>ROUND(Anx16AME!E45+Anx16AME!E72,2)</f>
        <v>336943.14</v>
      </c>
      <c r="I21" s="264">
        <f>Anx16AMN!F45+Anx16AMN!F72</f>
        <v>483710.98</v>
      </c>
      <c r="J21" s="265">
        <f>Anx16AME!F45+Anx16AME!F72</f>
        <v>0</v>
      </c>
      <c r="K21" s="264">
        <f>Anx16AMN!G45+Anx16AMN!G72</f>
        <v>0</v>
      </c>
      <c r="L21" s="265">
        <f>Anx16AME!G45+Anx16AME!G72</f>
        <v>433941.26</v>
      </c>
      <c r="M21" s="264">
        <f>Anx16AMN!H45+Anx16AMN!H72</f>
        <v>0</v>
      </c>
      <c r="N21" s="265">
        <f>Anx16AME!H45+Anx16AME!H72</f>
        <v>51703.91</v>
      </c>
      <c r="O21" s="264">
        <f>Anx16AMN!I45+Anx16AMN!I72</f>
        <v>0</v>
      </c>
      <c r="P21" s="265">
        <f>Anx16AME!I45+Anx16AME!I72</f>
        <v>0</v>
      </c>
      <c r="Q21" s="264">
        <f>Anx16AMN!J45+Anx16AMN!J72</f>
        <v>73005.36</v>
      </c>
      <c r="R21" s="265">
        <f>Anx16AME!J45+Anx16AME!J72</f>
        <v>0</v>
      </c>
      <c r="S21" s="264">
        <f>SUM(Anx16AMN!K45:M45)+SUM(Anx16AMN!K72:M72)</f>
        <v>131846.82</v>
      </c>
      <c r="T21" s="265">
        <f>SUM(Anx16AME!K45:M45)+SUM(Anx16AME!K72:M72)</f>
        <v>5893.51</v>
      </c>
      <c r="U21" s="172">
        <f>C21+E21+G21+I21+K21+M21+O21+Q21+S21</f>
        <v>5167204.7299999995</v>
      </c>
      <c r="V21" s="172">
        <f>D21+F21+H21+J21+L21+N21+P21+R21+T21</f>
        <v>828746.46000000008</v>
      </c>
      <c r="W21" s="568">
        <f>+Anx16AMN!Q45+Anx16AMN!Q72</f>
        <v>4173080.6499999994</v>
      </c>
      <c r="X21" s="568">
        <f>+Anx16AME!Q45+Anx16AME!Q72</f>
        <v>931125.07</v>
      </c>
      <c r="Y21" s="772">
        <f>+W21-U21</f>
        <v>-994124.08000000007</v>
      </c>
      <c r="Z21" s="772">
        <f>+X21-V21</f>
        <v>102378.60999999987</v>
      </c>
      <c r="AA21" s="569"/>
      <c r="AB21" s="569"/>
      <c r="AC21" s="569"/>
      <c r="AD21" s="569"/>
      <c r="AE21" s="263"/>
    </row>
    <row r="22" spans="1:31" s="166" customFormat="1" ht="15" customHeight="1">
      <c r="A22" s="167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568"/>
      <c r="X22" s="568"/>
      <c r="Y22" s="772"/>
      <c r="Z22" s="772"/>
      <c r="AA22" s="568"/>
      <c r="AB22" s="568"/>
      <c r="AC22" s="568"/>
      <c r="AD22" s="568"/>
      <c r="AE22" s="266"/>
    </row>
    <row r="23" spans="1:31" s="166" customFormat="1" ht="15" customHeight="1">
      <c r="A23" s="167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568"/>
      <c r="X23" s="568"/>
      <c r="Y23" s="772"/>
      <c r="Z23" s="772"/>
      <c r="AA23" s="568"/>
      <c r="AB23" s="568"/>
      <c r="AC23" s="568"/>
      <c r="AD23" s="568"/>
      <c r="AE23" s="266"/>
    </row>
    <row r="24" spans="1:31" s="166" customFormat="1" ht="16.5">
      <c r="A24" s="167"/>
      <c r="B24" s="180" t="s">
        <v>0</v>
      </c>
      <c r="C24" s="268">
        <f t="shared" ref="C24:U24" si="4">SUM(C11:C23)</f>
        <v>61804524.611111693</v>
      </c>
      <c r="D24" s="268">
        <f t="shared" si="4"/>
        <v>2235096.2502625561</v>
      </c>
      <c r="E24" s="268">
        <f t="shared" si="4"/>
        <v>27268837.812790647</v>
      </c>
      <c r="F24" s="268">
        <f t="shared" si="4"/>
        <v>520888.91342823848</v>
      </c>
      <c r="G24" s="268">
        <f t="shared" si="4"/>
        <v>20758927.170000002</v>
      </c>
      <c r="H24" s="268">
        <f t="shared" si="4"/>
        <v>703788.59000000008</v>
      </c>
      <c r="I24" s="268">
        <f t="shared" si="4"/>
        <v>14368388.82</v>
      </c>
      <c r="J24" s="268">
        <f t="shared" si="4"/>
        <v>60595.090000000004</v>
      </c>
      <c r="K24" s="268">
        <f t="shared" si="4"/>
        <v>17179338.409999996</v>
      </c>
      <c r="L24" s="268">
        <f t="shared" si="4"/>
        <v>496927.97544270736</v>
      </c>
      <c r="M24" s="268">
        <f t="shared" si="4"/>
        <v>14603812.653207408</v>
      </c>
      <c r="N24" s="268">
        <f t="shared" si="4"/>
        <v>92637.87000000001</v>
      </c>
      <c r="O24" s="268">
        <f t="shared" si="4"/>
        <v>38752981.199999996</v>
      </c>
      <c r="P24" s="268">
        <f t="shared" si="4"/>
        <v>68346.598278253645</v>
      </c>
      <c r="Q24" s="268">
        <f t="shared" si="4"/>
        <v>30743030.4304711</v>
      </c>
      <c r="R24" s="268">
        <f t="shared" si="4"/>
        <v>91891.525566295793</v>
      </c>
      <c r="S24" s="268">
        <f t="shared" si="4"/>
        <v>227966927.32854447</v>
      </c>
      <c r="T24" s="268">
        <f t="shared" si="4"/>
        <v>1047973.5701914802</v>
      </c>
      <c r="U24" s="268">
        <f t="shared" si="4"/>
        <v>453446768.43612534</v>
      </c>
      <c r="V24" s="268">
        <f>SUM(V11:V23)-0.01</f>
        <v>5318146.373169532</v>
      </c>
      <c r="W24" s="568">
        <f>+Anx16AMN!N47+Anx16AMN!N75</f>
        <v>467670672.17000002</v>
      </c>
      <c r="X24" s="568">
        <f>+Anx16AME!N47+Anx16AME!N75</f>
        <v>5480321.1299999999</v>
      </c>
      <c r="Y24" s="772">
        <f>+W24-U24</f>
        <v>14223903.733874679</v>
      </c>
      <c r="Z24" s="772">
        <f>+X24-V24</f>
        <v>162174.75683046784</v>
      </c>
      <c r="AA24" s="568" t="s">
        <v>370</v>
      </c>
      <c r="AB24" s="568"/>
      <c r="AC24" s="568"/>
      <c r="AD24" s="568"/>
      <c r="AE24" s="266"/>
    </row>
    <row r="25" spans="1:31" s="166" customFormat="1" ht="16.5">
      <c r="A25" s="167"/>
      <c r="B25" s="179" t="s">
        <v>40</v>
      </c>
      <c r="C25" s="268"/>
      <c r="D25" s="268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8"/>
      <c r="S25" s="269"/>
      <c r="T25" s="269"/>
      <c r="U25" s="269"/>
      <c r="V25" s="269"/>
      <c r="W25" s="568"/>
      <c r="X25" s="568"/>
      <c r="Y25" s="568">
        <f>Anx16AMN!N23+Anx16AMN!N33+Anx16AMN!N38+Anx16AMN!N42</f>
        <v>11152546.51</v>
      </c>
      <c r="Z25" s="568">
        <f>Anx16AME!N23+Anx16AME!N33+Anx16AME!N38+Anx16AME!N42</f>
        <v>162174.74</v>
      </c>
      <c r="AA25" s="568">
        <f>+Y24-Y14-Y25</f>
        <v>-6.1253216117620468E-3</v>
      </c>
      <c r="AB25" s="568">
        <f>+Z24-Z14-Z25-Z13</f>
        <v>1.6830467851832509E-2</v>
      </c>
      <c r="AC25" s="570"/>
      <c r="AD25" s="568"/>
      <c r="AE25" s="266"/>
    </row>
    <row r="26" spans="1:31" s="166" customFormat="1" ht="15" customHeight="1">
      <c r="A26" s="33" t="s">
        <v>115</v>
      </c>
      <c r="B26" s="169" t="s">
        <v>59</v>
      </c>
      <c r="C26" s="573">
        <f>+Anx16AMN!C77</f>
        <v>137544.45000000001</v>
      </c>
      <c r="D26" s="573">
        <f>+Anx16AME!C77</f>
        <v>71.040000000000006</v>
      </c>
      <c r="E26" s="573">
        <f>+Anx16AMN!D77</f>
        <v>0</v>
      </c>
      <c r="F26" s="573">
        <f>+Anx16AME!D77</f>
        <v>42.32</v>
      </c>
      <c r="G26" s="573">
        <f>+Anx16AMN!E77</f>
        <v>0</v>
      </c>
      <c r="H26" s="573">
        <f>+Anx16AME!E77</f>
        <v>0</v>
      </c>
      <c r="I26" s="574"/>
      <c r="J26" s="574"/>
      <c r="K26" s="574"/>
      <c r="L26" s="574"/>
      <c r="M26" s="574"/>
      <c r="N26" s="574"/>
      <c r="O26" s="574"/>
      <c r="P26" s="574"/>
      <c r="Q26" s="574"/>
      <c r="R26" s="573"/>
      <c r="S26" s="573">
        <f>+Anx16AMN!K77</f>
        <v>0</v>
      </c>
      <c r="T26" s="573">
        <f>+Anx16AME!K77</f>
        <v>0</v>
      </c>
      <c r="U26" s="172">
        <f>C26+E26+G26+I26+K26+M26+O26+Q26+S26</f>
        <v>137544.45000000001</v>
      </c>
      <c r="V26" s="172">
        <f>D26+F26+H26+J26+L26+N26+P26+R26+T26</f>
        <v>113.36000000000001</v>
      </c>
      <c r="W26" s="568">
        <f>+Anx16AMN!N77</f>
        <v>137544.45000000001</v>
      </c>
      <c r="X26" s="568">
        <f>+Anx16AME!N77</f>
        <v>113.36000000000001</v>
      </c>
      <c r="Y26" s="772">
        <f>+W26-U26</f>
        <v>0</v>
      </c>
      <c r="Z26" s="772">
        <f>+X26-V26</f>
        <v>0</v>
      </c>
      <c r="AA26" s="568"/>
      <c r="AB26" s="568"/>
      <c r="AC26" s="568"/>
      <c r="AD26" s="568"/>
      <c r="AE26" s="266"/>
    </row>
    <row r="27" spans="1:31" s="166" customFormat="1" ht="15" customHeight="1">
      <c r="A27" s="33" t="s">
        <v>115</v>
      </c>
      <c r="B27" s="169" t="s">
        <v>60</v>
      </c>
      <c r="C27" s="573">
        <f>+Anx16AMN!C78</f>
        <v>0</v>
      </c>
      <c r="D27" s="573">
        <f>+Anx16AME!C78</f>
        <v>0</v>
      </c>
      <c r="E27" s="573">
        <f>+Anx16AMN!D78</f>
        <v>0</v>
      </c>
      <c r="F27" s="573">
        <f>+Anx16AME!D78</f>
        <v>0</v>
      </c>
      <c r="G27" s="573">
        <f>+Anx16AMN!E78</f>
        <v>0</v>
      </c>
      <c r="H27" s="573">
        <f>+Anx16AME!E78</f>
        <v>0</v>
      </c>
      <c r="I27" s="574"/>
      <c r="J27" s="574"/>
      <c r="K27" s="574"/>
      <c r="L27" s="574"/>
      <c r="M27" s="574"/>
      <c r="N27" s="574"/>
      <c r="O27" s="574"/>
      <c r="P27" s="574"/>
      <c r="Q27" s="574"/>
      <c r="R27" s="573"/>
      <c r="S27" s="573">
        <f>+Anx16AMN!K78</f>
        <v>0</v>
      </c>
      <c r="T27" s="573">
        <f>+Anx16AME!K78</f>
        <v>0</v>
      </c>
      <c r="U27" s="172">
        <f t="shared" ref="U27:U42" si="5">C27+E27+G27+I27+K27+M27+O27+Q27+S27</f>
        <v>0</v>
      </c>
      <c r="V27" s="172">
        <f t="shared" ref="V27:V42" si="6">D27+F27+H27+J27+L27+N27+P27+R27+T27</f>
        <v>0</v>
      </c>
      <c r="W27" s="568">
        <f>+Anx16AMN!N78</f>
        <v>0</v>
      </c>
      <c r="X27" s="568">
        <f>+Anx16AME!N78</f>
        <v>0</v>
      </c>
      <c r="Y27" s="772">
        <f t="shared" ref="Y27:Z45" si="7">+W27-U27</f>
        <v>0</v>
      </c>
      <c r="Z27" s="772">
        <f t="shared" si="7"/>
        <v>0</v>
      </c>
      <c r="AA27" s="568"/>
      <c r="AB27" s="568"/>
      <c r="AC27" s="568"/>
      <c r="AD27" s="568"/>
      <c r="AE27" s="266"/>
    </row>
    <row r="28" spans="1:31" s="166" customFormat="1" ht="15" customHeight="1">
      <c r="A28" s="33" t="s">
        <v>115</v>
      </c>
      <c r="B28" s="169" t="s">
        <v>61</v>
      </c>
      <c r="C28" s="573">
        <f>+Anx16AMN!C79</f>
        <v>0</v>
      </c>
      <c r="D28" s="573">
        <f>+Anx16AME!C79</f>
        <v>0</v>
      </c>
      <c r="E28" s="573">
        <f>+Anx16AMN!D79</f>
        <v>0</v>
      </c>
      <c r="F28" s="573">
        <f>+Anx16AME!D79</f>
        <v>0</v>
      </c>
      <c r="G28" s="573">
        <f>+Anx16AMN!E79</f>
        <v>0</v>
      </c>
      <c r="H28" s="573">
        <f>+Anx16AME!E79</f>
        <v>0</v>
      </c>
      <c r="I28" s="574"/>
      <c r="J28" s="574"/>
      <c r="K28" s="574"/>
      <c r="L28" s="574"/>
      <c r="M28" s="574"/>
      <c r="N28" s="574"/>
      <c r="O28" s="574"/>
      <c r="P28" s="574"/>
      <c r="Q28" s="574"/>
      <c r="R28" s="573"/>
      <c r="S28" s="573">
        <f>+Anx16AMN!K79</f>
        <v>0</v>
      </c>
      <c r="T28" s="573">
        <f>+Anx16AME!K79</f>
        <v>0</v>
      </c>
      <c r="U28" s="172">
        <f t="shared" si="5"/>
        <v>0</v>
      </c>
      <c r="V28" s="172">
        <f t="shared" si="6"/>
        <v>0</v>
      </c>
      <c r="W28" s="568">
        <f>+Anx16AMN!N79</f>
        <v>0</v>
      </c>
      <c r="X28" s="568">
        <f>+Anx16AME!N79</f>
        <v>0</v>
      </c>
      <c r="Y28" s="772">
        <f t="shared" si="7"/>
        <v>0</v>
      </c>
      <c r="Z28" s="772">
        <f t="shared" si="7"/>
        <v>0</v>
      </c>
      <c r="AA28" s="568"/>
      <c r="AB28" s="568"/>
      <c r="AC28" s="568"/>
      <c r="AD28" s="568"/>
      <c r="AE28" s="266"/>
    </row>
    <row r="29" spans="1:31" s="166" customFormat="1" ht="15" customHeight="1">
      <c r="A29" s="33" t="s">
        <v>116</v>
      </c>
      <c r="B29" s="169" t="s">
        <v>63</v>
      </c>
      <c r="C29" s="178">
        <f>ROUND(Creditos!B166,2)</f>
        <v>5443996.8799999999</v>
      </c>
      <c r="D29" s="178">
        <f>ROUND(Creditos!C166,2)</f>
        <v>57234.32</v>
      </c>
      <c r="E29" s="178">
        <f>ROUND(Creditos!D166,2)</f>
        <v>1865732.16</v>
      </c>
      <c r="F29" s="178">
        <f>ROUND(Creditos!E166,2)</f>
        <v>19614.990000000002</v>
      </c>
      <c r="G29" s="178">
        <f>ROUND(Creditos!F166,2)</f>
        <v>1077338.96</v>
      </c>
      <c r="H29" s="178">
        <f>ROUND(Creditos!G166,2)</f>
        <v>11326.38</v>
      </c>
      <c r="I29" s="178">
        <f>ROUND(Creditos!H166,2)</f>
        <v>0</v>
      </c>
      <c r="J29" s="178">
        <f>ROUND(Creditos!I166,2)</f>
        <v>0</v>
      </c>
      <c r="K29" s="178">
        <f>ROUND(Creditos!J166,2)</f>
        <v>0</v>
      </c>
      <c r="L29" s="178">
        <f>ROUND(Creditos!K166,2)</f>
        <v>0</v>
      </c>
      <c r="M29" s="178">
        <f>ROUND(Creditos!L166,2)</f>
        <v>0</v>
      </c>
      <c r="N29" s="178">
        <f>ROUND(Creditos!M166,2)</f>
        <v>0</v>
      </c>
      <c r="O29" s="178">
        <f>ROUND(Creditos!N166,2)</f>
        <v>0</v>
      </c>
      <c r="P29" s="178">
        <f>ROUND(Creditos!O166,2)</f>
        <v>0</v>
      </c>
      <c r="Q29" s="178">
        <f>ROUND(Creditos!P166,2)</f>
        <v>10453152.710000001</v>
      </c>
      <c r="R29" s="178">
        <f>Creditos!Q166</f>
        <v>112567.12200000002</v>
      </c>
      <c r="S29" s="178">
        <f>Creditos!R166</f>
        <v>24390689.651999999</v>
      </c>
      <c r="T29" s="178">
        <f>Creditos!S166</f>
        <v>262656.61799999996</v>
      </c>
      <c r="U29" s="172">
        <f t="shared" si="5"/>
        <v>43230910.362000003</v>
      </c>
      <c r="V29" s="172">
        <f t="shared" si="6"/>
        <v>463399.43</v>
      </c>
      <c r="W29" s="568">
        <f>+Anx16AMN!N80</f>
        <v>43230910.361386687</v>
      </c>
      <c r="X29" s="568">
        <f>+Anx16AME!N80</f>
        <v>463399.42</v>
      </c>
      <c r="Y29" s="772">
        <f t="shared" si="7"/>
        <v>-6.1331689357757568E-4</v>
      </c>
      <c r="Z29" s="772">
        <f t="shared" si="7"/>
        <v>-1.0000000009313226E-2</v>
      </c>
      <c r="AA29" s="568"/>
      <c r="AB29" s="568"/>
      <c r="AC29" s="568"/>
      <c r="AD29" s="568"/>
      <c r="AE29" s="266"/>
    </row>
    <row r="30" spans="1:31" s="166" customFormat="1" ht="15" customHeight="1">
      <c r="A30" s="33" t="s">
        <v>116</v>
      </c>
      <c r="B30" s="169" t="s">
        <v>64</v>
      </c>
      <c r="C30" s="178">
        <f>ROUND(Creditos!B167,2)</f>
        <v>2338138.2400000002</v>
      </c>
      <c r="D30" s="178">
        <f>ROUND(Creditos!C167,2)</f>
        <v>18325.86</v>
      </c>
      <c r="E30" s="178">
        <f>ROUND(Creditos!D167,2)</f>
        <v>708982.84</v>
      </c>
      <c r="F30" s="178">
        <f>ROUND(Creditos!E167,2)</f>
        <v>5556.87</v>
      </c>
      <c r="G30" s="178">
        <f>ROUND(Creditos!F167,2)</f>
        <v>307821.74</v>
      </c>
      <c r="H30" s="178">
        <f>ROUND(Creditos!G167,2)</f>
        <v>2412.65</v>
      </c>
      <c r="I30" s="178">
        <f>ROUND(Creditos!H167,2)</f>
        <v>0</v>
      </c>
      <c r="J30" s="178">
        <f>ROUND(Creditos!I167,2)</f>
        <v>0</v>
      </c>
      <c r="K30" s="178">
        <f>ROUND(Creditos!J167,2)</f>
        <v>0</v>
      </c>
      <c r="L30" s="178">
        <f>ROUND(Creditos!K167,2)</f>
        <v>0</v>
      </c>
      <c r="M30" s="178">
        <f>ROUND(Creditos!L167,2)</f>
        <v>0</v>
      </c>
      <c r="N30" s="178">
        <f>ROUND(Creditos!M167,2)</f>
        <v>0</v>
      </c>
      <c r="O30" s="178">
        <f>ROUND(Creditos!N167,2)</f>
        <v>0</v>
      </c>
      <c r="P30" s="178">
        <f>ROUND(Creditos!O167,2)</f>
        <v>0</v>
      </c>
      <c r="Q30" s="178">
        <f>ROUND(Creditos!P167,2)</f>
        <v>6969008.6600000001</v>
      </c>
      <c r="R30" s="178">
        <f>Creditos!Q167</f>
        <v>55948.824999999997</v>
      </c>
      <c r="S30" s="178">
        <f>Creditos!R167</f>
        <v>6969008.6550000003</v>
      </c>
      <c r="T30" s="178">
        <f>Creditos!S167</f>
        <v>55948.824999999997</v>
      </c>
      <c r="U30" s="172">
        <f t="shared" si="5"/>
        <v>17292960.135000002</v>
      </c>
      <c r="V30" s="172">
        <f t="shared" si="6"/>
        <v>138193.03</v>
      </c>
      <c r="W30" s="568">
        <f>+Anx16AMN!N81</f>
        <v>17292960.131440528</v>
      </c>
      <c r="X30" s="568">
        <f>+Anx16AME!N81</f>
        <v>138193.01999999999</v>
      </c>
      <c r="Y30" s="772">
        <f t="shared" si="7"/>
        <v>-3.5594739019870758E-3</v>
      </c>
      <c r="Z30" s="772">
        <f t="shared" si="7"/>
        <v>-1.0000000009313226E-2</v>
      </c>
      <c r="AA30" s="568"/>
      <c r="AB30" s="568"/>
      <c r="AC30" s="568"/>
      <c r="AD30" s="568"/>
      <c r="AE30" s="266"/>
    </row>
    <row r="31" spans="1:31" s="166" customFormat="1" ht="15" customHeight="1">
      <c r="A31" s="33" t="s">
        <v>116</v>
      </c>
      <c r="B31" s="169" t="s">
        <v>65</v>
      </c>
      <c r="C31" s="178">
        <f>ROUND(Creditos!B168,2)</f>
        <v>541428.86</v>
      </c>
      <c r="D31" s="178">
        <f>ROUND(Creditos!C168,2)</f>
        <v>49233.86</v>
      </c>
      <c r="E31" s="178">
        <f>ROUND(Creditos!D168,2)</f>
        <v>164174.97</v>
      </c>
      <c r="F31" s="178">
        <f>ROUND(Creditos!E168,2)</f>
        <v>14928.96</v>
      </c>
      <c r="G31" s="178">
        <f>ROUND(Creditos!F168,2)</f>
        <v>71280.460000000006</v>
      </c>
      <c r="H31" s="178">
        <f>ROUND(Creditos!G168,2)</f>
        <v>6481.76</v>
      </c>
      <c r="I31" s="178">
        <f>ROUND(Creditos!H168,2)</f>
        <v>0</v>
      </c>
      <c r="J31" s="178">
        <f>ROUND(Creditos!I168,2)</f>
        <v>0</v>
      </c>
      <c r="K31" s="178">
        <f>ROUND(Creditos!J168,2)</f>
        <v>0</v>
      </c>
      <c r="L31" s="178">
        <f>ROUND(Creditos!K168,2)</f>
        <v>0</v>
      </c>
      <c r="M31" s="178">
        <f>ROUND(Creditos!L168,2)</f>
        <v>0</v>
      </c>
      <c r="N31" s="178">
        <f>ROUND(Creditos!M168,2)</f>
        <v>0</v>
      </c>
      <c r="O31" s="178">
        <f>ROUND(Creditos!N168,2)</f>
        <v>0</v>
      </c>
      <c r="P31" s="178">
        <f>ROUND(Creditos!O168,2)</f>
        <v>0</v>
      </c>
      <c r="Q31" s="178">
        <f>ROUND(Creditos!P168,2)</f>
        <v>1613772.16</v>
      </c>
      <c r="R31" s="178">
        <f>Creditos!Q168</f>
        <v>150310.83499999999</v>
      </c>
      <c r="S31" s="178">
        <f>Creditos!R168</f>
        <v>1613772.155</v>
      </c>
      <c r="T31" s="178">
        <f>Creditos!S168</f>
        <v>150310.83499999999</v>
      </c>
      <c r="U31" s="172">
        <f t="shared" si="5"/>
        <v>4004428.6049999995</v>
      </c>
      <c r="V31" s="172">
        <f t="shared" si="6"/>
        <v>371266.25</v>
      </c>
      <c r="W31" s="568">
        <f>+Anx16AMN!N82</f>
        <v>4004428.5938293608</v>
      </c>
      <c r="X31" s="568">
        <f>+Anx16AME!N82</f>
        <v>371266.24</v>
      </c>
      <c r="Y31" s="772">
        <f t="shared" si="7"/>
        <v>-1.1170638725161552E-2</v>
      </c>
      <c r="Z31" s="772">
        <f t="shared" si="7"/>
        <v>-1.0000000009313226E-2</v>
      </c>
      <c r="AA31" s="568"/>
      <c r="AB31" s="568"/>
      <c r="AC31" s="568"/>
      <c r="AD31" s="568"/>
      <c r="AE31" s="266"/>
    </row>
    <row r="32" spans="1:31" s="166" customFormat="1" ht="15" customHeight="1">
      <c r="A32" s="33" t="s">
        <v>111</v>
      </c>
      <c r="B32" s="169" t="s">
        <v>42</v>
      </c>
      <c r="C32" s="178">
        <f>ROUND(Creditos!B159,2)</f>
        <v>11242711.02</v>
      </c>
      <c r="D32" s="178">
        <f>ROUND(Creditos!C159,2)</f>
        <v>114737.98</v>
      </c>
      <c r="E32" s="178">
        <f>ROUND(Creditos!D159,2)</f>
        <v>6477572.4500000002</v>
      </c>
      <c r="F32" s="178">
        <f>ROUND(Creditos!E159,2)</f>
        <v>49973.5</v>
      </c>
      <c r="G32" s="178">
        <f>ROUND(Creditos!F159,2)</f>
        <v>6751509.8700000001</v>
      </c>
      <c r="H32" s="178">
        <f>ROUND(Creditos!G159,2)</f>
        <v>62120.22</v>
      </c>
      <c r="I32" s="178">
        <f>ROUND(Creditos!H159,2)</f>
        <v>6229738.9000000004</v>
      </c>
      <c r="J32" s="178">
        <f>ROUND(Creditos!I159,2)</f>
        <v>77020.86</v>
      </c>
      <c r="K32" s="178">
        <f>ROUND(Creditos!J159,2)</f>
        <v>5296995.49</v>
      </c>
      <c r="L32" s="178">
        <f>ROUND(Creditos!K159,2)</f>
        <v>55679.61</v>
      </c>
      <c r="M32" s="178">
        <f>ROUND(Creditos!L159,2)</f>
        <v>6669763.71</v>
      </c>
      <c r="N32" s="178">
        <f>ROUND(Creditos!M159,2)</f>
        <v>25847.43</v>
      </c>
      <c r="O32" s="178">
        <f>ROUND(Creditos!N159,2)</f>
        <v>11270420.98</v>
      </c>
      <c r="P32" s="178">
        <f>ROUND(Creditos!O159,2)</f>
        <v>94657.77</v>
      </c>
      <c r="Q32" s="178">
        <f>ROUND(Creditos!P159,2)</f>
        <v>30507642.359999999</v>
      </c>
      <c r="R32" s="178">
        <f>ROUND(Creditos!Q159,2)</f>
        <v>358190.72</v>
      </c>
      <c r="S32" s="178">
        <f>ROUND(Creditos!R159,2)</f>
        <v>50356214.509999998</v>
      </c>
      <c r="T32" s="178">
        <f>ROUND(Creditos!S159,2)</f>
        <v>549990.52</v>
      </c>
      <c r="U32" s="172">
        <f t="shared" si="5"/>
        <v>134802569.28999999</v>
      </c>
      <c r="V32" s="172">
        <f t="shared" si="6"/>
        <v>1388218.6099999999</v>
      </c>
      <c r="W32" s="568">
        <f>+Anx16AMN!N49+Anx16AMN!N83</f>
        <v>134802569.29629588</v>
      </c>
      <c r="X32" s="568">
        <f>+Anx16AME!N49+Anx16AME!N83</f>
        <v>1388218.62</v>
      </c>
      <c r="Y32" s="772">
        <f t="shared" si="7"/>
        <v>6.2958896160125732E-3</v>
      </c>
      <c r="Z32" s="772">
        <f t="shared" si="7"/>
        <v>1.0000000242143869E-2</v>
      </c>
      <c r="AA32" s="568"/>
      <c r="AB32" s="568"/>
      <c r="AC32" s="568"/>
      <c r="AD32" s="568"/>
      <c r="AE32" s="266"/>
    </row>
    <row r="33" spans="1:31" s="166" customFormat="1" ht="15" customHeight="1">
      <c r="A33" s="33" t="s">
        <v>111</v>
      </c>
      <c r="B33" s="169" t="s">
        <v>43</v>
      </c>
      <c r="C33" s="178">
        <f>ROUND(Creditos!B160,2)</f>
        <v>4877920.99</v>
      </c>
      <c r="D33" s="178">
        <f>ROUND(Creditos!C160,2)</f>
        <v>111569.61</v>
      </c>
      <c r="E33" s="178">
        <f>ROUND(Creditos!D160,2)</f>
        <v>3541237.18</v>
      </c>
      <c r="F33" s="178">
        <f>ROUND(Creditos!E160,2)</f>
        <v>37690.44</v>
      </c>
      <c r="G33" s="178">
        <f>ROUND(Creditos!F160,2)</f>
        <v>3924463.72</v>
      </c>
      <c r="H33" s="178">
        <f>ROUND(Creditos!G160,2)</f>
        <v>31892.92</v>
      </c>
      <c r="I33" s="178">
        <f>ROUND(Creditos!H160,2)</f>
        <v>4243426.37</v>
      </c>
      <c r="J33" s="178">
        <f>ROUND(Creditos!I160,2)</f>
        <v>6604.61</v>
      </c>
      <c r="K33" s="178">
        <f>ROUND(Creditos!J160,2)</f>
        <v>4085776.62</v>
      </c>
      <c r="L33" s="178">
        <f>ROUND(Creditos!K160,2)</f>
        <v>22427.97</v>
      </c>
      <c r="M33" s="178">
        <f>ROUND(Creditos!L160,2)</f>
        <v>7445640.6299999999</v>
      </c>
      <c r="N33" s="178">
        <f>ROUND(Creditos!M160,2)</f>
        <v>17622.509999999998</v>
      </c>
      <c r="O33" s="178">
        <f>ROUND(Creditos!N160,2)</f>
        <v>10515974.08</v>
      </c>
      <c r="P33" s="178">
        <f>ROUND(Creditos!O160,2)</f>
        <v>6851.68</v>
      </c>
      <c r="Q33" s="178">
        <f>ROUND(Creditos!P160,2)</f>
        <v>19354281.370000001</v>
      </c>
      <c r="R33" s="178">
        <f>ROUND(Creditos!Q160,2)</f>
        <v>70345.63</v>
      </c>
      <c r="S33" s="178">
        <f>ROUND(Creditos!R160,2)</f>
        <v>14189977.98</v>
      </c>
      <c r="T33" s="178">
        <f>ROUND(Creditos!S160,2)</f>
        <v>65293.09</v>
      </c>
      <c r="U33" s="172">
        <f t="shared" si="5"/>
        <v>72178698.940000013</v>
      </c>
      <c r="V33" s="172">
        <f t="shared" si="6"/>
        <v>370298.45999999996</v>
      </c>
      <c r="W33" s="568">
        <f>+Anx16AMN!N50+Anx16AMN!N84</f>
        <v>72178698.939323843</v>
      </c>
      <c r="X33" s="568">
        <f>+Anx16AME!N50+Anx16AME!N84</f>
        <v>370298.43</v>
      </c>
      <c r="Y33" s="772">
        <f t="shared" si="7"/>
        <v>-6.761699914932251E-4</v>
      </c>
      <c r="Z33" s="772">
        <f t="shared" si="7"/>
        <v>-2.9999999969732016E-2</v>
      </c>
      <c r="AA33" s="568"/>
      <c r="AB33" s="568"/>
      <c r="AC33" s="568"/>
      <c r="AD33" s="568"/>
      <c r="AE33" s="266"/>
    </row>
    <row r="34" spans="1:31" s="166" customFormat="1" ht="15" customHeight="1">
      <c r="A34" s="33" t="s">
        <v>111</v>
      </c>
      <c r="B34" s="169" t="s">
        <v>68</v>
      </c>
      <c r="C34" s="178">
        <f>ROUND(Creditos!B161,2)</f>
        <v>2805448.73</v>
      </c>
      <c r="D34" s="178">
        <f>ROUND(Creditos!C161,2)</f>
        <v>59144.29</v>
      </c>
      <c r="E34" s="178">
        <f>ROUND(Creditos!D161,2)</f>
        <v>1068980.8700000001</v>
      </c>
      <c r="F34" s="178">
        <f>ROUND(Creditos!E161,2)</f>
        <v>52025.33</v>
      </c>
      <c r="G34" s="178">
        <f>ROUND(Creditos!F161,2)</f>
        <v>1585206.01</v>
      </c>
      <c r="H34" s="178">
        <f>ROUND(Creditos!G161,2)</f>
        <v>1345.1</v>
      </c>
      <c r="I34" s="178">
        <f>ROUND(Creditos!H161,2)</f>
        <v>3832208.94</v>
      </c>
      <c r="J34" s="178">
        <f>ROUND(Creditos!I161,2)</f>
        <v>0</v>
      </c>
      <c r="K34" s="178">
        <f>ROUND(Creditos!J161,2)</f>
        <v>3554900.49</v>
      </c>
      <c r="L34" s="178">
        <f>ROUND(Creditos!K161,2)</f>
        <v>6656.29</v>
      </c>
      <c r="M34" s="178">
        <f>ROUND(Creditos!L161,2)</f>
        <v>1149209.0900000001</v>
      </c>
      <c r="N34" s="178">
        <f>ROUND(Creditos!M161,2)</f>
        <v>11287.58</v>
      </c>
      <c r="O34" s="178">
        <f>ROUND(Creditos!N161,2)</f>
        <v>5260004.9400000004</v>
      </c>
      <c r="P34" s="178">
        <f>ROUND(Creditos!O161,2)</f>
        <v>47125.59</v>
      </c>
      <c r="Q34" s="178">
        <f>ROUND(Creditos!P161,2)</f>
        <v>9689654.5199999996</v>
      </c>
      <c r="R34" s="178">
        <f>ROUND(Creditos!Q161,2)</f>
        <v>422067.26</v>
      </c>
      <c r="S34" s="178">
        <f>ROUND(Creditos!R161,2)</f>
        <v>5078858.67</v>
      </c>
      <c r="T34" s="178">
        <f>ROUND(Creditos!S161,2)</f>
        <v>379572.96</v>
      </c>
      <c r="U34" s="172">
        <f t="shared" si="5"/>
        <v>34024472.259999998</v>
      </c>
      <c r="V34" s="172">
        <f t="shared" si="6"/>
        <v>979224.39999999991</v>
      </c>
      <c r="W34" s="568">
        <f>+Anx16AMN!N51+Anx16AMN!N85</f>
        <v>34024472.243120357</v>
      </c>
      <c r="X34" s="568">
        <f>+Anx16AME!N51+Anx16AME!N85</f>
        <v>979224.36999999988</v>
      </c>
      <c r="Y34" s="772">
        <f t="shared" si="7"/>
        <v>-1.6879640519618988E-2</v>
      </c>
      <c r="Z34" s="772">
        <f t="shared" si="7"/>
        <v>-3.0000000027939677E-2</v>
      </c>
      <c r="AA34" s="568"/>
      <c r="AB34" s="568"/>
      <c r="AC34" s="568"/>
      <c r="AD34" s="568"/>
      <c r="AE34" s="266"/>
    </row>
    <row r="35" spans="1:31" s="166" customFormat="1" ht="15" customHeight="1">
      <c r="A35" s="40" t="s">
        <v>267</v>
      </c>
      <c r="B35" s="176" t="s">
        <v>131</v>
      </c>
      <c r="C35" s="178">
        <f>Anx16AMN!C52+Anx16AMN!C86</f>
        <v>3245952.3387039616</v>
      </c>
      <c r="D35" s="178">
        <f>Anx16AME!C52+Anx16AME!C86</f>
        <v>121347.55621397782</v>
      </c>
      <c r="E35" s="178">
        <f>Anx16AMN!D52+Anx16AMN!D86</f>
        <v>3438928.406292418</v>
      </c>
      <c r="F35" s="172">
        <f>Anx16AME!D52+Anx16AME!D86</f>
        <v>92572.100335909359</v>
      </c>
      <c r="G35" s="178">
        <f>Anx16AMN!E52+Anx16AMN!E86</f>
        <v>6300716.7388887992</v>
      </c>
      <c r="H35" s="172">
        <f>Anx16AME!E52+Anx16AME!E86</f>
        <v>8150.09</v>
      </c>
      <c r="I35" s="178">
        <f>Anx16AMN!F52+Anx16AMN!F86</f>
        <v>3542577.49</v>
      </c>
      <c r="J35" s="172">
        <f>Anx16AME!F52+Anx16AME!F86</f>
        <v>1907.11</v>
      </c>
      <c r="K35" s="178">
        <f>Anx16AMN!G52+Anx16AMN!G86</f>
        <v>3141042.76</v>
      </c>
      <c r="L35" s="172">
        <f>Anx16AME!G52+Anx16AME!G86</f>
        <v>10937.87</v>
      </c>
      <c r="M35" s="178">
        <f>Anx16AMN!H52+Anx16AMN!H86</f>
        <v>3048392.33</v>
      </c>
      <c r="N35" s="172">
        <f>Anx16AME!H52+Anx16AME!H86</f>
        <v>34024.54</v>
      </c>
      <c r="O35" s="178">
        <f>Anx16AMN!I52+Anx16AMN!I86</f>
        <v>6863561.3600000003</v>
      </c>
      <c r="P35" s="172">
        <f>Anx16AME!I52+Anx16AME!I86</f>
        <v>31102.78</v>
      </c>
      <c r="Q35" s="178">
        <f>Anx16AMN!J52+Anx16AMN!J86</f>
        <v>6912571.7000000002</v>
      </c>
      <c r="R35" s="178">
        <f>Anx16AME!J52+Anx16AME!J86</f>
        <v>35254.089999999997</v>
      </c>
      <c r="S35" s="172">
        <f>SUM(Anx16AMN!K52:'Anx16AMN'!M52)+SUM(Anx16AMN!K86:'Anx16AMN'!M86)</f>
        <v>22495116.306114823</v>
      </c>
      <c r="T35" s="172">
        <f>SUM(Anx16AME!K52:'Anx16AME'!M52)+SUM(Anx16AME!K86:'Anx16AME'!M86)</f>
        <v>143692.8675501128</v>
      </c>
      <c r="U35" s="172">
        <f t="shared" si="5"/>
        <v>58988859.430000007</v>
      </c>
      <c r="V35" s="172">
        <f t="shared" si="6"/>
        <v>478989.0040999999</v>
      </c>
      <c r="W35" s="571">
        <f>+Anx16AMN!Q52+Anx16AMN!Q86</f>
        <v>58988859.43</v>
      </c>
      <c r="X35" s="568">
        <f>+Anx16AME!Q52+Anx16AME!Q86</f>
        <v>478989.01</v>
      </c>
      <c r="Y35" s="772">
        <f t="shared" si="7"/>
        <v>0</v>
      </c>
      <c r="Z35" s="772">
        <f t="shared" si="7"/>
        <v>5.90000010561198E-3</v>
      </c>
      <c r="AA35" s="568"/>
      <c r="AB35" s="568"/>
      <c r="AC35" s="568"/>
      <c r="AD35" s="568"/>
      <c r="AE35" s="266"/>
    </row>
    <row r="36" spans="1:31" s="166" customFormat="1" ht="15" customHeight="1">
      <c r="A36" s="177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>
        <f t="shared" si="6"/>
        <v>0</v>
      </c>
      <c r="W36" s="568"/>
      <c r="X36" s="568"/>
      <c r="Y36" s="772">
        <f t="shared" si="7"/>
        <v>0</v>
      </c>
      <c r="Z36" s="772">
        <f t="shared" si="7"/>
        <v>0</v>
      </c>
      <c r="AA36" s="568"/>
      <c r="AB36" s="568"/>
      <c r="AC36" s="568"/>
      <c r="AD36" s="568"/>
      <c r="AE36" s="266"/>
    </row>
    <row r="37" spans="1:31" s="166" customFormat="1" ht="15" customHeight="1">
      <c r="A37" s="33">
        <v>2300</v>
      </c>
      <c r="B37" s="176" t="s">
        <v>265</v>
      </c>
      <c r="C37" s="178">
        <f>+Anx16AMN!Q54+Anx16AMN!Q87</f>
        <v>1007251.49</v>
      </c>
      <c r="D37" s="172">
        <f>+Anx16AME!Q54+Anx16AME!Q87</f>
        <v>1748.47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5"/>
        <v>1007251.49</v>
      </c>
      <c r="V37" s="172">
        <f t="shared" si="6"/>
        <v>1748.47</v>
      </c>
      <c r="W37" s="568">
        <f>+Anx16AMN!N54+Anx16AMN!N87</f>
        <v>1007251.49</v>
      </c>
      <c r="X37" s="568">
        <f>+Anx16AME!N54+Anx16AME!N87</f>
        <v>1748.47</v>
      </c>
      <c r="Y37" s="772">
        <f>+W37-U37</f>
        <v>0</v>
      </c>
      <c r="Z37" s="772">
        <f t="shared" si="7"/>
        <v>0</v>
      </c>
      <c r="AA37" s="568"/>
      <c r="AB37" s="568"/>
      <c r="AC37" s="568"/>
      <c r="AD37" s="568"/>
      <c r="AE37" s="266"/>
    </row>
    <row r="38" spans="1:31" s="168" customFormat="1" ht="30.75" customHeight="1">
      <c r="A38" s="173" t="s">
        <v>122</v>
      </c>
      <c r="B38" s="175" t="s">
        <v>264</v>
      </c>
      <c r="C38" s="264">
        <f>Anx16AMN!C55</f>
        <v>575234.64</v>
      </c>
      <c r="D38" s="264">
        <f>ROUND(Anx16AME!C55,2)</f>
        <v>0</v>
      </c>
      <c r="E38" s="264">
        <f>Anx16AMN!D55</f>
        <v>505437.66</v>
      </c>
      <c r="F38" s="265">
        <f>Anx16AME!D55</f>
        <v>0</v>
      </c>
      <c r="G38" s="264">
        <f>Anx16AMN!E55</f>
        <v>495504.77</v>
      </c>
      <c r="H38" s="265">
        <f>Anx16AME!E55</f>
        <v>0</v>
      </c>
      <c r="I38" s="264">
        <f>Anx16AMN!F55</f>
        <v>548051.68000000005</v>
      </c>
      <c r="J38" s="265">
        <f>Anx16AME!F55</f>
        <v>0</v>
      </c>
      <c r="K38" s="264">
        <f>Anx16AMN!G55</f>
        <v>833960.64</v>
      </c>
      <c r="L38" s="265">
        <f>Anx16AME!G55</f>
        <v>0</v>
      </c>
      <c r="M38" s="264">
        <f>Anx16AMN!H55</f>
        <v>819825.8</v>
      </c>
      <c r="N38" s="265">
        <f>Anx16AME!H55</f>
        <v>0</v>
      </c>
      <c r="O38" s="264">
        <f>Anx16AMN!I55</f>
        <v>2270106.56</v>
      </c>
      <c r="P38" s="265">
        <f>Anx16AME!I55</f>
        <v>0</v>
      </c>
      <c r="Q38" s="264">
        <f>Anx16AMN!J55</f>
        <v>2007408.19</v>
      </c>
      <c r="R38" s="265">
        <f>Anx16AME!J55</f>
        <v>0</v>
      </c>
      <c r="S38" s="264">
        <f>SUM(Anx16AMN!K55:M55)</f>
        <v>11598387.770000001</v>
      </c>
      <c r="T38" s="264">
        <f>SUM(Anx16AME!K55:M55)</f>
        <v>0</v>
      </c>
      <c r="U38" s="172">
        <f t="shared" si="5"/>
        <v>19653917.710000001</v>
      </c>
      <c r="V38" s="172">
        <f t="shared" si="6"/>
        <v>0</v>
      </c>
      <c r="W38" s="568">
        <f>+Anx16AMN!N55</f>
        <v>19653917.709999997</v>
      </c>
      <c r="X38" s="568">
        <f>+Anx16AME!N55</f>
        <v>0</v>
      </c>
      <c r="Y38" s="772">
        <f t="shared" si="7"/>
        <v>0</v>
      </c>
      <c r="Z38" s="772">
        <f t="shared" si="7"/>
        <v>0</v>
      </c>
      <c r="AA38" s="568"/>
      <c r="AB38" s="568"/>
      <c r="AC38" s="568"/>
      <c r="AD38" s="568"/>
      <c r="AE38" s="257"/>
    </row>
    <row r="39" spans="1:31" s="168" customFormat="1" ht="15" customHeight="1">
      <c r="A39" s="173" t="s">
        <v>121</v>
      </c>
      <c r="B39" s="175" t="s">
        <v>263</v>
      </c>
      <c r="C39" s="264">
        <f>Anx16AMN!C56</f>
        <v>0</v>
      </c>
      <c r="D39" s="264">
        <f>ROUND(Anx16AME!C56,2)</f>
        <v>53513.72</v>
      </c>
      <c r="E39" s="264">
        <f>Anx16AMN!D56</f>
        <v>0</v>
      </c>
      <c r="F39" s="265">
        <f>Anx16AME!D56</f>
        <v>0</v>
      </c>
      <c r="G39" s="264">
        <f>Anx16AMN!E56</f>
        <v>0</v>
      </c>
      <c r="H39" s="265">
        <f>Anx16AME!E56</f>
        <v>0</v>
      </c>
      <c r="I39" s="264">
        <f>Anx16AMN!F56</f>
        <v>0</v>
      </c>
      <c r="J39" s="265">
        <f>Anx16AME!F56</f>
        <v>0</v>
      </c>
      <c r="K39" s="264">
        <f>Anx16AMN!G56</f>
        <v>0</v>
      </c>
      <c r="L39" s="265">
        <f>Anx16AME!G56</f>
        <v>0</v>
      </c>
      <c r="M39" s="264">
        <f>Anx16AMN!H56</f>
        <v>0</v>
      </c>
      <c r="N39" s="265">
        <f>Anx16AME!H56</f>
        <v>0</v>
      </c>
      <c r="O39" s="264">
        <f>Anx16AMN!I56</f>
        <v>0</v>
      </c>
      <c r="P39" s="265">
        <f>Anx16AME!I56</f>
        <v>0</v>
      </c>
      <c r="Q39" s="264">
        <f>Anx16AMN!J56</f>
        <v>0</v>
      </c>
      <c r="R39" s="265">
        <f>Anx16AME!J56</f>
        <v>0</v>
      </c>
      <c r="S39" s="264">
        <f>SUM(Anx16AMN!K56:M56)</f>
        <v>0</v>
      </c>
      <c r="T39" s="264">
        <f>SUM(Anx16AME!K56:M56)</f>
        <v>1000000</v>
      </c>
      <c r="U39" s="172">
        <f t="shared" si="5"/>
        <v>0</v>
      </c>
      <c r="V39" s="172">
        <f t="shared" si="6"/>
        <v>1053513.72</v>
      </c>
      <c r="W39" s="568">
        <f>+Anx16AMN!N56</f>
        <v>0</v>
      </c>
      <c r="X39" s="568">
        <f>+Anx16AME!N56</f>
        <v>1053513.72</v>
      </c>
      <c r="Y39" s="772">
        <f t="shared" si="7"/>
        <v>0</v>
      </c>
      <c r="Z39" s="772">
        <f t="shared" si="7"/>
        <v>0</v>
      </c>
      <c r="AA39" s="568"/>
      <c r="AB39" s="568"/>
      <c r="AC39" s="568"/>
      <c r="AD39" s="568"/>
      <c r="AE39" s="257"/>
    </row>
    <row r="40" spans="1:31" s="168" customFormat="1" ht="15" customHeight="1">
      <c r="A40" s="174" t="s">
        <v>262</v>
      </c>
      <c r="B40" s="169" t="s">
        <v>261</v>
      </c>
      <c r="C40" s="243"/>
      <c r="D40" s="243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43"/>
      <c r="S40" s="270"/>
      <c r="T40" s="270"/>
      <c r="U40" s="172"/>
      <c r="V40" s="172">
        <f t="shared" si="6"/>
        <v>0</v>
      </c>
      <c r="W40" s="568"/>
      <c r="X40" s="568"/>
      <c r="Y40" s="772">
        <f t="shared" si="7"/>
        <v>0</v>
      </c>
      <c r="Z40" s="772">
        <f t="shared" si="7"/>
        <v>0</v>
      </c>
      <c r="AA40" s="568"/>
      <c r="AB40" s="568"/>
      <c r="AC40" s="568"/>
      <c r="AD40" s="568"/>
      <c r="AE40" s="257"/>
    </row>
    <row r="41" spans="1:31" s="168" customFormat="1" ht="15" customHeight="1">
      <c r="A41" s="174">
        <v>2502</v>
      </c>
      <c r="B41" s="169" t="s">
        <v>260</v>
      </c>
      <c r="C41" s="243"/>
      <c r="D41" s="243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43"/>
      <c r="S41" s="270"/>
      <c r="T41" s="270"/>
      <c r="U41" s="172"/>
      <c r="V41" s="172">
        <f t="shared" si="6"/>
        <v>0</v>
      </c>
      <c r="W41" s="568"/>
      <c r="X41" s="568"/>
      <c r="Y41" s="772">
        <f t="shared" si="7"/>
        <v>0</v>
      </c>
      <c r="Z41" s="772">
        <f t="shared" si="7"/>
        <v>0</v>
      </c>
      <c r="AA41" s="568"/>
      <c r="AB41" s="568"/>
      <c r="AC41" s="568"/>
      <c r="AD41" s="568"/>
      <c r="AE41" s="257"/>
    </row>
    <row r="42" spans="1:31" s="168" customFormat="1" ht="15" customHeight="1">
      <c r="A42" s="173" t="s">
        <v>259</v>
      </c>
      <c r="B42" s="169" t="s">
        <v>118</v>
      </c>
      <c r="C42" s="264">
        <f>Anx16AMN!C59+Anx16AMN!C89</f>
        <v>4471708.99</v>
      </c>
      <c r="D42" s="264">
        <f>ROUND(Anx16AME!C59+Anx16AME!C89,2)</f>
        <v>390659.23</v>
      </c>
      <c r="E42" s="264">
        <f>Anx16AMN!D59+Anx16AMN!D89</f>
        <v>0</v>
      </c>
      <c r="F42" s="265">
        <f>Anx16AME!D59+Anx16AME!D89</f>
        <v>0</v>
      </c>
      <c r="G42" s="264">
        <f>Anx16AMN!E59+Anx16AMN!E89</f>
        <v>750835.34</v>
      </c>
      <c r="H42" s="265">
        <f>Anx16AME!E59+Anx16AME!E89</f>
        <v>11870.9</v>
      </c>
      <c r="I42" s="264">
        <f>Anx16AMN!F59+Anx16AMN!F89</f>
        <v>0</v>
      </c>
      <c r="J42" s="265">
        <f>Anx16AME!F59+Anx16AME!F89</f>
        <v>0</v>
      </c>
      <c r="K42" s="264">
        <f>Anx16AMN!G59+Anx16AMN!G89</f>
        <v>0</v>
      </c>
      <c r="L42" s="265">
        <f>Anx16AME!G59+Anx16AME!G89</f>
        <v>0</v>
      </c>
      <c r="M42" s="264">
        <f>Anx16AMN!H59+Anx16AMN!H89</f>
        <v>701700.8</v>
      </c>
      <c r="N42" s="265">
        <f>Anx16AME!H59+Anx16AME!H89</f>
        <v>0</v>
      </c>
      <c r="O42" s="264">
        <f>Anx16AMN!I59+Anx16AMN!I89</f>
        <v>0</v>
      </c>
      <c r="P42" s="265">
        <f>Anx16AME!I59+Anx16AME!I89</f>
        <v>0</v>
      </c>
      <c r="Q42" s="264">
        <f>Anx16AMN!J59+Anx16AMN!J89</f>
        <v>0</v>
      </c>
      <c r="R42" s="265">
        <f>Anx16AME!J59+Anx16AME!J89</f>
        <v>0</v>
      </c>
      <c r="S42" s="264">
        <f>SUM(Anx16AMN!K59:M59)+SUM(Anx16AMN!K89:M89)</f>
        <v>229119.87</v>
      </c>
      <c r="T42" s="265">
        <f>SUM(Anx16AME!K59:M59)+SUM(Anx16AME!K89:M89)</f>
        <v>5235.34</v>
      </c>
      <c r="U42" s="172">
        <f t="shared" si="5"/>
        <v>6153365</v>
      </c>
      <c r="V42" s="172">
        <f t="shared" si="6"/>
        <v>407765.47000000003</v>
      </c>
      <c r="W42" s="568">
        <f>+Anx16AMN!N89+Anx16AMN!N59</f>
        <v>6153365</v>
      </c>
      <c r="X42" s="568">
        <f>+Anx16AME!N89</f>
        <v>407765.47000000003</v>
      </c>
      <c r="Y42" s="772">
        <f t="shared" si="7"/>
        <v>0</v>
      </c>
      <c r="Z42" s="772">
        <f t="shared" si="7"/>
        <v>0</v>
      </c>
      <c r="AA42" s="568"/>
      <c r="AB42" s="568"/>
      <c r="AC42" s="568"/>
      <c r="AD42" s="568"/>
      <c r="AE42" s="257"/>
    </row>
    <row r="43" spans="1:31" s="168" customFormat="1" ht="15" customHeight="1">
      <c r="A43" s="170"/>
      <c r="B43" s="169" t="s">
        <v>53</v>
      </c>
      <c r="C43" s="243"/>
      <c r="D43" s="243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43"/>
      <c r="S43" s="270"/>
      <c r="T43" s="270"/>
      <c r="U43" s="172"/>
      <c r="V43" s="172"/>
      <c r="W43" s="568"/>
      <c r="X43" s="568"/>
      <c r="Y43" s="772">
        <f t="shared" si="7"/>
        <v>0</v>
      </c>
      <c r="Z43" s="772">
        <f t="shared" si="7"/>
        <v>0</v>
      </c>
      <c r="AA43" s="568"/>
      <c r="AB43" s="568"/>
      <c r="AC43" s="568"/>
      <c r="AD43" s="568"/>
      <c r="AE43" s="257"/>
    </row>
    <row r="44" spans="1:31" s="168" customFormat="1" ht="16.5">
      <c r="A44" s="170"/>
      <c r="B44" s="169" t="s">
        <v>258</v>
      </c>
      <c r="C44" s="261"/>
      <c r="D44" s="26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61"/>
      <c r="S44" s="271"/>
      <c r="T44" s="271"/>
      <c r="U44" s="271"/>
      <c r="V44" s="271"/>
      <c r="W44" s="568"/>
      <c r="X44" s="568"/>
      <c r="Y44" s="772">
        <f t="shared" si="7"/>
        <v>0</v>
      </c>
      <c r="Z44" s="772">
        <f t="shared" si="7"/>
        <v>0</v>
      </c>
      <c r="AA44" s="568"/>
      <c r="AB44" s="568"/>
      <c r="AC44" s="568"/>
      <c r="AD44" s="568"/>
      <c r="AE44" s="257"/>
    </row>
    <row r="45" spans="1:31" s="168" customFormat="1" ht="16.5">
      <c r="A45" s="170"/>
      <c r="B45" s="180" t="s">
        <v>1</v>
      </c>
      <c r="C45" s="261">
        <f t="shared" ref="C45:Q45" si="8">SUM(C26:C44)</f>
        <v>36687336.628703959</v>
      </c>
      <c r="D45" s="261">
        <f t="shared" si="8"/>
        <v>977585.93621397775</v>
      </c>
      <c r="E45" s="261">
        <f t="shared" si="8"/>
        <v>17771046.536292415</v>
      </c>
      <c r="F45" s="261">
        <f t="shared" si="8"/>
        <v>272404.51033590938</v>
      </c>
      <c r="G45" s="261">
        <f t="shared" si="8"/>
        <v>21264677.608888797</v>
      </c>
      <c r="H45" s="261">
        <f t="shared" si="8"/>
        <v>135600.02000000002</v>
      </c>
      <c r="I45" s="261">
        <f t="shared" si="8"/>
        <v>18396003.379999999</v>
      </c>
      <c r="J45" s="261">
        <f t="shared" si="8"/>
        <v>85532.58</v>
      </c>
      <c r="K45" s="261">
        <f t="shared" si="8"/>
        <v>16912676</v>
      </c>
      <c r="L45" s="261">
        <f t="shared" si="8"/>
        <v>95701.739999999991</v>
      </c>
      <c r="M45" s="261">
        <f t="shared" si="8"/>
        <v>19834532.359999999</v>
      </c>
      <c r="N45" s="261">
        <f t="shared" si="8"/>
        <v>88782.06</v>
      </c>
      <c r="O45" s="261">
        <f t="shared" si="8"/>
        <v>36180067.920000009</v>
      </c>
      <c r="P45" s="261">
        <f t="shared" si="8"/>
        <v>179737.82</v>
      </c>
      <c r="Q45" s="261">
        <f t="shared" si="8"/>
        <v>87507491.670000002</v>
      </c>
      <c r="R45" s="261">
        <f>SUM(R26:R44)</f>
        <v>1204684.4820000001</v>
      </c>
      <c r="S45" s="261">
        <f>SUM(S26:S44)+0.01</f>
        <v>136921145.57811484</v>
      </c>
      <c r="T45" s="261">
        <f>SUM(T26:T44)</f>
        <v>2612701.0555501124</v>
      </c>
      <c r="U45" s="261">
        <f>SUM(U26:U44)</f>
        <v>391474977.67199999</v>
      </c>
      <c r="V45" s="261">
        <f>SUM(V26:V44)</f>
        <v>5652730.2040999997</v>
      </c>
      <c r="W45" s="568">
        <f>+Anx16AMN!N61+Anx16AMN!N92</f>
        <v>391474977.64539671</v>
      </c>
      <c r="X45" s="568">
        <f>+Anx16AME!N61+Anx16AME!N92</f>
        <v>5652730.1240999997</v>
      </c>
      <c r="Y45" s="772">
        <f t="shared" si="7"/>
        <v>-2.6603281497955322E-2</v>
      </c>
      <c r="Z45" s="772">
        <f t="shared" si="7"/>
        <v>-8.0000000074505806E-2</v>
      </c>
      <c r="AA45" s="568"/>
      <c r="AB45" s="568"/>
      <c r="AC45" s="568"/>
      <c r="AD45" s="568"/>
      <c r="AE45" s="257"/>
    </row>
    <row r="46" spans="1:31" s="166" customFormat="1" ht="16.5">
      <c r="A46" s="167"/>
      <c r="B46" s="165" t="s">
        <v>257</v>
      </c>
      <c r="C46" s="262">
        <f t="shared" ref="C46:R46" si="9">+C24-C45</f>
        <v>25117187.982407734</v>
      </c>
      <c r="D46" s="262">
        <f t="shared" si="9"/>
        <v>1257510.3140485785</v>
      </c>
      <c r="E46" s="262">
        <f t="shared" si="9"/>
        <v>9497791.276498232</v>
      </c>
      <c r="F46" s="262">
        <f t="shared" si="9"/>
        <v>248484.4030923291</v>
      </c>
      <c r="G46" s="262">
        <f t="shared" si="9"/>
        <v>-505750.43888879567</v>
      </c>
      <c r="H46" s="262">
        <f t="shared" si="9"/>
        <v>568188.57000000007</v>
      </c>
      <c r="I46" s="262">
        <f t="shared" si="9"/>
        <v>-4027614.5599999987</v>
      </c>
      <c r="J46" s="262">
        <f t="shared" si="9"/>
        <v>-24937.489999999998</v>
      </c>
      <c r="K46" s="262">
        <f t="shared" si="9"/>
        <v>266662.40999999642</v>
      </c>
      <c r="L46" s="262">
        <f t="shared" si="9"/>
        <v>401226.23544270737</v>
      </c>
      <c r="M46" s="262">
        <f t="shared" si="9"/>
        <v>-5230719.7067925911</v>
      </c>
      <c r="N46" s="262">
        <f t="shared" si="9"/>
        <v>3855.8100000000122</v>
      </c>
      <c r="O46" s="262">
        <f t="shared" si="9"/>
        <v>2572913.2799999863</v>
      </c>
      <c r="P46" s="262">
        <f t="shared" si="9"/>
        <v>-111391.22172174636</v>
      </c>
      <c r="Q46" s="262">
        <f t="shared" si="9"/>
        <v>-56764461.239528902</v>
      </c>
      <c r="R46" s="262">
        <f t="shared" si="9"/>
        <v>-1112792.9564337044</v>
      </c>
      <c r="S46" s="242">
        <f>+S24-S45</f>
        <v>91045781.75042963</v>
      </c>
      <c r="T46" s="262">
        <f>+T24-T45</f>
        <v>-1564727.4853586322</v>
      </c>
      <c r="U46" s="262">
        <f>+U24-U45-0.01</f>
        <v>61971790.754125349</v>
      </c>
      <c r="V46" s="261">
        <f>+V24-V45</f>
        <v>-334583.83093046769</v>
      </c>
      <c r="W46" s="266"/>
      <c r="AA46" s="266"/>
      <c r="AB46" s="266"/>
      <c r="AC46" s="266"/>
      <c r="AD46" s="266"/>
      <c r="AE46" s="266"/>
    </row>
    <row r="47" spans="1:31" s="166" customFormat="1" ht="16.5">
      <c r="A47" s="167"/>
      <c r="B47" s="165" t="s">
        <v>256</v>
      </c>
      <c r="C47" s="242">
        <f>+C46</f>
        <v>25117187.982407734</v>
      </c>
      <c r="D47" s="242">
        <f>+D46</f>
        <v>1257510.3140485785</v>
      </c>
      <c r="E47" s="242">
        <f t="shared" ref="E47:S47" si="10">+C47+E46</f>
        <v>34614979.258905962</v>
      </c>
      <c r="F47" s="242">
        <f t="shared" si="10"/>
        <v>1505994.7171409077</v>
      </c>
      <c r="G47" s="242">
        <f t="shared" si="10"/>
        <v>34109228.820017166</v>
      </c>
      <c r="H47" s="242">
        <f t="shared" si="10"/>
        <v>2074183.2871409077</v>
      </c>
      <c r="I47" s="242">
        <f t="shared" si="10"/>
        <v>30081614.260017168</v>
      </c>
      <c r="J47" s="242">
        <f t="shared" si="10"/>
        <v>2049245.7971409077</v>
      </c>
      <c r="K47" s="242">
        <f t="shared" si="10"/>
        <v>30348276.670017164</v>
      </c>
      <c r="L47" s="242">
        <f t="shared" si="10"/>
        <v>2450472.0325836153</v>
      </c>
      <c r="M47" s="262">
        <f>+K47+M46</f>
        <v>25117556.963224575</v>
      </c>
      <c r="N47" s="242">
        <f t="shared" si="10"/>
        <v>2454327.8425836153</v>
      </c>
      <c r="O47" s="242">
        <f t="shared" si="10"/>
        <v>27690470.243224561</v>
      </c>
      <c r="P47" s="242">
        <f t="shared" si="10"/>
        <v>2342936.6208618688</v>
      </c>
      <c r="Q47" s="242">
        <f>+O47+Q46-0.01</f>
        <v>-29073991.006304342</v>
      </c>
      <c r="R47" s="242">
        <f>+P47+R46</f>
        <v>1230143.6644281645</v>
      </c>
      <c r="S47" s="242">
        <f t="shared" si="10"/>
        <v>61971790.744125292</v>
      </c>
      <c r="T47" s="242">
        <f>+R47+T46-0.01</f>
        <v>-334583.83093046769</v>
      </c>
      <c r="U47" s="242">
        <f>+S47+U46</f>
        <v>123943581.49825063</v>
      </c>
      <c r="V47" s="261">
        <f>+T47+V46</f>
        <v>-669167.66186093539</v>
      </c>
      <c r="W47" s="266"/>
      <c r="X47" s="568" t="s">
        <v>433</v>
      </c>
      <c r="Y47" s="568"/>
      <c r="Z47" s="568"/>
      <c r="AA47" s="266"/>
      <c r="AB47" s="266"/>
      <c r="AC47" s="266"/>
      <c r="AD47" s="266"/>
      <c r="AE47" s="266"/>
    </row>
    <row r="48" spans="1:31" s="166" customFormat="1" ht="16.5">
      <c r="A48" s="167"/>
      <c r="B48" s="165" t="s">
        <v>255</v>
      </c>
      <c r="C48" s="242">
        <f>ROUND(C47/$X$2,2)</f>
        <v>0.27</v>
      </c>
      <c r="D48" s="242">
        <f>ROUND(D47/$X$4,2)</f>
        <v>0.05</v>
      </c>
      <c r="E48" s="242">
        <f>ROUND(E47/$X$2,2)</f>
        <v>0.37</v>
      </c>
      <c r="F48" s="242">
        <f>ROUND(F47/$X$4,2)</f>
        <v>0.06</v>
      </c>
      <c r="G48" s="242">
        <f>ROUND(G47/$X$2,2)</f>
        <v>0.37</v>
      </c>
      <c r="H48" s="242">
        <f>ROUND(H47/$X$4,2)</f>
        <v>0.08</v>
      </c>
      <c r="I48" s="242">
        <f>ROUND(I47/$X$2,2)</f>
        <v>0.33</v>
      </c>
      <c r="J48" s="242">
        <f>ROUND(J47/$X$4,2)</f>
        <v>0.08</v>
      </c>
      <c r="K48" s="242">
        <f>ROUND(K47/$X$2,2)</f>
        <v>0.33</v>
      </c>
      <c r="L48" s="242">
        <f>ROUND(L47/$X$4,2)</f>
        <v>0.1</v>
      </c>
      <c r="M48" s="242">
        <f>ROUND(M47/$X$2,2)</f>
        <v>0.27</v>
      </c>
      <c r="N48" s="242">
        <f>ROUND(N47/$X$4,2)</f>
        <v>0.1</v>
      </c>
      <c r="O48" s="242">
        <f>ROUND(O47/$X$2,2)</f>
        <v>0.3</v>
      </c>
      <c r="P48" s="242">
        <f>ROUND(P47/$X$4,2)</f>
        <v>0.1</v>
      </c>
      <c r="Q48" s="242">
        <f>ROUND(Q47/$X$2,2)</f>
        <v>-0.31</v>
      </c>
      <c r="R48" s="242">
        <f>ROUND(R47/$X$4,2)</f>
        <v>0.05</v>
      </c>
      <c r="S48" s="242">
        <f>ROUND(S47/$X$2,2)</f>
        <v>0.67</v>
      </c>
      <c r="T48" s="242">
        <f>ROUND(T47/$X$4,2)</f>
        <v>-0.01</v>
      </c>
      <c r="U48" s="242">
        <f>ROUND(U47/$X$2,2)</f>
        <v>1.34</v>
      </c>
      <c r="V48" s="261">
        <f>ROUND(V47/$X$4,2)</f>
        <v>-0.03</v>
      </c>
      <c r="X48" s="572" t="s">
        <v>205</v>
      </c>
      <c r="Y48" s="572" t="s">
        <v>204</v>
      </c>
      <c r="Z48" s="572" t="s">
        <v>434</v>
      </c>
    </row>
    <row r="49" spans="1:26" s="160" customFormat="1" ht="16.5">
      <c r="A49" s="161"/>
      <c r="X49" s="363"/>
      <c r="Y49" s="363"/>
      <c r="Z49" s="363">
        <f>+X49+Y49*$X$3</f>
        <v>0</v>
      </c>
    </row>
    <row r="50" spans="1:26" s="160" customFormat="1" ht="16.5">
      <c r="A50" s="161"/>
      <c r="B50" s="865" t="s">
        <v>254</v>
      </c>
      <c r="C50" s="858" t="s">
        <v>12</v>
      </c>
      <c r="D50" s="859"/>
      <c r="E50" s="858" t="s">
        <v>13</v>
      </c>
      <c r="F50" s="859"/>
      <c r="G50" s="858" t="s">
        <v>14</v>
      </c>
      <c r="H50" s="859"/>
      <c r="I50" s="858" t="s">
        <v>15</v>
      </c>
      <c r="J50" s="859"/>
      <c r="K50" s="858" t="s">
        <v>16</v>
      </c>
      <c r="L50" s="859"/>
      <c r="M50" s="858" t="s">
        <v>17</v>
      </c>
      <c r="N50" s="859"/>
      <c r="O50" s="858" t="s">
        <v>223</v>
      </c>
      <c r="P50" s="859"/>
      <c r="Q50" s="858" t="s">
        <v>222</v>
      </c>
      <c r="R50" s="859"/>
      <c r="S50" s="858" t="s">
        <v>221</v>
      </c>
      <c r="T50" s="859"/>
      <c r="U50" s="858" t="s">
        <v>20</v>
      </c>
      <c r="V50" s="859"/>
    </row>
    <row r="51" spans="1:26" s="160" customFormat="1" ht="16.5">
      <c r="A51" s="161"/>
      <c r="B51" s="866"/>
      <c r="C51" s="564" t="s">
        <v>205</v>
      </c>
      <c r="D51" s="564" t="s">
        <v>204</v>
      </c>
      <c r="E51" s="564" t="s">
        <v>205</v>
      </c>
      <c r="F51" s="564" t="s">
        <v>204</v>
      </c>
      <c r="G51" s="564" t="s">
        <v>205</v>
      </c>
      <c r="H51" s="564" t="s">
        <v>204</v>
      </c>
      <c r="I51" s="564" t="s">
        <v>205</v>
      </c>
      <c r="J51" s="564" t="s">
        <v>204</v>
      </c>
      <c r="K51" s="564" t="s">
        <v>205</v>
      </c>
      <c r="L51" s="564" t="s">
        <v>204</v>
      </c>
      <c r="M51" s="564" t="s">
        <v>205</v>
      </c>
      <c r="N51" s="564" t="s">
        <v>204</v>
      </c>
      <c r="O51" s="564" t="s">
        <v>205</v>
      </c>
      <c r="P51" s="564" t="s">
        <v>204</v>
      </c>
      <c r="Q51" s="564" t="s">
        <v>205</v>
      </c>
      <c r="R51" s="564" t="s">
        <v>204</v>
      </c>
      <c r="S51" s="564" t="s">
        <v>205</v>
      </c>
      <c r="T51" s="564" t="s">
        <v>204</v>
      </c>
      <c r="U51" s="564" t="s">
        <v>205</v>
      </c>
      <c r="V51" s="564" t="s">
        <v>204</v>
      </c>
    </row>
    <row r="52" spans="1:26" s="160" customFormat="1" ht="16.5">
      <c r="A52" s="161"/>
      <c r="B52" s="165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</row>
    <row r="53" spans="1:26" s="160" customFormat="1" ht="16.5">
      <c r="A53" s="161"/>
      <c r="B53" s="165" t="s">
        <v>71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</row>
    <row r="54" spans="1:26" s="160" customFormat="1" ht="16.5">
      <c r="A54" s="161"/>
      <c r="B54" s="165" t="s">
        <v>253</v>
      </c>
      <c r="C54" s="274">
        <f>+C24-C45+C53</f>
        <v>25117187.982407734</v>
      </c>
      <c r="D54" s="274">
        <f>+D24-D45+D53</f>
        <v>1257510.3140485785</v>
      </c>
      <c r="E54" s="274">
        <f>+E24-E45+E53</f>
        <v>9497791.276498232</v>
      </c>
      <c r="F54" s="274">
        <f>+F24-F45+F53</f>
        <v>248484.4030923291</v>
      </c>
      <c r="G54" s="274">
        <f>+G24-G45+G53</f>
        <v>-505750.43888879567</v>
      </c>
      <c r="H54" s="274">
        <f t="shared" ref="H54:T54" si="11">+H24-H45+H53</f>
        <v>568188.57000000007</v>
      </c>
      <c r="I54" s="274">
        <f t="shared" si="11"/>
        <v>-4027614.5599999987</v>
      </c>
      <c r="J54" s="274">
        <f t="shared" si="11"/>
        <v>-24937.489999999998</v>
      </c>
      <c r="K54" s="274">
        <f t="shared" si="11"/>
        <v>266662.40999999642</v>
      </c>
      <c r="L54" s="274">
        <f t="shared" si="11"/>
        <v>401226.23544270737</v>
      </c>
      <c r="M54" s="274">
        <f t="shared" si="11"/>
        <v>-5230719.7067925911</v>
      </c>
      <c r="N54" s="274">
        <f t="shared" si="11"/>
        <v>3855.8100000000122</v>
      </c>
      <c r="O54" s="274">
        <f t="shared" si="11"/>
        <v>2572913.2799999863</v>
      </c>
      <c r="P54" s="274">
        <f t="shared" si="11"/>
        <v>-111391.22172174636</v>
      </c>
      <c r="Q54" s="274">
        <f t="shared" si="11"/>
        <v>-56764461.239528902</v>
      </c>
      <c r="R54" s="274">
        <f t="shared" si="11"/>
        <v>-1112792.9564337044</v>
      </c>
      <c r="S54" s="274">
        <f t="shared" si="11"/>
        <v>91045781.75042963</v>
      </c>
      <c r="T54" s="274">
        <f t="shared" si="11"/>
        <v>-1564727.4853586322</v>
      </c>
      <c r="U54" s="274">
        <f t="shared" ref="U54" si="12">+U24-U45+U53</f>
        <v>61971790.764125347</v>
      </c>
      <c r="V54" s="274">
        <f t="shared" ref="V54" si="13">+V24-V45+V53</f>
        <v>-334583.83093046769</v>
      </c>
    </row>
    <row r="55" spans="1:26" s="160" customFormat="1" ht="15.75" customHeight="1">
      <c r="A55" s="161"/>
      <c r="B55" s="165" t="s">
        <v>252</v>
      </c>
      <c r="C55" s="274">
        <f>+C54</f>
        <v>25117187.982407734</v>
      </c>
      <c r="D55" s="274">
        <f>D54</f>
        <v>1257510.3140485785</v>
      </c>
      <c r="E55" s="274">
        <f>+C55+E54</f>
        <v>34614979.258905962</v>
      </c>
      <c r="F55" s="274">
        <f>+D55+F54-0.01</f>
        <v>1505994.7071409076</v>
      </c>
      <c r="G55" s="274">
        <f>+E55+G54</f>
        <v>34109228.820017166</v>
      </c>
      <c r="H55" s="274">
        <f>+F55+H54</f>
        <v>2074183.2771409077</v>
      </c>
      <c r="I55" s="274">
        <f t="shared" ref="I55:L55" si="14">+G55+I54</f>
        <v>30081614.260017168</v>
      </c>
      <c r="J55" s="274">
        <f t="shared" si="14"/>
        <v>2049245.7871409077</v>
      </c>
      <c r="K55" s="274">
        <f t="shared" si="14"/>
        <v>30348276.670017164</v>
      </c>
      <c r="L55" s="274">
        <f t="shared" si="14"/>
        <v>2450472.022583615</v>
      </c>
      <c r="M55" s="274">
        <f t="shared" ref="M55" si="15">+K55+M54</f>
        <v>25117556.963224575</v>
      </c>
      <c r="N55" s="274">
        <f t="shared" ref="N55" si="16">+L55+N54</f>
        <v>2454327.8325836151</v>
      </c>
      <c r="O55" s="274">
        <f t="shared" ref="O55" si="17">+M55+O54</f>
        <v>27690470.243224561</v>
      </c>
      <c r="P55" s="274">
        <f t="shared" ref="P55" si="18">+N55+P54</f>
        <v>2342936.6108618686</v>
      </c>
      <c r="Q55" s="274">
        <f t="shared" ref="Q55" si="19">+O55+Q54</f>
        <v>-29073990.996304341</v>
      </c>
      <c r="R55" s="274">
        <f t="shared" ref="R55" si="20">+P55+R54</f>
        <v>1230143.6544281642</v>
      </c>
      <c r="S55" s="274">
        <f t="shared" ref="S55" si="21">+Q55+S54</f>
        <v>61971790.75412529</v>
      </c>
      <c r="T55" s="274">
        <f t="shared" ref="T55" si="22">+R55+T54</f>
        <v>-334583.83093046793</v>
      </c>
      <c r="U55" s="274">
        <f t="shared" ref="U55" si="23">+S55+U54</f>
        <v>123943581.51825064</v>
      </c>
      <c r="V55" s="274">
        <f t="shared" ref="V55" si="24">+T55+V54</f>
        <v>-669167.66186093562</v>
      </c>
    </row>
    <row r="56" spans="1:26" s="160" customFormat="1" ht="16.5">
      <c r="A56" s="161"/>
      <c r="B56" s="165" t="s">
        <v>251</v>
      </c>
      <c r="C56" s="164">
        <f>ROUND(C55/$X$2,2)</f>
        <v>0.27</v>
      </c>
      <c r="D56" s="164">
        <f t="shared" ref="D56:T56" si="25">ROUND(D55/$X$2,2)</f>
        <v>0.01</v>
      </c>
      <c r="E56" s="164">
        <f t="shared" si="25"/>
        <v>0.37</v>
      </c>
      <c r="F56" s="164">
        <f t="shared" si="25"/>
        <v>0.02</v>
      </c>
      <c r="G56" s="164">
        <f t="shared" si="25"/>
        <v>0.37</v>
      </c>
      <c r="H56" s="164">
        <f t="shared" si="25"/>
        <v>0.02</v>
      </c>
      <c r="I56" s="164">
        <f t="shared" si="25"/>
        <v>0.33</v>
      </c>
      <c r="J56" s="164">
        <f t="shared" si="25"/>
        <v>0.02</v>
      </c>
      <c r="K56" s="164">
        <f t="shared" si="25"/>
        <v>0.33</v>
      </c>
      <c r="L56" s="164">
        <f t="shared" si="25"/>
        <v>0.03</v>
      </c>
      <c r="M56" s="164">
        <f t="shared" si="25"/>
        <v>0.27</v>
      </c>
      <c r="N56" s="164">
        <f t="shared" si="25"/>
        <v>0.03</v>
      </c>
      <c r="O56" s="164">
        <f t="shared" si="25"/>
        <v>0.3</v>
      </c>
      <c r="P56" s="164">
        <f t="shared" si="25"/>
        <v>0.03</v>
      </c>
      <c r="Q56" s="164">
        <f t="shared" si="25"/>
        <v>-0.31</v>
      </c>
      <c r="R56" s="164">
        <f t="shared" si="25"/>
        <v>0.01</v>
      </c>
      <c r="S56" s="164">
        <f t="shared" si="25"/>
        <v>0.67</v>
      </c>
      <c r="T56" s="164">
        <f t="shared" si="25"/>
        <v>0</v>
      </c>
      <c r="U56" s="164">
        <f t="shared" ref="U56" si="26">ROUND(U55/$X$2,2)</f>
        <v>1.34</v>
      </c>
      <c r="V56" s="164">
        <f t="shared" ref="V56" si="27">ROUND(V55/$X$2,2)</f>
        <v>-0.01</v>
      </c>
    </row>
    <row r="57" spans="1:26" s="160" customFormat="1" ht="16.5">
      <c r="A57" s="161"/>
      <c r="B57" s="420"/>
      <c r="C57" s="421"/>
      <c r="D57" s="421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1"/>
      <c r="P57" s="421"/>
      <c r="Q57" s="421"/>
      <c r="R57" s="421"/>
      <c r="S57" s="421"/>
      <c r="T57" s="421"/>
      <c r="U57" s="421"/>
      <c r="V57" s="421"/>
    </row>
    <row r="58" spans="1:26" s="160" customFormat="1" ht="16.5">
      <c r="A58" s="161"/>
    </row>
    <row r="59" spans="1:26" s="160" customFormat="1" ht="16.5">
      <c r="A59" s="161"/>
    </row>
    <row r="60" spans="1:26" s="160" customFormat="1" ht="16.5">
      <c r="A60" s="161"/>
      <c r="B60" s="163" t="s">
        <v>250</v>
      </c>
      <c r="D60" s="163" t="s">
        <v>250</v>
      </c>
      <c r="I60" s="163" t="s">
        <v>250</v>
      </c>
      <c r="N60" s="163" t="s">
        <v>250</v>
      </c>
    </row>
    <row r="61" spans="1:26" s="160" customFormat="1" ht="16.5">
      <c r="A61" s="161"/>
      <c r="B61" s="162" t="s">
        <v>249</v>
      </c>
      <c r="D61" s="162" t="s">
        <v>248</v>
      </c>
      <c r="I61" s="162" t="s">
        <v>247</v>
      </c>
      <c r="N61" s="162" t="s">
        <v>246</v>
      </c>
    </row>
    <row r="62" spans="1:26" s="160" customFormat="1" ht="16.5">
      <c r="A62" s="161"/>
      <c r="B62" s="162"/>
      <c r="D62" s="162"/>
      <c r="I62" s="162"/>
      <c r="N62" s="162"/>
    </row>
    <row r="63" spans="1:26" s="160" customFormat="1" ht="16.5">
      <c r="A63" s="161"/>
    </row>
    <row r="65" spans="1:22" ht="16.5">
      <c r="A65" s="383"/>
      <c r="B65" s="384" t="s">
        <v>348</v>
      </c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58"/>
      <c r="T65" s="358"/>
      <c r="U65" s="358"/>
      <c r="V65" s="358"/>
    </row>
    <row r="66" spans="1:22">
      <c r="A66" s="383"/>
      <c r="B66" s="384" t="s">
        <v>349</v>
      </c>
      <c r="C66" s="386"/>
      <c r="D66" s="385"/>
      <c r="E66" s="386"/>
      <c r="F66" s="385"/>
      <c r="G66" s="386"/>
      <c r="H66" s="385"/>
      <c r="I66" s="386"/>
      <c r="J66" s="385"/>
      <c r="K66" s="386"/>
      <c r="L66" s="385"/>
      <c r="M66" s="386"/>
      <c r="N66" s="385"/>
      <c r="O66" s="386"/>
      <c r="P66" s="385"/>
      <c r="Q66" s="386"/>
      <c r="R66" s="385"/>
      <c r="S66" s="386"/>
      <c r="T66" s="385"/>
      <c r="U66" s="385"/>
      <c r="V66" s="385"/>
    </row>
    <row r="67" spans="1:22">
      <c r="A67" s="383"/>
      <c r="B67" s="387" t="s">
        <v>350</v>
      </c>
      <c r="C67" s="386"/>
      <c r="D67" s="385"/>
      <c r="E67" s="386"/>
      <c r="F67" s="385"/>
      <c r="G67" s="386"/>
      <c r="H67" s="385"/>
      <c r="I67" s="386"/>
      <c r="J67" s="385"/>
      <c r="K67" s="386"/>
      <c r="L67" s="385"/>
      <c r="M67" s="386"/>
      <c r="N67" s="385"/>
      <c r="O67" s="386"/>
      <c r="P67" s="385"/>
      <c r="Q67" s="386"/>
      <c r="R67" s="385"/>
      <c r="S67" s="386"/>
      <c r="T67" s="385"/>
      <c r="U67" s="385"/>
      <c r="V67" s="385"/>
    </row>
    <row r="68" spans="1:22" ht="16.5" customHeight="1">
      <c r="A68" s="563"/>
      <c r="B68" s="562"/>
      <c r="C68" s="863"/>
      <c r="D68" s="863"/>
      <c r="E68" s="863"/>
      <c r="F68" s="863"/>
      <c r="G68" s="863"/>
      <c r="H68" s="863"/>
      <c r="I68" s="863"/>
      <c r="J68" s="863"/>
      <c r="K68" s="863"/>
      <c r="L68" s="863"/>
      <c r="M68" s="863"/>
      <c r="N68" s="863"/>
      <c r="O68" s="863"/>
      <c r="P68" s="863"/>
      <c r="Q68" s="863"/>
      <c r="R68" s="863"/>
      <c r="S68" s="864"/>
      <c r="T68" s="864"/>
      <c r="U68" s="874"/>
      <c r="V68" s="874"/>
    </row>
    <row r="69" spans="1:22" ht="16.5">
      <c r="A69" s="869" t="s">
        <v>351</v>
      </c>
      <c r="B69" s="867" t="s">
        <v>352</v>
      </c>
      <c r="C69" s="873" t="s">
        <v>12</v>
      </c>
      <c r="D69" s="873"/>
      <c r="E69" s="873" t="s">
        <v>13</v>
      </c>
      <c r="F69" s="873"/>
      <c r="G69" s="873" t="s">
        <v>14</v>
      </c>
      <c r="H69" s="873"/>
      <c r="I69" s="873" t="s">
        <v>15</v>
      </c>
      <c r="J69" s="873"/>
      <c r="K69" s="873" t="s">
        <v>16</v>
      </c>
      <c r="L69" s="873"/>
      <c r="M69" s="873" t="s">
        <v>17</v>
      </c>
      <c r="N69" s="873"/>
      <c r="O69" s="873" t="s">
        <v>223</v>
      </c>
      <c r="P69" s="873"/>
      <c r="Q69" s="873" t="s">
        <v>222</v>
      </c>
      <c r="R69" s="873"/>
      <c r="S69" s="873" t="s">
        <v>221</v>
      </c>
      <c r="T69" s="873"/>
      <c r="U69" s="871" t="s">
        <v>20</v>
      </c>
      <c r="V69" s="872"/>
    </row>
    <row r="70" spans="1:22" ht="16.5">
      <c r="A70" s="870"/>
      <c r="B70" s="868"/>
      <c r="C70" s="388" t="s">
        <v>205</v>
      </c>
      <c r="D70" s="388" t="s">
        <v>204</v>
      </c>
      <c r="E70" s="388" t="s">
        <v>205</v>
      </c>
      <c r="F70" s="388" t="s">
        <v>204</v>
      </c>
      <c r="G70" s="388" t="s">
        <v>205</v>
      </c>
      <c r="H70" s="388" t="s">
        <v>204</v>
      </c>
      <c r="I70" s="388" t="s">
        <v>205</v>
      </c>
      <c r="J70" s="388" t="s">
        <v>204</v>
      </c>
      <c r="K70" s="388" t="s">
        <v>205</v>
      </c>
      <c r="L70" s="388" t="s">
        <v>204</v>
      </c>
      <c r="M70" s="388" t="s">
        <v>205</v>
      </c>
      <c r="N70" s="388" t="s">
        <v>204</v>
      </c>
      <c r="O70" s="388" t="s">
        <v>205</v>
      </c>
      <c r="P70" s="388" t="s">
        <v>204</v>
      </c>
      <c r="Q70" s="388" t="s">
        <v>205</v>
      </c>
      <c r="R70" s="388" t="s">
        <v>204</v>
      </c>
      <c r="S70" s="388" t="s">
        <v>205</v>
      </c>
      <c r="T70" s="388" t="s">
        <v>204</v>
      </c>
      <c r="U70" s="388" t="s">
        <v>205</v>
      </c>
      <c r="V70" s="388" t="s">
        <v>204</v>
      </c>
    </row>
    <row r="71" spans="1:22" ht="16.5">
      <c r="A71" s="389" t="s">
        <v>353</v>
      </c>
      <c r="B71" s="390" t="s">
        <v>354</v>
      </c>
      <c r="C71" s="392">
        <v>0</v>
      </c>
      <c r="D71" s="392">
        <v>0</v>
      </c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246">
        <f>C71+E71+G71+I71+K71+M71+O71+Q71+S71</f>
        <v>0</v>
      </c>
      <c r="V71" s="246">
        <f>D71+F71+H71+J71+L71+N71+P71+R71+T71</f>
        <v>0</v>
      </c>
    </row>
    <row r="72" spans="1:22" ht="16.5">
      <c r="A72" s="393" t="s">
        <v>355</v>
      </c>
      <c r="B72" s="394"/>
      <c r="C72" s="388"/>
      <c r="D72" s="388"/>
      <c r="E72" s="388"/>
      <c r="F72" s="388"/>
      <c r="G72" s="388"/>
      <c r="H72" s="388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388"/>
      <c r="V72" s="388"/>
    </row>
    <row r="73" spans="1:22" ht="16.5">
      <c r="A73" s="393" t="s">
        <v>356</v>
      </c>
      <c r="B73" s="394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</row>
    <row r="74" spans="1:22" ht="16.5">
      <c r="A74" s="389" t="s">
        <v>357</v>
      </c>
      <c r="B74" s="390" t="s">
        <v>358</v>
      </c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246">
        <f t="shared" ref="U74:V78" si="28">C74+E74+G74+I74+K74+M74+O74+Q74+S74</f>
        <v>0</v>
      </c>
      <c r="V74" s="246">
        <f t="shared" si="28"/>
        <v>0</v>
      </c>
    </row>
    <row r="75" spans="1:22" ht="16.5">
      <c r="A75" s="396"/>
      <c r="B75" s="390" t="s">
        <v>489</v>
      </c>
      <c r="C75" s="392">
        <v>10570748.800000001</v>
      </c>
      <c r="D75" s="392">
        <v>0</v>
      </c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246">
        <f t="shared" si="28"/>
        <v>10570748.800000001</v>
      </c>
      <c r="V75" s="246">
        <f t="shared" si="28"/>
        <v>0</v>
      </c>
    </row>
    <row r="76" spans="1:22" ht="16.5">
      <c r="A76" s="396"/>
      <c r="B76" s="390" t="s">
        <v>359</v>
      </c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  <c r="T76" s="392"/>
      <c r="U76" s="246">
        <f t="shared" si="28"/>
        <v>0</v>
      </c>
      <c r="V76" s="246">
        <f>D76+F76+H76+J76+L76+N76+P76+R76+T76</f>
        <v>0</v>
      </c>
    </row>
    <row r="77" spans="1:22" ht="30">
      <c r="A77" s="396"/>
      <c r="B77" s="390" t="s">
        <v>360</v>
      </c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246">
        <f t="shared" si="28"/>
        <v>0</v>
      </c>
      <c r="V77" s="246">
        <f t="shared" si="28"/>
        <v>0</v>
      </c>
    </row>
    <row r="78" spans="1:22" ht="16.5">
      <c r="A78" s="383"/>
      <c r="B78" s="385"/>
      <c r="C78" s="395">
        <f>SUM(C71:C77)</f>
        <v>10570748.800000001</v>
      </c>
      <c r="D78" s="395">
        <f t="shared" ref="D78:T78" si="29">SUM(D71:D77)</f>
        <v>0</v>
      </c>
      <c r="E78" s="395">
        <f t="shared" si="29"/>
        <v>0</v>
      </c>
      <c r="F78" s="395">
        <f t="shared" si="29"/>
        <v>0</v>
      </c>
      <c r="G78" s="395">
        <f t="shared" si="29"/>
        <v>0</v>
      </c>
      <c r="H78" s="395">
        <f t="shared" si="29"/>
        <v>0</v>
      </c>
      <c r="I78" s="395">
        <f t="shared" si="29"/>
        <v>0</v>
      </c>
      <c r="J78" s="395">
        <f t="shared" si="29"/>
        <v>0</v>
      </c>
      <c r="K78" s="395">
        <f t="shared" si="29"/>
        <v>0</v>
      </c>
      <c r="L78" s="395">
        <f t="shared" si="29"/>
        <v>0</v>
      </c>
      <c r="M78" s="395">
        <f t="shared" si="29"/>
        <v>0</v>
      </c>
      <c r="N78" s="395">
        <f t="shared" si="29"/>
        <v>0</v>
      </c>
      <c r="O78" s="395">
        <f t="shared" si="29"/>
        <v>0</v>
      </c>
      <c r="P78" s="395">
        <f t="shared" si="29"/>
        <v>0</v>
      </c>
      <c r="Q78" s="395">
        <f t="shared" si="29"/>
        <v>0</v>
      </c>
      <c r="R78" s="395">
        <f t="shared" si="29"/>
        <v>0</v>
      </c>
      <c r="S78" s="395">
        <f t="shared" si="29"/>
        <v>0</v>
      </c>
      <c r="T78" s="395">
        <f t="shared" si="29"/>
        <v>0</v>
      </c>
      <c r="U78" s="246">
        <f t="shared" si="28"/>
        <v>10570748.800000001</v>
      </c>
      <c r="V78" s="246">
        <f t="shared" si="28"/>
        <v>0</v>
      </c>
    </row>
    <row r="79" spans="1:22">
      <c r="A79" s="383"/>
      <c r="B79" s="384"/>
      <c r="C79" s="386"/>
      <c r="D79" s="397"/>
      <c r="E79" s="397"/>
      <c r="F79" s="398"/>
      <c r="G79" s="397"/>
      <c r="H79" s="398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85"/>
      <c r="T79" s="385"/>
      <c r="U79" s="385"/>
      <c r="V79" s="385"/>
    </row>
    <row r="80" spans="1:22" ht="16.5">
      <c r="A80" s="383"/>
      <c r="B80" s="399" t="s">
        <v>361</v>
      </c>
      <c r="C80" s="395">
        <f>+C71-(C71*30%)</f>
        <v>0</v>
      </c>
      <c r="D80" s="395">
        <f t="shared" ref="D80:V80" si="30">+D71-(D71*30%)</f>
        <v>0</v>
      </c>
      <c r="E80" s="395">
        <f t="shared" si="30"/>
        <v>0</v>
      </c>
      <c r="F80" s="395">
        <f t="shared" si="30"/>
        <v>0</v>
      </c>
      <c r="G80" s="395">
        <f t="shared" si="30"/>
        <v>0</v>
      </c>
      <c r="H80" s="395">
        <f t="shared" si="30"/>
        <v>0</v>
      </c>
      <c r="I80" s="395">
        <f t="shared" si="30"/>
        <v>0</v>
      </c>
      <c r="J80" s="395">
        <f t="shared" si="30"/>
        <v>0</v>
      </c>
      <c r="K80" s="395">
        <f t="shared" si="30"/>
        <v>0</v>
      </c>
      <c r="L80" s="395">
        <f t="shared" si="30"/>
        <v>0</v>
      </c>
      <c r="M80" s="395">
        <f t="shared" si="30"/>
        <v>0</v>
      </c>
      <c r="N80" s="395">
        <f t="shared" si="30"/>
        <v>0</v>
      </c>
      <c r="O80" s="395">
        <f t="shared" si="30"/>
        <v>0</v>
      </c>
      <c r="P80" s="395">
        <f t="shared" si="30"/>
        <v>0</v>
      </c>
      <c r="Q80" s="395">
        <f t="shared" si="30"/>
        <v>0</v>
      </c>
      <c r="R80" s="395">
        <f t="shared" si="30"/>
        <v>0</v>
      </c>
      <c r="S80" s="395">
        <f t="shared" si="30"/>
        <v>0</v>
      </c>
      <c r="T80" s="395">
        <f t="shared" si="30"/>
        <v>0</v>
      </c>
      <c r="U80" s="395">
        <f t="shared" si="30"/>
        <v>0</v>
      </c>
      <c r="V80" s="395">
        <f t="shared" si="30"/>
        <v>0</v>
      </c>
    </row>
    <row r="81" spans="1:22" ht="16.5">
      <c r="A81" s="383"/>
      <c r="B81" s="399" t="s">
        <v>362</v>
      </c>
      <c r="C81" s="395">
        <f>C74-(C74*10%)+C75-(C75*10%)+C76-(C76*40%)+C77-(C77*30%)</f>
        <v>9513673.9199999999</v>
      </c>
      <c r="D81" s="395">
        <f t="shared" ref="D81:V81" si="31">D74-(D74*10%)+D75-(D75*10%)+D76-(D76*40%)+D77-(D77*30%)</f>
        <v>0</v>
      </c>
      <c r="E81" s="395">
        <f t="shared" si="31"/>
        <v>0</v>
      </c>
      <c r="F81" s="395">
        <f t="shared" si="31"/>
        <v>0</v>
      </c>
      <c r="G81" s="395">
        <f t="shared" si="31"/>
        <v>0</v>
      </c>
      <c r="H81" s="395">
        <f t="shared" si="31"/>
        <v>0</v>
      </c>
      <c r="I81" s="395">
        <f t="shared" si="31"/>
        <v>0</v>
      </c>
      <c r="J81" s="395">
        <f t="shared" si="31"/>
        <v>0</v>
      </c>
      <c r="K81" s="395">
        <f t="shared" si="31"/>
        <v>0</v>
      </c>
      <c r="L81" s="395">
        <f t="shared" si="31"/>
        <v>0</v>
      </c>
      <c r="M81" s="395">
        <f t="shared" si="31"/>
        <v>0</v>
      </c>
      <c r="N81" s="395">
        <f t="shared" si="31"/>
        <v>0</v>
      </c>
      <c r="O81" s="395">
        <f t="shared" si="31"/>
        <v>0</v>
      </c>
      <c r="P81" s="395">
        <f t="shared" si="31"/>
        <v>0</v>
      </c>
      <c r="Q81" s="395">
        <f t="shared" si="31"/>
        <v>0</v>
      </c>
      <c r="R81" s="395">
        <f t="shared" si="31"/>
        <v>0</v>
      </c>
      <c r="S81" s="395">
        <f t="shared" si="31"/>
        <v>0</v>
      </c>
      <c r="T81" s="395">
        <f t="shared" si="31"/>
        <v>0</v>
      </c>
      <c r="U81" s="395">
        <f t="shared" si="31"/>
        <v>9513673.9199999999</v>
      </c>
      <c r="V81" s="395">
        <f t="shared" si="31"/>
        <v>0</v>
      </c>
    </row>
    <row r="82" spans="1:22">
      <c r="A82" s="383"/>
      <c r="B82" s="384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</row>
    <row r="83" spans="1:22">
      <c r="A83" s="383"/>
      <c r="B83" s="384"/>
      <c r="C83" s="401"/>
      <c r="D83" s="402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>
        <f>+U78-U81</f>
        <v>1057074.8800000008</v>
      </c>
      <c r="V83" s="400">
        <f>+V78-V81</f>
        <v>0</v>
      </c>
    </row>
  </sheetData>
  <mergeCells count="48">
    <mergeCell ref="B50:B51"/>
    <mergeCell ref="U50:V50"/>
    <mergeCell ref="B69:B70"/>
    <mergeCell ref="A69:A70"/>
    <mergeCell ref="U69:V69"/>
    <mergeCell ref="O69:P69"/>
    <mergeCell ref="Q69:R69"/>
    <mergeCell ref="S69:T69"/>
    <mergeCell ref="C69:D69"/>
    <mergeCell ref="E69:F69"/>
    <mergeCell ref="G69:H69"/>
    <mergeCell ref="I69:J69"/>
    <mergeCell ref="K69:L69"/>
    <mergeCell ref="M69:N69"/>
    <mergeCell ref="U68:V68"/>
    <mergeCell ref="Q68:R68"/>
    <mergeCell ref="S68:T68"/>
    <mergeCell ref="Q50:R50"/>
    <mergeCell ref="S50:T50"/>
    <mergeCell ref="C68:D68"/>
    <mergeCell ref="E68:F68"/>
    <mergeCell ref="G68:H68"/>
    <mergeCell ref="I68:J68"/>
    <mergeCell ref="C50:D50"/>
    <mergeCell ref="E50:F50"/>
    <mergeCell ref="G50:H50"/>
    <mergeCell ref="I50:J50"/>
    <mergeCell ref="K50:L50"/>
    <mergeCell ref="M50:N50"/>
    <mergeCell ref="O50:P50"/>
    <mergeCell ref="K68:L68"/>
    <mergeCell ref="M68:N68"/>
    <mergeCell ref="O68:P68"/>
    <mergeCell ref="A4:V4"/>
    <mergeCell ref="A1:V1"/>
    <mergeCell ref="A2:V2"/>
    <mergeCell ref="A5:V5"/>
    <mergeCell ref="S8:T8"/>
    <mergeCell ref="U8:V8"/>
    <mergeCell ref="C8:D8"/>
    <mergeCell ref="E8:F8"/>
    <mergeCell ref="A3:V3"/>
    <mergeCell ref="G8:H8"/>
    <mergeCell ref="I8:J8"/>
    <mergeCell ref="K8:L8"/>
    <mergeCell ref="M8:N8"/>
    <mergeCell ref="Q8:R8"/>
    <mergeCell ref="O8:P8"/>
  </mergeCells>
  <pageMargins left="0.27" right="0.25" top="0.74803149606299213" bottom="0.74803149606299213" header="0.31496062992125984" footer="0.31496062992125984"/>
  <pageSetup paperSize="9" scale="3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W175"/>
  <sheetViews>
    <sheetView showGridLines="0" topLeftCell="C31" zoomScale="80" zoomScaleNormal="80" workbookViewId="0">
      <selection activeCell="L56" sqref="L56"/>
    </sheetView>
  </sheetViews>
  <sheetFormatPr baseColWidth="10" defaultRowHeight="12.75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8" bestFit="1" customWidth="1"/>
    <col min="10" max="10" width="13.85546875" bestFit="1" customWidth="1"/>
    <col min="11" max="11" width="16.85546875" customWidth="1"/>
    <col min="12" max="12" width="12.85546875" bestFit="1" customWidth="1"/>
    <col min="13" max="13" width="14.85546875" bestFit="1" customWidth="1"/>
    <col min="14" max="14" width="13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3" ht="16.5">
      <c r="A1" s="675" t="s">
        <v>245</v>
      </c>
    </row>
    <row r="2" spans="1:13">
      <c r="A2" s="157"/>
    </row>
    <row r="3" spans="1:13" ht="16.5">
      <c r="A3" s="674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68" t="s">
        <v>141</v>
      </c>
      <c r="K3" s="668" t="s">
        <v>142</v>
      </c>
      <c r="L3" s="668" t="s">
        <v>143</v>
      </c>
      <c r="M3" s="146" t="s">
        <v>20</v>
      </c>
    </row>
    <row r="4" spans="1:13" ht="16.5">
      <c r="A4" s="672" t="s">
        <v>28</v>
      </c>
      <c r="B4" s="670">
        <f>SUM(Anx16AMN!C15:'Anx16AMN'!C18)</f>
        <v>1134986.94</v>
      </c>
      <c r="C4" s="670">
        <f>SUM(Anx16AMN!D15:'Anx16AMN'!D18)</f>
        <v>1076474.43</v>
      </c>
      <c r="D4" s="670">
        <f>SUM(Anx16AMN!E15:'Anx16AMN'!E18)</f>
        <v>1320746.8399999999</v>
      </c>
      <c r="E4" s="670">
        <f>SUM(Anx16AMN!F15:'Anx16AMN'!F18)</f>
        <v>1336861.05</v>
      </c>
      <c r="F4" s="670">
        <f>SUM(Anx16AMN!G15:'Anx16AMN'!G18)</f>
        <v>803312.63</v>
      </c>
      <c r="G4" s="670">
        <f>SUM(Anx16AMN!H15:'Anx16AMN'!H18)</f>
        <v>3176463.16</v>
      </c>
      <c r="H4" s="670">
        <f>SUM(Anx16AMN!I15:'Anx16AMN'!I18)</f>
        <v>3379907.98</v>
      </c>
      <c r="I4" s="670">
        <f>SUM(Anx16AMN!J15:'Anx16AMN'!J18)</f>
        <v>4734138.79</v>
      </c>
      <c r="J4" s="670">
        <f>SUM(Anx16AMN!K15:'Anx16AMN'!K18)</f>
        <v>11676540.710000001</v>
      </c>
      <c r="K4" s="670">
        <f>SUM(Anx16AMN!L15:'Anx16AMN'!L18)</f>
        <v>18686307.810000002</v>
      </c>
      <c r="L4" s="670">
        <f>SUM(Anx16AMN!M15:'Anx16AMN'!M18)</f>
        <v>3981130.26</v>
      </c>
      <c r="M4" s="670">
        <f>SUM(B4:L4)</f>
        <v>51306870.600000001</v>
      </c>
    </row>
    <row r="5" spans="1:13" ht="16.5">
      <c r="A5" s="673" t="s">
        <v>30</v>
      </c>
      <c r="B5" s="670">
        <f>SUM(Anx16AMN!C29:'Anx16AMN'!C30)</f>
        <v>9453846.1999999993</v>
      </c>
      <c r="C5" s="670">
        <f>SUM(Anx16AMN!D29:'Anx16AMN'!D30)</f>
        <v>10404170.449999999</v>
      </c>
      <c r="D5" s="670">
        <f>SUM(Anx16AMN!E29:'Anx16AMN'!E30)</f>
        <v>10415990.27</v>
      </c>
      <c r="E5" s="670">
        <f>SUM(Anx16AMN!F29:'Anx16AMN'!F30)</f>
        <v>10514159.33</v>
      </c>
      <c r="F5" s="670">
        <f>SUM(Anx16AMN!G29:'Anx16AMN'!G30)</f>
        <v>10362387.649999999</v>
      </c>
      <c r="G5" s="670">
        <f>SUM(Anx16AMN!H29:'Anx16AMN'!H30)</f>
        <v>9955853.1499999985</v>
      </c>
      <c r="H5" s="670">
        <f>SUM(Anx16AMN!I29:'Anx16AMN'!I30)</f>
        <v>26364640.329999998</v>
      </c>
      <c r="I5" s="670">
        <f>SUM(Anx16AMN!J29:'Anx16AMN'!J30)</f>
        <v>20765606.920000002</v>
      </c>
      <c r="J5" s="670">
        <f>SUM(Anx16AMN!K29:'Anx16AMN'!K30)</f>
        <v>48302975.760000005</v>
      </c>
      <c r="K5" s="670">
        <f>SUM(Anx16AMN!L29:'Anx16AMN'!L30)</f>
        <v>36649034.439999998</v>
      </c>
      <c r="L5" s="670">
        <f>SUM(Anx16AMN!M29:'Anx16AMN'!M30)</f>
        <v>3348812.05</v>
      </c>
      <c r="M5" s="670">
        <f>SUM(B5:L5)</f>
        <v>196537476.55000001</v>
      </c>
    </row>
    <row r="6" spans="1:13" ht="16.5">
      <c r="A6" s="673" t="s">
        <v>32</v>
      </c>
      <c r="B6" s="670">
        <f>SUM(Anx16AMN!C37:'Anx16AMN'!C37)</f>
        <v>137525.76000000001</v>
      </c>
      <c r="C6" s="670">
        <f>SUM(Anx16AMN!D37:'Anx16AMN'!D37)</f>
        <v>164492.59</v>
      </c>
      <c r="D6" s="670">
        <f>SUM(Anx16AMN!E37:'Anx16AMN'!E37)</f>
        <v>150696.46</v>
      </c>
      <c r="E6" s="670">
        <f>SUM(Anx16AMN!F37:'Anx16AMN'!F37)</f>
        <v>169665.67</v>
      </c>
      <c r="F6" s="670">
        <f>SUM(Anx16AMN!G37:'Anx16AMN'!G37)</f>
        <v>169473.13</v>
      </c>
      <c r="G6" s="670">
        <f>SUM(Anx16AMN!H37:'Anx16AMN'!H37)</f>
        <v>162770.29999999999</v>
      </c>
      <c r="H6" s="670">
        <f>SUM(Anx16AMN!I37:'Anx16AMN'!I37)</f>
        <v>523727.75</v>
      </c>
      <c r="I6" s="670">
        <f>SUM(Anx16AMN!J37:'Anx16AMN'!J37)</f>
        <v>513517.39</v>
      </c>
      <c r="J6" s="670">
        <f>SUM(Anx16AMN!K37:'Anx16AMN'!K37)</f>
        <v>2098675.4900000002</v>
      </c>
      <c r="K6" s="670">
        <f>SUM(Anx16AMN!L37:'Anx16AMN'!L37)</f>
        <v>5151358.8</v>
      </c>
      <c r="L6" s="670">
        <f>SUM(Anx16AMN!M37:'Anx16AMN'!M37)</f>
        <v>5659613.3399999999</v>
      </c>
      <c r="M6" s="670">
        <f>SUM(B6:L6)</f>
        <v>14901516.68</v>
      </c>
    </row>
    <row r="7" spans="1:13" ht="16.5">
      <c r="A7" s="673" t="s">
        <v>34</v>
      </c>
      <c r="B7" s="670">
        <f>SUM(Anx16AMN!C41:'Anx16AMN'!C41)</f>
        <v>9096513.1500000004</v>
      </c>
      <c r="C7" s="670">
        <f>SUM(Anx16AMN!D41:'Anx16AMN'!D41)</f>
        <v>3539611.28</v>
      </c>
      <c r="D7" s="670">
        <f>SUM(Anx16AMN!E41:'Anx16AMN'!E41)</f>
        <v>3437979.93</v>
      </c>
      <c r="E7" s="670">
        <f>SUM(Anx16AMN!F41:'Anx16AMN'!F41)</f>
        <v>3490643.15</v>
      </c>
      <c r="F7" s="670">
        <f>SUM(Anx16AMN!G41:'Anx16AMN'!G41)</f>
        <v>3297477.77</v>
      </c>
      <c r="G7" s="670">
        <f>SUM(Anx16AMN!H41:'Anx16AMN'!H41)</f>
        <v>3163099.15</v>
      </c>
      <c r="H7" s="670">
        <f>SUM(Anx16AMN!I41:'Anx16AMN'!I41)</f>
        <v>8940600.25</v>
      </c>
      <c r="I7" s="670">
        <f>SUM(Anx16AMN!J41:'Anx16AMN'!J41)</f>
        <v>7749187.2599999998</v>
      </c>
      <c r="J7" s="670">
        <f>SUM(Anx16AMN!K41:'Anx16AMN'!K41)</f>
        <v>22566894.559999999</v>
      </c>
      <c r="K7" s="670">
        <f>SUM(Anx16AMN!L41:'Anx16AMN'!L41)</f>
        <v>31865252.91</v>
      </c>
      <c r="L7" s="670">
        <f>SUM(Anx16AMN!M41:'Anx16AMN'!M41)</f>
        <v>2374298.63</v>
      </c>
      <c r="M7" s="670">
        <f>SUM(B7:L7)</f>
        <v>99521558.039999977</v>
      </c>
    </row>
    <row r="10" spans="1:13" ht="16.5">
      <c r="A10" s="674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68" t="s">
        <v>141</v>
      </c>
      <c r="K10" s="668" t="s">
        <v>142</v>
      </c>
      <c r="L10" s="668" t="s">
        <v>143</v>
      </c>
      <c r="M10" s="146" t="s">
        <v>20</v>
      </c>
    </row>
    <row r="11" spans="1:13" ht="16.5">
      <c r="A11" s="672" t="s">
        <v>28</v>
      </c>
      <c r="B11" s="670">
        <f>SUM(Anx16AME!C15:'Anx16AME'!C18)</f>
        <v>3243.86</v>
      </c>
      <c r="C11" s="670">
        <f>SUM(Anx16AME!D15:'Anx16AME'!D18)</f>
        <v>6042.41</v>
      </c>
      <c r="D11" s="670">
        <f>SUM(Anx16AME!E15:'Anx16AME'!E18)</f>
        <v>6046.19</v>
      </c>
      <c r="E11" s="670">
        <f>SUM(Anx16AME!F15:'Anx16AME'!F18)</f>
        <v>6124.35</v>
      </c>
      <c r="F11" s="670">
        <f>SUM(Anx16AME!G15:'Anx16AME'!G18)</f>
        <v>3102.45</v>
      </c>
      <c r="G11" s="670">
        <f>SUM(Anx16AME!H15:'Anx16AME'!H18)</f>
        <v>8079.13</v>
      </c>
      <c r="H11" s="670">
        <f>SUM(Anx16AME!I15:'Anx16AME'!I18)</f>
        <v>24722.22</v>
      </c>
      <c r="I11" s="670">
        <f>SUM(Anx16AME!J15:'Anx16AME'!J18)</f>
        <v>25343.77</v>
      </c>
      <c r="J11" s="670">
        <f>SUM(Anx16AME!K15:'Anx16AME'!K18)</f>
        <v>70541.850000000006</v>
      </c>
      <c r="K11" s="670">
        <f>SUM(Anx16AME!L15:'Anx16AME'!L18)</f>
        <v>146845.89000000001</v>
      </c>
      <c r="L11" s="670">
        <f>SUM(Anx16AME!M15:'Anx16AME'!M18)</f>
        <v>0</v>
      </c>
      <c r="M11" s="670">
        <f>SUM(B11:L11)</f>
        <v>300092.12</v>
      </c>
    </row>
    <row r="12" spans="1:13" ht="16.5">
      <c r="A12" s="672" t="s">
        <v>30</v>
      </c>
      <c r="B12" s="670">
        <f>SUM(Anx16AME!C29:'Anx16AME'!C30)</f>
        <v>1883.77</v>
      </c>
      <c r="C12" s="670">
        <f>SUM(Anx16AME!D29:'Anx16AME'!D30)</f>
        <v>1914.61</v>
      </c>
      <c r="D12" s="670">
        <f>SUM(Anx16AME!E29:'Anx16AME'!E30)</f>
        <v>1938.73</v>
      </c>
      <c r="E12" s="670">
        <f>SUM(Anx16AME!F29:'Anx16AME'!F30)</f>
        <v>2188.15</v>
      </c>
      <c r="F12" s="670">
        <f>SUM(Anx16AME!G29:'Anx16AME'!G30)</f>
        <v>2008.35</v>
      </c>
      <c r="G12" s="670">
        <f>SUM(Anx16AME!H29:'Anx16AME'!H30)</f>
        <v>216.61</v>
      </c>
      <c r="H12" s="670">
        <f>SUM(Anx16AME!I29:'Anx16AME'!I30)</f>
        <v>678.4</v>
      </c>
      <c r="I12" s="670">
        <f>SUM(Anx16AME!J29:'Anx16AME'!J30)</f>
        <v>706.35</v>
      </c>
      <c r="J12" s="670">
        <f>SUM(Anx16AME!K29:'Anx16AME'!K30)</f>
        <v>3017.45</v>
      </c>
      <c r="K12" s="670">
        <f>SUM(Anx16AME!L29:'Anx16AME'!L30)</f>
        <v>11261.92</v>
      </c>
      <c r="L12" s="670">
        <f>SUM(Anx16AME!M29:'Anx16AME'!M30)</f>
        <v>5785.93</v>
      </c>
      <c r="M12" s="670">
        <f>SUM(B12:L12)</f>
        <v>31600.270000000004</v>
      </c>
    </row>
    <row r="13" spans="1:13" ht="16.5">
      <c r="A13" s="672" t="s">
        <v>32</v>
      </c>
      <c r="B13" s="670">
        <f>SUM(Anx16AME!C37:'Anx16AME'!C37)</f>
        <v>6725.48</v>
      </c>
      <c r="C13" s="670">
        <f>SUM(Anx16AME!D37:'Anx16AME'!D37)</f>
        <v>832.65</v>
      </c>
      <c r="D13" s="670">
        <f>SUM(Anx16AME!E37:'Anx16AME'!E37)</f>
        <v>0</v>
      </c>
      <c r="E13" s="670">
        <f>SUM(Anx16AME!F37:'Anx16AME'!F37)</f>
        <v>0</v>
      </c>
      <c r="F13" s="670">
        <f>SUM(Anx16AME!G37:'Anx16AME'!G37)</f>
        <v>0</v>
      </c>
      <c r="G13" s="670">
        <f>SUM(Anx16AME!H37:'Anx16AME'!H37)</f>
        <v>0</v>
      </c>
      <c r="H13" s="670">
        <f>SUM(Anx16AME!I37:'Anx16AME'!I37)</f>
        <v>0</v>
      </c>
      <c r="I13" s="670">
        <f>SUM(Anx16AME!J37:'Anx16AME'!J37)</f>
        <v>0</v>
      </c>
      <c r="J13" s="670">
        <f>SUM(Anx16AME!K37:'Anx16AME'!K37)</f>
        <v>0</v>
      </c>
      <c r="K13" s="670">
        <f>SUM(Anx16AME!L37:'Anx16AME'!L37)</f>
        <v>0</v>
      </c>
      <c r="L13" s="670">
        <f>SUM(Anx16AME!M37:'Anx16AME'!M37)</f>
        <v>0</v>
      </c>
      <c r="M13" s="670">
        <f>SUM(B13:L13)</f>
        <v>7558.1299999999992</v>
      </c>
    </row>
    <row r="14" spans="1:13" ht="16.5">
      <c r="A14" s="672" t="s">
        <v>34</v>
      </c>
      <c r="B14" s="670">
        <f>SUM(Anx16AME!C41:'Anx16AME'!C41)</f>
        <v>1280.83</v>
      </c>
      <c r="C14" s="670">
        <f>SUM(Anx16AME!D41:'Anx16AME'!D41)</f>
        <v>1298.3800000000001</v>
      </c>
      <c r="D14" s="670">
        <f>SUM(Anx16AME!E41:'Anx16AME'!E41)</f>
        <v>1301.5899999999999</v>
      </c>
      <c r="E14" s="670">
        <f>SUM(Anx16AME!F41:'Anx16AME'!F41)</f>
        <v>1334</v>
      </c>
      <c r="F14" s="670">
        <f>SUM(Anx16AME!G41:'Anx16AME'!G41)</f>
        <v>1338.84</v>
      </c>
      <c r="G14" s="670">
        <f>SUM(Anx16AME!H41:'Anx16AME'!H41)</f>
        <v>1357.77</v>
      </c>
      <c r="H14" s="670">
        <f>SUM(Anx16AME!I41:'Anx16AME'!I41)</f>
        <v>4213.2</v>
      </c>
      <c r="I14" s="670">
        <f>SUM(Anx16AME!J41:'Anx16AME'!J41)</f>
        <v>4398.22</v>
      </c>
      <c r="J14" s="670">
        <f>SUM(Anx16AME!K41:'Anx16AME'!K41)</f>
        <v>19477.169999999998</v>
      </c>
      <c r="K14" s="670">
        <f>SUM(Anx16AME!L41:'Anx16AME'!L41)</f>
        <v>0</v>
      </c>
      <c r="L14" s="670">
        <f>SUM(Anx16AME!M41:'Anx16AME'!M41)</f>
        <v>0</v>
      </c>
      <c r="M14" s="670">
        <f>SUM(B14:L14)</f>
        <v>36000</v>
      </c>
    </row>
    <row r="17" spans="1:21" ht="16.5">
      <c r="B17" s="858" t="s">
        <v>12</v>
      </c>
      <c r="C17" s="859"/>
      <c r="D17" s="858" t="s">
        <v>13</v>
      </c>
      <c r="E17" s="859"/>
      <c r="F17" s="858" t="s">
        <v>14</v>
      </c>
      <c r="G17" s="859"/>
      <c r="H17" s="858" t="s">
        <v>15</v>
      </c>
      <c r="I17" s="859"/>
      <c r="J17" s="858" t="s">
        <v>16</v>
      </c>
      <c r="K17" s="859"/>
      <c r="L17" s="858" t="s">
        <v>17</v>
      </c>
      <c r="M17" s="859"/>
      <c r="N17" s="858" t="s">
        <v>223</v>
      </c>
      <c r="O17" s="859"/>
      <c r="P17" s="858" t="s">
        <v>222</v>
      </c>
      <c r="Q17" s="859"/>
      <c r="R17" s="877" t="s">
        <v>221</v>
      </c>
      <c r="S17" s="878"/>
      <c r="T17" s="858" t="s">
        <v>20</v>
      </c>
      <c r="U17" s="859"/>
    </row>
    <row r="18" spans="1:21" ht="16.5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1" ht="16.5">
      <c r="A19" s="672" t="s">
        <v>28</v>
      </c>
      <c r="B19" s="670">
        <f>+B4</f>
        <v>1134986.94</v>
      </c>
      <c r="C19" s="670">
        <f>+B11</f>
        <v>3243.86</v>
      </c>
      <c r="D19" s="670">
        <f>+C4</f>
        <v>1076474.43</v>
      </c>
      <c r="E19" s="670">
        <f>+C11</f>
        <v>6042.41</v>
      </c>
      <c r="F19" s="670">
        <f>+D4</f>
        <v>1320746.8399999999</v>
      </c>
      <c r="G19" s="670">
        <f>+D11</f>
        <v>6046.19</v>
      </c>
      <c r="H19" s="670">
        <f>+E4</f>
        <v>1336861.05</v>
      </c>
      <c r="I19" s="670">
        <f>+E11</f>
        <v>6124.35</v>
      </c>
      <c r="J19" s="670">
        <f>+F4</f>
        <v>803312.63</v>
      </c>
      <c r="K19" s="670">
        <f>+F11</f>
        <v>3102.45</v>
      </c>
      <c r="L19" s="670">
        <f>+G4</f>
        <v>3176463.16</v>
      </c>
      <c r="M19" s="670">
        <f>+G11</f>
        <v>8079.13</v>
      </c>
      <c r="N19" s="670">
        <f>+H4</f>
        <v>3379907.98</v>
      </c>
      <c r="O19" s="670">
        <f>+H11</f>
        <v>24722.22</v>
      </c>
      <c r="P19" s="670">
        <f>+I4</f>
        <v>4734138.79</v>
      </c>
      <c r="Q19" s="670">
        <f>+I11</f>
        <v>25343.77</v>
      </c>
      <c r="R19" s="670">
        <f>+J4+K4+L4</f>
        <v>34343978.780000001</v>
      </c>
      <c r="S19" s="670">
        <f>+J11+K11+L11</f>
        <v>217387.74000000002</v>
      </c>
      <c r="T19" s="670">
        <f t="shared" ref="T19:U22" si="0">+B19+D19+F19+H19+J19+L19+N19+P19+R19</f>
        <v>51306870.600000001</v>
      </c>
      <c r="U19" s="670">
        <f t="shared" si="0"/>
        <v>300092.12</v>
      </c>
    </row>
    <row r="20" spans="1:21" ht="16.5">
      <c r="A20" s="673" t="s">
        <v>30</v>
      </c>
      <c r="B20" s="670">
        <f>+B5</f>
        <v>9453846.1999999993</v>
      </c>
      <c r="C20" s="670">
        <f>+B12</f>
        <v>1883.77</v>
      </c>
      <c r="D20" s="670">
        <f>+C5</f>
        <v>10404170.449999999</v>
      </c>
      <c r="E20" s="670">
        <f>+C12</f>
        <v>1914.61</v>
      </c>
      <c r="F20" s="670">
        <f>+D5</f>
        <v>10415990.27</v>
      </c>
      <c r="G20" s="670">
        <f>+D12</f>
        <v>1938.73</v>
      </c>
      <c r="H20" s="670">
        <f>+E5</f>
        <v>10514159.33</v>
      </c>
      <c r="I20" s="670">
        <f>+E12</f>
        <v>2188.15</v>
      </c>
      <c r="J20" s="670">
        <f>+F5</f>
        <v>10362387.649999999</v>
      </c>
      <c r="K20" s="670">
        <f>+F12</f>
        <v>2008.35</v>
      </c>
      <c r="L20" s="670">
        <f>+G5</f>
        <v>9955853.1499999985</v>
      </c>
      <c r="M20" s="670">
        <f>+G12</f>
        <v>216.61</v>
      </c>
      <c r="N20" s="670">
        <f>+H5</f>
        <v>26364640.329999998</v>
      </c>
      <c r="O20" s="670">
        <f>+H12</f>
        <v>678.4</v>
      </c>
      <c r="P20" s="670">
        <f>+I5</f>
        <v>20765606.920000002</v>
      </c>
      <c r="Q20" s="670">
        <f>+I12</f>
        <v>706.35</v>
      </c>
      <c r="R20" s="670">
        <f>+J5+K5+L5</f>
        <v>88300822.25</v>
      </c>
      <c r="S20" s="670">
        <f>+J12+K12+L12</f>
        <v>20065.3</v>
      </c>
      <c r="T20" s="670">
        <f t="shared" si="0"/>
        <v>196537476.55000001</v>
      </c>
      <c r="U20" s="670">
        <f t="shared" si="0"/>
        <v>31600.27</v>
      </c>
    </row>
    <row r="21" spans="1:21" ht="16.5">
      <c r="A21" s="673" t="s">
        <v>32</v>
      </c>
      <c r="B21" s="670">
        <f>+B6</f>
        <v>137525.76000000001</v>
      </c>
      <c r="C21" s="670">
        <f>+B13</f>
        <v>6725.48</v>
      </c>
      <c r="D21" s="670">
        <f>+C6</f>
        <v>164492.59</v>
      </c>
      <c r="E21" s="670">
        <f>+C13</f>
        <v>832.65</v>
      </c>
      <c r="F21" s="670">
        <f>+D6</f>
        <v>150696.46</v>
      </c>
      <c r="G21" s="670">
        <f>+D13</f>
        <v>0</v>
      </c>
      <c r="H21" s="670">
        <f>+E6</f>
        <v>169665.67</v>
      </c>
      <c r="I21" s="670">
        <f>+E13</f>
        <v>0</v>
      </c>
      <c r="J21" s="670">
        <f>+F6</f>
        <v>169473.13</v>
      </c>
      <c r="K21" s="670">
        <f>+F13</f>
        <v>0</v>
      </c>
      <c r="L21" s="670">
        <f>+G6</f>
        <v>162770.29999999999</v>
      </c>
      <c r="M21" s="670">
        <f>+G13</f>
        <v>0</v>
      </c>
      <c r="N21" s="670">
        <f>+H6</f>
        <v>523727.75</v>
      </c>
      <c r="O21" s="670">
        <f>+H13</f>
        <v>0</v>
      </c>
      <c r="P21" s="670">
        <f>+I6</f>
        <v>513517.39</v>
      </c>
      <c r="Q21" s="670">
        <f>+I13</f>
        <v>0</v>
      </c>
      <c r="R21" s="670">
        <f>+J6+K6+L6</f>
        <v>12909647.629999999</v>
      </c>
      <c r="S21" s="670">
        <f>+J13+K13+L13</f>
        <v>0</v>
      </c>
      <c r="T21" s="670">
        <f t="shared" si="0"/>
        <v>14901516.68</v>
      </c>
      <c r="U21" s="670">
        <f t="shared" si="0"/>
        <v>7558.1299999999992</v>
      </c>
    </row>
    <row r="22" spans="1:21" ht="16.5">
      <c r="A22" s="673" t="s">
        <v>34</v>
      </c>
      <c r="B22" s="670">
        <f>+B7</f>
        <v>9096513.1500000004</v>
      </c>
      <c r="C22" s="670">
        <f>+B14</f>
        <v>1280.83</v>
      </c>
      <c r="D22" s="670">
        <f>+C7</f>
        <v>3539611.28</v>
      </c>
      <c r="E22" s="670">
        <f>+C14</f>
        <v>1298.3800000000001</v>
      </c>
      <c r="F22" s="670">
        <f>+D7</f>
        <v>3437979.93</v>
      </c>
      <c r="G22" s="670">
        <f>+D14</f>
        <v>1301.5899999999999</v>
      </c>
      <c r="H22" s="670">
        <f>+E7</f>
        <v>3490643.15</v>
      </c>
      <c r="I22" s="670">
        <f>+E14</f>
        <v>1334</v>
      </c>
      <c r="J22" s="670">
        <f>+F7</f>
        <v>3297477.77</v>
      </c>
      <c r="K22" s="670">
        <f>+F14</f>
        <v>1338.84</v>
      </c>
      <c r="L22" s="670">
        <f>+G7</f>
        <v>3163099.15</v>
      </c>
      <c r="M22" s="670">
        <f>+G14</f>
        <v>1357.77</v>
      </c>
      <c r="N22" s="670">
        <f>+H7</f>
        <v>8940600.25</v>
      </c>
      <c r="O22" s="670">
        <f>+H14</f>
        <v>4213.2</v>
      </c>
      <c r="P22" s="670">
        <f>+I7</f>
        <v>7749187.2599999998</v>
      </c>
      <c r="Q22" s="670">
        <f>+I14</f>
        <v>4398.22</v>
      </c>
      <c r="R22" s="670">
        <f>+J7+K7+L7</f>
        <v>56806446.100000001</v>
      </c>
      <c r="S22" s="670">
        <f>+J14+K14+L14</f>
        <v>19477.169999999998</v>
      </c>
      <c r="T22" s="670">
        <f t="shared" si="0"/>
        <v>99521558.039999992</v>
      </c>
      <c r="U22" s="670">
        <f t="shared" si="0"/>
        <v>36000</v>
      </c>
    </row>
    <row r="25" spans="1:21" ht="16.5">
      <c r="B25" s="858" t="s">
        <v>12</v>
      </c>
      <c r="C25" s="859"/>
      <c r="D25" s="858" t="s">
        <v>13</v>
      </c>
      <c r="E25" s="859"/>
      <c r="F25" s="858" t="s">
        <v>14</v>
      </c>
      <c r="G25" s="859"/>
      <c r="H25" s="858" t="s">
        <v>15</v>
      </c>
      <c r="I25" s="859"/>
      <c r="J25" s="858" t="s">
        <v>16</v>
      </c>
      <c r="K25" s="859"/>
      <c r="L25" s="858" t="s">
        <v>17</v>
      </c>
      <c r="M25" s="859"/>
      <c r="N25" s="858" t="s">
        <v>223</v>
      </c>
      <c r="O25" s="859"/>
      <c r="P25" s="858" t="s">
        <v>222</v>
      </c>
      <c r="Q25" s="859"/>
      <c r="R25" s="877" t="s">
        <v>221</v>
      </c>
      <c r="S25" s="878"/>
      <c r="T25" s="858" t="s">
        <v>20</v>
      </c>
      <c r="U25" s="859"/>
    </row>
    <row r="26" spans="1:21" ht="16.5">
      <c r="B26" s="44" t="s">
        <v>205</v>
      </c>
      <c r="C26" s="44" t="s">
        <v>204</v>
      </c>
      <c r="D26" s="44" t="s">
        <v>205</v>
      </c>
      <c r="E26" s="44" t="s">
        <v>204</v>
      </c>
      <c r="F26" s="44" t="s">
        <v>205</v>
      </c>
      <c r="G26" s="44" t="s">
        <v>204</v>
      </c>
      <c r="H26" s="44" t="s">
        <v>205</v>
      </c>
      <c r="I26" s="44" t="s">
        <v>204</v>
      </c>
      <c r="J26" s="44" t="s">
        <v>205</v>
      </c>
      <c r="K26" s="44" t="s">
        <v>204</v>
      </c>
      <c r="L26" s="44" t="s">
        <v>205</v>
      </c>
      <c r="M26" s="44" t="s">
        <v>204</v>
      </c>
      <c r="N26" s="44" t="s">
        <v>205</v>
      </c>
      <c r="O26" s="44" t="s">
        <v>204</v>
      </c>
      <c r="P26" s="44" t="s">
        <v>205</v>
      </c>
      <c r="Q26" s="44" t="s">
        <v>204</v>
      </c>
      <c r="R26" s="144" t="s">
        <v>205</v>
      </c>
      <c r="S26" s="144" t="s">
        <v>204</v>
      </c>
      <c r="T26" s="44" t="s">
        <v>205</v>
      </c>
      <c r="U26" s="44" t="s">
        <v>204</v>
      </c>
    </row>
    <row r="27" spans="1:21" ht="16.5">
      <c r="A27" s="672" t="s">
        <v>28</v>
      </c>
      <c r="B27" s="670">
        <f t="shared" ref="B27:Q27" si="1">(B19*(1-($E$34+7%)))</f>
        <v>964392.47860788542</v>
      </c>
      <c r="C27" s="670">
        <f t="shared" si="1"/>
        <v>2756.2909099702729</v>
      </c>
      <c r="D27" s="670">
        <f t="shared" si="1"/>
        <v>914674.70427960227</v>
      </c>
      <c r="E27" s="670">
        <f t="shared" si="1"/>
        <v>5134.2042373325221</v>
      </c>
      <c r="F27" s="670">
        <f t="shared" si="1"/>
        <v>1122231.6960238612</v>
      </c>
      <c r="G27" s="670">
        <f t="shared" si="1"/>
        <v>5137.4160836019937</v>
      </c>
      <c r="H27" s="670">
        <f t="shared" si="1"/>
        <v>1135923.8561492527</v>
      </c>
      <c r="I27" s="670">
        <f t="shared" si="1"/>
        <v>5203.8282276289492</v>
      </c>
      <c r="J27" s="670">
        <f t="shared" si="1"/>
        <v>682570.54864677053</v>
      </c>
      <c r="K27" s="670">
        <f t="shared" si="1"/>
        <v>2636.1355710903899</v>
      </c>
      <c r="L27" s="670">
        <f t="shared" si="1"/>
        <v>2699024.1668146742</v>
      </c>
      <c r="M27" s="670">
        <f t="shared" si="1"/>
        <v>6864.7945902314314</v>
      </c>
      <c r="N27" s="670">
        <f t="shared" si="1"/>
        <v>2871890.1684443802</v>
      </c>
      <c r="O27" s="670">
        <f t="shared" si="1"/>
        <v>21006.341291019122</v>
      </c>
      <c r="P27" s="670">
        <f t="shared" si="1"/>
        <v>4022573.0190004092</v>
      </c>
      <c r="Q27" s="670">
        <f t="shared" si="1"/>
        <v>21534.469081704297</v>
      </c>
      <c r="R27" s="670">
        <f t="shared" ref="R27:S30" si="2">((T19-R19)*($E$34+7%))+R19</f>
        <v>36893589.962033167</v>
      </c>
      <c r="S27" s="670">
        <f t="shared" si="2"/>
        <v>229818.64000742103</v>
      </c>
      <c r="T27" s="670">
        <f t="shared" ref="T27:U30" si="3">+B27+D27+F27+H27+J27+L27+N27+P27+R27</f>
        <v>51306870.600000001</v>
      </c>
      <c r="U27" s="670">
        <f t="shared" si="3"/>
        <v>300092.12</v>
      </c>
    </row>
    <row r="28" spans="1:21" ht="16.5">
      <c r="A28" s="673" t="s">
        <v>30</v>
      </c>
      <c r="B28" s="670">
        <f t="shared" ref="B28:Q28" si="4">(B20*(1-($E$34+7%)))</f>
        <v>8032883.7697425308</v>
      </c>
      <c r="C28" s="670">
        <f t="shared" si="4"/>
        <v>1600.629536254555</v>
      </c>
      <c r="D28" s="670">
        <f t="shared" si="4"/>
        <v>8840369.3245443143</v>
      </c>
      <c r="E28" s="670">
        <f t="shared" si="4"/>
        <v>1626.8341232784967</v>
      </c>
      <c r="F28" s="670">
        <f t="shared" si="4"/>
        <v>8850412.5639022049</v>
      </c>
      <c r="G28" s="670">
        <f t="shared" si="4"/>
        <v>1647.3287613789335</v>
      </c>
      <c r="H28" s="670">
        <f t="shared" si="4"/>
        <v>8933826.3017695379</v>
      </c>
      <c r="I28" s="670">
        <f t="shared" si="4"/>
        <v>1859.2596334772318</v>
      </c>
      <c r="J28" s="670">
        <f t="shared" si="4"/>
        <v>8804866.6974786874</v>
      </c>
      <c r="K28" s="670">
        <f t="shared" si="4"/>
        <v>1706.4845119822671</v>
      </c>
      <c r="L28" s="670">
        <f t="shared" si="4"/>
        <v>8459436.4548235442</v>
      </c>
      <c r="M28" s="670">
        <f t="shared" si="4"/>
        <v>184.05238635719817</v>
      </c>
      <c r="N28" s="670">
        <f t="shared" si="4"/>
        <v>22401897.272451539</v>
      </c>
      <c r="O28" s="670">
        <f t="shared" si="4"/>
        <v>576.43293894429257</v>
      </c>
      <c r="P28" s="670">
        <f t="shared" si="4"/>
        <v>17644427.809341896</v>
      </c>
      <c r="Q28" s="670">
        <f t="shared" si="4"/>
        <v>600.18190805321512</v>
      </c>
      <c r="R28" s="670">
        <f t="shared" si="2"/>
        <v>104569356.35594574</v>
      </c>
      <c r="S28" s="670">
        <f t="shared" si="2"/>
        <v>21799.06620027381</v>
      </c>
      <c r="T28" s="670">
        <f t="shared" si="3"/>
        <v>196537476.55000001</v>
      </c>
      <c r="U28" s="670">
        <f t="shared" si="3"/>
        <v>31600.269999999997</v>
      </c>
    </row>
    <row r="29" spans="1:21" ht="16.5">
      <c r="A29" s="673" t="s">
        <v>32</v>
      </c>
      <c r="B29" s="670">
        <f t="shared" ref="B29:Q29" si="5">(B21*(1-($E$34+7%)))</f>
        <v>116854.92042651452</v>
      </c>
      <c r="C29" s="670">
        <f t="shared" si="5"/>
        <v>5714.6052509007386</v>
      </c>
      <c r="D29" s="670">
        <f t="shared" si="5"/>
        <v>139768.49511830567</v>
      </c>
      <c r="E29" s="670">
        <f t="shared" si="5"/>
        <v>707.49835880301487</v>
      </c>
      <c r="F29" s="670">
        <f t="shared" si="5"/>
        <v>128045.99546919375</v>
      </c>
      <c r="G29" s="670">
        <f t="shared" si="5"/>
        <v>0</v>
      </c>
      <c r="H29" s="670">
        <f t="shared" si="5"/>
        <v>144164.03419229438</v>
      </c>
      <c r="I29" s="670">
        <f t="shared" si="5"/>
        <v>0</v>
      </c>
      <c r="J29" s="670">
        <f t="shared" si="5"/>
        <v>144000.43395929859</v>
      </c>
      <c r="K29" s="670">
        <f t="shared" si="5"/>
        <v>0</v>
      </c>
      <c r="L29" s="670">
        <f t="shared" si="5"/>
        <v>138305.07429517127</v>
      </c>
      <c r="M29" s="670">
        <f t="shared" si="5"/>
        <v>0</v>
      </c>
      <c r="N29" s="670">
        <f t="shared" si="5"/>
        <v>445008.73546459578</v>
      </c>
      <c r="O29" s="670">
        <f t="shared" si="5"/>
        <v>0</v>
      </c>
      <c r="P29" s="670">
        <f t="shared" si="5"/>
        <v>436333.04586778086</v>
      </c>
      <c r="Q29" s="670">
        <f t="shared" si="5"/>
        <v>0</v>
      </c>
      <c r="R29" s="670">
        <f t="shared" si="2"/>
        <v>13209035.945206843</v>
      </c>
      <c r="S29" s="670">
        <f t="shared" si="2"/>
        <v>1136.0263902962456</v>
      </c>
      <c r="T29" s="670">
        <f t="shared" si="3"/>
        <v>14901516.679999998</v>
      </c>
      <c r="U29" s="670">
        <f t="shared" si="3"/>
        <v>7558.1299999999992</v>
      </c>
    </row>
    <row r="30" spans="1:21" ht="16.5">
      <c r="A30" s="673" t="s">
        <v>34</v>
      </c>
      <c r="B30" s="670">
        <f t="shared" ref="B30:Q30" si="6">(B22*(1-($E$34+7%)))</f>
        <v>7729259.7423347663</v>
      </c>
      <c r="C30" s="670">
        <f t="shared" si="6"/>
        <v>1088.3145654304515</v>
      </c>
      <c r="D30" s="670">
        <f t="shared" si="6"/>
        <v>3007589.2288484219</v>
      </c>
      <c r="E30" s="670">
        <f t="shared" si="6"/>
        <v>1103.2267088244262</v>
      </c>
      <c r="F30" s="670">
        <f t="shared" si="6"/>
        <v>2921233.6012402619</v>
      </c>
      <c r="G30" s="670">
        <f t="shared" si="6"/>
        <v>1105.9542290691359</v>
      </c>
      <c r="H30" s="670">
        <f t="shared" si="6"/>
        <v>2965981.2643871806</v>
      </c>
      <c r="I30" s="670">
        <f t="shared" si="6"/>
        <v>1133.4928368981227</v>
      </c>
      <c r="J30" s="670">
        <f t="shared" si="6"/>
        <v>2801849.6492697117</v>
      </c>
      <c r="K30" s="670">
        <f t="shared" si="6"/>
        <v>1137.6053596346944</v>
      </c>
      <c r="L30" s="670">
        <f t="shared" si="6"/>
        <v>2687668.8372740182</v>
      </c>
      <c r="M30" s="670">
        <f t="shared" si="6"/>
        <v>1153.6900818254603</v>
      </c>
      <c r="N30" s="670">
        <f t="shared" si="6"/>
        <v>7596781.3650259105</v>
      </c>
      <c r="O30" s="670">
        <f t="shared" si="6"/>
        <v>3579.9340482902326</v>
      </c>
      <c r="P30" s="670">
        <f t="shared" si="6"/>
        <v>6584443.9662610115</v>
      </c>
      <c r="Q30" s="670">
        <f t="shared" si="6"/>
        <v>3737.1445765382769</v>
      </c>
      <c r="R30" s="670">
        <f t="shared" si="2"/>
        <v>63226750.385358714</v>
      </c>
      <c r="S30" s="670">
        <f t="shared" si="2"/>
        <v>21960.637593489198</v>
      </c>
      <c r="T30" s="670">
        <f t="shared" si="3"/>
        <v>99521558.039999992</v>
      </c>
      <c r="U30" s="670">
        <f t="shared" si="3"/>
        <v>36000</v>
      </c>
    </row>
    <row r="31" spans="1:21" s="71" customFormat="1">
      <c r="A31" s="156"/>
      <c r="B31" s="155"/>
    </row>
    <row r="32" spans="1:21" s="71" customFormat="1" ht="28.5" customHeight="1">
      <c r="A32" s="156"/>
      <c r="B32" s="155"/>
      <c r="C32" s="120"/>
      <c r="D32" s="636" t="s">
        <v>490</v>
      </c>
      <c r="E32" s="637"/>
      <c r="F32" s="638"/>
      <c r="G32" s="120"/>
      <c r="H32" s="120"/>
    </row>
    <row r="33" spans="1:19" s="71" customFormat="1">
      <c r="A33" s="156"/>
      <c r="B33" s="155"/>
      <c r="C33" s="120"/>
      <c r="D33" s="154"/>
      <c r="E33" s="154"/>
      <c r="F33" s="154"/>
      <c r="G33" s="120"/>
      <c r="H33" s="120"/>
    </row>
    <row r="34" spans="1:19" ht="16.5">
      <c r="C34" s="120"/>
      <c r="D34" s="639" t="s">
        <v>244</v>
      </c>
      <c r="E34" s="651">
        <f>(+I38+I39+I40)/(I41)</f>
        <v>8.0305219716549706E-2</v>
      </c>
      <c r="F34" s="152"/>
      <c r="G34" s="120"/>
      <c r="H34" s="120"/>
    </row>
    <row r="35" spans="1:19" ht="16.5">
      <c r="C35" s="120"/>
      <c r="D35" s="640" t="s">
        <v>243</v>
      </c>
      <c r="E35" s="129"/>
      <c r="F35" s="152"/>
      <c r="G35" s="120"/>
      <c r="H35" s="120"/>
      <c r="I35" s="647" t="s">
        <v>242</v>
      </c>
    </row>
    <row r="36" spans="1:19" ht="16.5">
      <c r="C36" s="120"/>
      <c r="D36" s="641" t="s">
        <v>241</v>
      </c>
      <c r="E36" s="642" t="s">
        <v>240</v>
      </c>
      <c r="F36" s="152"/>
      <c r="G36" s="120"/>
      <c r="H36" s="653" t="s">
        <v>239</v>
      </c>
      <c r="I36" s="652">
        <v>44255</v>
      </c>
      <c r="J36" s="140"/>
    </row>
    <row r="37" spans="1:19" ht="16.5">
      <c r="C37" s="120"/>
      <c r="D37" s="642" t="s">
        <v>491</v>
      </c>
      <c r="E37" s="642" t="s">
        <v>238</v>
      </c>
      <c r="F37" s="152"/>
      <c r="G37" s="120"/>
      <c r="H37" s="151"/>
      <c r="I37" s="153"/>
    </row>
    <row r="38" spans="1:19" ht="16.5">
      <c r="C38" s="120"/>
      <c r="D38" s="642" t="s">
        <v>492</v>
      </c>
      <c r="E38" s="642" t="s">
        <v>237</v>
      </c>
      <c r="F38" s="152"/>
      <c r="G38" s="120"/>
      <c r="H38" s="648">
        <v>1404</v>
      </c>
      <c r="I38" s="843">
        <v>11772184</v>
      </c>
      <c r="J38" s="142"/>
    </row>
    <row r="39" spans="1:19" ht="16.5">
      <c r="C39" s="120"/>
      <c r="D39" s="642" t="s">
        <v>493</v>
      </c>
      <c r="E39" s="642" t="s">
        <v>236</v>
      </c>
      <c r="F39" s="152"/>
      <c r="G39" s="120"/>
      <c r="H39" s="648">
        <v>1405</v>
      </c>
      <c r="I39" s="843">
        <v>9913450.1899999995</v>
      </c>
    </row>
    <row r="40" spans="1:19" ht="16.5">
      <c r="C40" s="120"/>
      <c r="D40" s="642" t="s">
        <v>494</v>
      </c>
      <c r="E40" s="642" t="s">
        <v>235</v>
      </c>
      <c r="F40" s="152"/>
      <c r="G40" s="120"/>
      <c r="H40" s="648">
        <v>1406</v>
      </c>
      <c r="I40" s="843">
        <v>13242582.57</v>
      </c>
    </row>
    <row r="41" spans="1:19" ht="16.5">
      <c r="C41" s="120"/>
      <c r="D41" s="642" t="s">
        <v>495</v>
      </c>
      <c r="E41" s="642" t="s">
        <v>234</v>
      </c>
      <c r="F41" s="152"/>
      <c r="G41" s="120"/>
      <c r="H41" s="648" t="s">
        <v>497</v>
      </c>
      <c r="I41" s="843">
        <f>+I42-I43-I44</f>
        <v>434943293.63999999</v>
      </c>
    </row>
    <row r="42" spans="1:19" s="120" customFormat="1" ht="16.5">
      <c r="A42" s="140"/>
      <c r="D42" s="643" t="s">
        <v>496</v>
      </c>
      <c r="E42" s="628"/>
      <c r="F42" s="628"/>
      <c r="G42" s="628"/>
      <c r="H42" s="649">
        <v>1400</v>
      </c>
      <c r="I42" s="843">
        <v>402561004.13</v>
      </c>
      <c r="O42" s="149"/>
      <c r="P42" s="123"/>
      <c r="Q42" s="123"/>
      <c r="R42" s="123"/>
      <c r="S42" s="123"/>
    </row>
    <row r="43" spans="1:19" s="120" customFormat="1" ht="16.5">
      <c r="A43" s="140"/>
      <c r="C43"/>
      <c r="D43"/>
      <c r="E43"/>
      <c r="F43"/>
      <c r="G43"/>
      <c r="H43" s="648">
        <v>1408</v>
      </c>
      <c r="I43" s="843">
        <v>7890555.3700000001</v>
      </c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>
      <c r="A44" s="140"/>
      <c r="C44"/>
      <c r="D44" s="636" t="s">
        <v>233</v>
      </c>
      <c r="E44" s="644"/>
      <c r="F44" s="645"/>
      <c r="H44" s="648">
        <v>1409</v>
      </c>
      <c r="I44" s="843">
        <v>-40272844.880000003</v>
      </c>
      <c r="J44" s="150"/>
      <c r="K44" s="150"/>
      <c r="O44" s="149"/>
      <c r="P44" s="123"/>
      <c r="Q44" s="123"/>
      <c r="R44" s="123"/>
      <c r="S44" s="123"/>
    </row>
    <row r="45" spans="1:19" ht="16.5">
      <c r="D45" s="646" t="s">
        <v>232</v>
      </c>
      <c r="E45" s="646" t="s">
        <v>231</v>
      </c>
      <c r="F45" s="628"/>
      <c r="G45" s="819">
        <v>2517050205</v>
      </c>
      <c r="H45" s="820">
        <f>Anx16AMN!T103</f>
        <v>117.93</v>
      </c>
      <c r="I45" s="819">
        <v>2527050205</v>
      </c>
      <c r="J45" s="820"/>
    </row>
    <row r="46" spans="1:19" ht="16.5">
      <c r="D46" s="646" t="s">
        <v>230</v>
      </c>
      <c r="E46" s="646" t="s">
        <v>229</v>
      </c>
      <c r="F46" s="628"/>
      <c r="G46" s="819">
        <v>2517050202</v>
      </c>
      <c r="H46" s="821">
        <f>Anx16AMN!T108</f>
        <v>0</v>
      </c>
      <c r="I46" s="819">
        <v>2527050202</v>
      </c>
      <c r="J46" s="820"/>
    </row>
    <row r="47" spans="1:19" ht="16.5">
      <c r="G47" s="819">
        <v>2517050203</v>
      </c>
      <c r="H47" s="821">
        <f>Anx16AMN!T109</f>
        <v>0</v>
      </c>
      <c r="I47" s="819">
        <v>2527050203</v>
      </c>
      <c r="J47" s="820"/>
    </row>
    <row r="48" spans="1:19" ht="16.5">
      <c r="G48" s="631">
        <v>25170301</v>
      </c>
      <c r="H48" s="671">
        <f>Anx16AMN!T47</f>
        <v>0</v>
      </c>
      <c r="I48" s="629">
        <v>25270301</v>
      </c>
      <c r="J48" s="671">
        <f>Anx16AME!T47</f>
        <v>0</v>
      </c>
      <c r="L48" s="613"/>
      <c r="M48" s="616"/>
    </row>
    <row r="49" spans="1:15" ht="16.5">
      <c r="G49" s="632">
        <v>25170302</v>
      </c>
      <c r="H49" s="671">
        <f>Anx16AMN!T48</f>
        <v>1397.06</v>
      </c>
      <c r="I49" s="630">
        <v>25270302</v>
      </c>
      <c r="J49" s="671">
        <f>Anx16AME!T48</f>
        <v>0</v>
      </c>
      <c r="L49" s="613"/>
      <c r="M49" s="616"/>
    </row>
    <row r="50" spans="1:15" ht="16.5">
      <c r="F50" s="80"/>
      <c r="G50" s="630">
        <v>25170303</v>
      </c>
      <c r="H50" s="671">
        <f>Anx16AMN!T49</f>
        <v>10867.36</v>
      </c>
      <c r="I50" s="630">
        <v>25270303</v>
      </c>
      <c r="J50" s="671">
        <f>Anx16AME!T49</f>
        <v>0</v>
      </c>
      <c r="L50" s="613"/>
      <c r="M50" s="616"/>
    </row>
    <row r="51" spans="1:15" ht="17.25" customHeight="1">
      <c r="A51" s="148" t="s">
        <v>228</v>
      </c>
      <c r="B51" s="627">
        <v>251703</v>
      </c>
      <c r="C51" s="840">
        <v>-1324677.3400000001</v>
      </c>
      <c r="D51" s="627">
        <v>252703</v>
      </c>
      <c r="E51" s="840">
        <v>0</v>
      </c>
      <c r="G51" s="631">
        <v>25170309</v>
      </c>
      <c r="H51" s="671">
        <f>Anx16AMN!T50</f>
        <v>123049.91</v>
      </c>
      <c r="I51" s="629">
        <v>25270309</v>
      </c>
      <c r="J51" s="671">
        <f>Anx16AME!T50</f>
        <v>0</v>
      </c>
      <c r="L51" s="613"/>
      <c r="M51" s="596"/>
    </row>
    <row r="52" spans="1:15" ht="16.5">
      <c r="A52" s="148" t="s">
        <v>228</v>
      </c>
      <c r="B52" s="627">
        <v>251704</v>
      </c>
      <c r="C52" s="840">
        <v>169491.33</v>
      </c>
      <c r="D52" s="627">
        <v>252704</v>
      </c>
      <c r="E52" s="840">
        <v>0</v>
      </c>
      <c r="G52" s="632">
        <v>251704</v>
      </c>
      <c r="H52" s="671">
        <f>Anx16AMN!T51</f>
        <v>169491.33</v>
      </c>
      <c r="I52" s="630">
        <v>252704</v>
      </c>
      <c r="J52" s="671">
        <f>Anx16AME!T51</f>
        <v>0</v>
      </c>
      <c r="L52" s="613"/>
      <c r="M52" s="617"/>
    </row>
    <row r="53" spans="1:15" ht="16.5">
      <c r="B53" s="627" t="s">
        <v>298</v>
      </c>
      <c r="C53" s="841">
        <v>84351.360000000001</v>
      </c>
      <c r="D53" s="627" t="s">
        <v>299</v>
      </c>
      <c r="E53" s="840">
        <v>0</v>
      </c>
      <c r="G53" s="631">
        <v>25170501</v>
      </c>
      <c r="H53" s="671">
        <f>Anx16AMN!T52</f>
        <v>77644.28</v>
      </c>
      <c r="I53" s="629">
        <v>25270501</v>
      </c>
      <c r="J53" s="671">
        <f>Anx16AME!T52</f>
        <v>0</v>
      </c>
      <c r="L53" s="614"/>
      <c r="M53" s="596"/>
    </row>
    <row r="54" spans="1:15" ht="16.5">
      <c r="A54" s="140">
        <v>2</v>
      </c>
      <c r="B54" s="627">
        <v>2116</v>
      </c>
      <c r="C54" s="842">
        <v>609459.59</v>
      </c>
      <c r="D54" s="627">
        <v>2126</v>
      </c>
      <c r="E54" s="840">
        <v>0</v>
      </c>
      <c r="G54" s="631">
        <v>2517050201</v>
      </c>
      <c r="H54" s="671">
        <f>Anx16AMN!T53</f>
        <v>6589.15</v>
      </c>
      <c r="I54" s="629">
        <v>2527050201</v>
      </c>
      <c r="J54" s="671">
        <f>Anx16AME!T53</f>
        <v>0</v>
      </c>
      <c r="L54" s="614"/>
      <c r="M54" s="596"/>
    </row>
    <row r="55" spans="1:15" ht="16.5">
      <c r="B55" s="627">
        <v>2312</v>
      </c>
      <c r="C55" s="841">
        <v>7176.65</v>
      </c>
      <c r="D55" s="627">
        <v>2322</v>
      </c>
      <c r="E55" s="840">
        <v>1748.47</v>
      </c>
      <c r="G55" s="632">
        <v>251706</v>
      </c>
      <c r="H55" s="671">
        <f>Anx16AMN!T54</f>
        <v>0</v>
      </c>
      <c r="I55" s="630">
        <v>252706</v>
      </c>
      <c r="J55" s="671">
        <f>Anx16AME!T54</f>
        <v>0</v>
      </c>
      <c r="L55" s="613"/>
      <c r="M55" s="595"/>
    </row>
    <row r="56" spans="1:15" ht="16.5">
      <c r="B56" s="627">
        <v>2313</v>
      </c>
      <c r="C56" s="840">
        <v>1000000</v>
      </c>
      <c r="D56" s="627">
        <v>2323</v>
      </c>
      <c r="E56" s="840">
        <v>0</v>
      </c>
      <c r="G56" s="632">
        <v>2518</v>
      </c>
      <c r="H56" s="671">
        <f>Anx16AMN!T59</f>
        <v>39732.230000000003</v>
      </c>
      <c r="I56" s="630">
        <v>2528</v>
      </c>
      <c r="J56" s="671">
        <f>Anx16AME!T59</f>
        <v>0</v>
      </c>
    </row>
    <row r="57" spans="1:15" ht="16.5">
      <c r="C57" s="272"/>
      <c r="G57" s="817" t="s">
        <v>12</v>
      </c>
      <c r="H57" s="820">
        <f>SUM(H48:H56)+H45</f>
        <v>428889.25000000006</v>
      </c>
      <c r="J57" s="671">
        <f>SUM(J48:J56)+J45</f>
        <v>0</v>
      </c>
    </row>
    <row r="58" spans="1:15">
      <c r="C58" s="272"/>
      <c r="G58" s="816" t="s">
        <v>17</v>
      </c>
      <c r="H58" s="815">
        <f>+H46+H47</f>
        <v>0</v>
      </c>
      <c r="J58" s="818">
        <f>+J46+J47</f>
        <v>0</v>
      </c>
    </row>
    <row r="59" spans="1:15">
      <c r="C59" s="272"/>
    </row>
    <row r="60" spans="1:15" ht="15">
      <c r="A60" s="655"/>
    </row>
    <row r="61" spans="1:15" s="71" customFormat="1" ht="16.5">
      <c r="A61" s="662" t="s">
        <v>499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68" t="s">
        <v>227</v>
      </c>
      <c r="L61" s="666" t="s">
        <v>226</v>
      </c>
      <c r="M61" s="661"/>
      <c r="O61" s="661"/>
    </row>
    <row r="62" spans="1:15" ht="16.5">
      <c r="A62" s="663" t="s">
        <v>500</v>
      </c>
      <c r="B62" s="669">
        <f>Anx16AMN!C49+Anx16AMN!C83</f>
        <v>9344691.1799999997</v>
      </c>
      <c r="C62" s="670">
        <f>Anx16AMN!D49+Anx16AMN!D83</f>
        <v>6326732.8157837633</v>
      </c>
      <c r="D62" s="670">
        <f>Anx16AMN!E49+Anx16AMN!E83</f>
        <v>6829531.6005121283</v>
      </c>
      <c r="E62" s="670">
        <f>Anx16AMN!F49+Anx16AMN!F83</f>
        <v>6569459.1500000004</v>
      </c>
      <c r="F62" s="670">
        <f>Anx16AMN!G49+Anx16AMN!G83</f>
        <v>5437058.3300000001</v>
      </c>
      <c r="G62" s="670">
        <f>Anx16AMN!H49+Anx16AMN!H83</f>
        <v>4970182.2</v>
      </c>
      <c r="H62" s="670">
        <f>Anx16AMN!I49+Anx16AMN!I83</f>
        <v>10635453.9</v>
      </c>
      <c r="I62" s="670">
        <f>Anx16AMN!J49+Anx16AMN!J83</f>
        <v>12752010.82</v>
      </c>
      <c r="J62" s="664">
        <f>SUM(Anx16AMN!K49:M49)+SUM(Anx16AMN!K83:M83)</f>
        <v>71937449.299999997</v>
      </c>
      <c r="K62" s="71"/>
      <c r="L62" s="666">
        <f>SUM(B62:J62)</f>
        <v>134802569.29629588</v>
      </c>
      <c r="M62" s="665"/>
      <c r="O62" s="24"/>
    </row>
    <row r="63" spans="1:15" ht="16.5">
      <c r="A63" s="663" t="s">
        <v>501</v>
      </c>
      <c r="B63" s="670">
        <f>Anx16AMN!C50+Anx16AMN!C84</f>
        <v>3009527.83</v>
      </c>
      <c r="C63" s="670">
        <f>Anx16AMN!D50+Anx16AMN!D84</f>
        <v>3736786.3107807199</v>
      </c>
      <c r="D63" s="670">
        <f>Anx16AMN!E50+Anx16AMN!E84</f>
        <v>3345688.0585431135</v>
      </c>
      <c r="E63" s="670">
        <f>Anx16AMN!F50+Anx16AMN!F84</f>
        <v>4503239.3899999997</v>
      </c>
      <c r="F63" s="670">
        <f>Anx16AMN!G50+Anx16AMN!G84</f>
        <v>3983613.35</v>
      </c>
      <c r="G63" s="670">
        <f>Anx16AMN!H50+Anx16AMN!H84</f>
        <v>4187939.88</v>
      </c>
      <c r="H63" s="670">
        <f>Anx16AMN!I50+Anx16AMN!I84</f>
        <v>10703341.380000001</v>
      </c>
      <c r="I63" s="670">
        <f>Anx16AMN!J50+Anx16AMN!J84</f>
        <v>10328606.779999999</v>
      </c>
      <c r="J63" s="664">
        <f>SUM(Anx16AMN!K50:M50)+SUM(Anx16AMN!K84:M84)</f>
        <v>28379955.960000001</v>
      </c>
      <c r="K63" s="71"/>
      <c r="L63" s="666">
        <f>SUM(B63:J63)</f>
        <v>72178698.939323843</v>
      </c>
      <c r="M63" s="665"/>
      <c r="N63" s="147"/>
      <c r="O63" s="24"/>
    </row>
    <row r="64" spans="1:15" ht="16.5">
      <c r="A64" s="663" t="s">
        <v>502</v>
      </c>
      <c r="B64" s="670">
        <f>Anx16AMN!C51+Anx16AMN!C85</f>
        <v>2544365.42</v>
      </c>
      <c r="C64" s="670">
        <f>Anx16AMN!D51+Anx16AMN!D85</f>
        <v>522166.62062857585</v>
      </c>
      <c r="D64" s="669">
        <f>Anx16AMN!E51+Anx16AMN!E85</f>
        <v>1615795.122491786</v>
      </c>
      <c r="E64" s="670">
        <f>Anx16AMN!F51+Anx16AMN!F85</f>
        <v>1554616.89</v>
      </c>
      <c r="F64" s="670">
        <f>Anx16AMN!G51+Anx16AMN!G85</f>
        <v>6109800.9800000004</v>
      </c>
      <c r="G64" s="670">
        <f>Anx16AMN!H51+Anx16AMN!H85</f>
        <v>1000000</v>
      </c>
      <c r="H64" s="670">
        <f>Anx16AMN!I51+Anx16AMN!I85</f>
        <v>1298418.18</v>
      </c>
      <c r="I64" s="670">
        <f>Anx16AMN!J51+Anx16AMN!J85</f>
        <v>9221591.6999999993</v>
      </c>
      <c r="J64" s="664">
        <f>SUM(Anx16AMN!K51:M51)+SUM(Anx16AMN!K85:M85)</f>
        <v>10157717.33</v>
      </c>
      <c r="K64" s="71"/>
      <c r="L64" s="666">
        <f>SUM(B64:J64)</f>
        <v>34024472.243120357</v>
      </c>
      <c r="M64" s="665"/>
      <c r="O64" s="24"/>
    </row>
    <row r="65" spans="1:15" ht="15">
      <c r="A65" s="655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5"/>
      <c r="M65" s="665"/>
      <c r="O65" s="24"/>
    </row>
    <row r="66" spans="1:15" ht="16.5">
      <c r="A66" s="168" t="s">
        <v>503</v>
      </c>
      <c r="B66" s="661"/>
      <c r="C66" s="661"/>
      <c r="D66" s="661"/>
      <c r="E66" s="661"/>
      <c r="F66" s="661"/>
      <c r="G66" s="661"/>
      <c r="H66" s="661"/>
      <c r="I66" s="661"/>
      <c r="J66" s="71"/>
      <c r="K66" s="666" t="s">
        <v>226</v>
      </c>
      <c r="L66" s="666" t="s">
        <v>225</v>
      </c>
      <c r="M66" s="666" t="s">
        <v>224</v>
      </c>
      <c r="O66" s="24"/>
    </row>
    <row r="67" spans="1:15" ht="16.5">
      <c r="A67" s="660" t="s">
        <v>42</v>
      </c>
      <c r="B67" s="669">
        <f>(B62)+(C62*$M$67)</f>
        <v>12508057.58789188</v>
      </c>
      <c r="C67" s="670">
        <f t="shared" ref="C67:J67" si="7">(C62*$L$67)+(D62*$M$67)</f>
        <v>6578132.2081479458</v>
      </c>
      <c r="D67" s="670">
        <f t="shared" si="7"/>
        <v>6699495.3752560643</v>
      </c>
      <c r="E67" s="670">
        <f t="shared" si="7"/>
        <v>6003258.7400000002</v>
      </c>
      <c r="F67" s="670">
        <f t="shared" si="7"/>
        <v>5203620.2650000006</v>
      </c>
      <c r="G67" s="670">
        <f t="shared" si="7"/>
        <v>7802818.0500000007</v>
      </c>
      <c r="H67" s="670">
        <f t="shared" si="7"/>
        <v>11693732.359999999</v>
      </c>
      <c r="I67" s="670">
        <f t="shared" si="7"/>
        <v>42344730.060000002</v>
      </c>
      <c r="J67" s="664">
        <f t="shared" si="7"/>
        <v>35968724.649999999</v>
      </c>
      <c r="K67" s="666">
        <f>SUM(B67:J67)</f>
        <v>134802569.29629588</v>
      </c>
      <c r="L67" s="667">
        <v>0.5</v>
      </c>
      <c r="M67" s="667">
        <f>100%-L67</f>
        <v>0.5</v>
      </c>
      <c r="O67" s="24"/>
    </row>
    <row r="68" spans="1:15" ht="16.5">
      <c r="A68" s="660" t="s">
        <v>43</v>
      </c>
      <c r="B68" s="670">
        <f>(B63)+(C63*$M$68)</f>
        <v>5625278.2475465033</v>
      </c>
      <c r="C68" s="670">
        <f t="shared" ref="C68:J68" si="8">(C63*$L$68)+(D63*$M$68)</f>
        <v>3463017.5342143951</v>
      </c>
      <c r="D68" s="670">
        <f t="shared" si="8"/>
        <v>4155973.9905629335</v>
      </c>
      <c r="E68" s="670">
        <f t="shared" si="8"/>
        <v>4139501.1619999995</v>
      </c>
      <c r="F68" s="670">
        <f t="shared" si="8"/>
        <v>4126641.9209999996</v>
      </c>
      <c r="G68" s="670">
        <f t="shared" si="8"/>
        <v>8748720.9299999997</v>
      </c>
      <c r="H68" s="670">
        <f t="shared" si="8"/>
        <v>10441027.16</v>
      </c>
      <c r="I68" s="670">
        <f t="shared" si="8"/>
        <v>22964551.205999997</v>
      </c>
      <c r="J68" s="664">
        <f t="shared" si="8"/>
        <v>8513986.7880000006</v>
      </c>
      <c r="K68" s="666">
        <f>SUM(B68:J68)</f>
        <v>72178698.939323828</v>
      </c>
      <c r="L68" s="667">
        <v>0.3</v>
      </c>
      <c r="M68" s="667">
        <f>100%-L68</f>
        <v>0.7</v>
      </c>
      <c r="O68" s="24"/>
    </row>
    <row r="69" spans="1:15" ht="16.5">
      <c r="A69" s="660" t="s">
        <v>68</v>
      </c>
      <c r="B69" s="670">
        <f>(B64)+(C64*$M$69)</f>
        <v>2909882.0544400029</v>
      </c>
      <c r="C69" s="670">
        <f t="shared" ref="C69:J69" si="9">(C64*$L$69)+(D64*$M$69)</f>
        <v>1287706.5719328229</v>
      </c>
      <c r="D69" s="669">
        <f t="shared" si="9"/>
        <v>1572970.3597475355</v>
      </c>
      <c r="E69" s="670">
        <f t="shared" si="9"/>
        <v>4743245.7529999996</v>
      </c>
      <c r="F69" s="670">
        <f t="shared" si="9"/>
        <v>2532940.2939999998</v>
      </c>
      <c r="G69" s="670">
        <f t="shared" si="9"/>
        <v>1208892.7259999998</v>
      </c>
      <c r="H69" s="670">
        <f t="shared" si="9"/>
        <v>6844639.6439999994</v>
      </c>
      <c r="I69" s="670">
        <f t="shared" si="9"/>
        <v>9876879.6409999989</v>
      </c>
      <c r="J69" s="664">
        <f t="shared" si="9"/>
        <v>3047315.199</v>
      </c>
      <c r="K69" s="666">
        <f>SUM(B69:J69)</f>
        <v>34024472.243120357</v>
      </c>
      <c r="L69" s="667">
        <v>0.3</v>
      </c>
      <c r="M69" s="667">
        <f>100%-L69</f>
        <v>0.7</v>
      </c>
      <c r="O69" s="24"/>
    </row>
    <row r="70" spans="1:15" ht="15">
      <c r="A70" s="655"/>
      <c r="B70" s="661"/>
      <c r="C70" s="661"/>
      <c r="D70" s="661"/>
      <c r="E70" s="661"/>
      <c r="F70" s="661"/>
      <c r="G70" s="661"/>
      <c r="H70" s="661"/>
      <c r="I70" s="661"/>
      <c r="J70" s="661"/>
      <c r="K70" s="661"/>
      <c r="L70" s="661"/>
      <c r="M70" s="661"/>
      <c r="O70" s="24"/>
    </row>
    <row r="71" spans="1:15" ht="16.5">
      <c r="A71" s="168" t="s">
        <v>504</v>
      </c>
      <c r="B71" s="661"/>
      <c r="C71" s="661"/>
      <c r="D71" s="661"/>
      <c r="E71" s="661"/>
      <c r="F71" s="661"/>
      <c r="G71" s="661"/>
      <c r="H71" s="661"/>
      <c r="I71" s="661"/>
      <c r="J71" s="71"/>
      <c r="K71" s="666" t="s">
        <v>226</v>
      </c>
      <c r="L71" s="666" t="s">
        <v>225</v>
      </c>
      <c r="M71" s="666" t="s">
        <v>224</v>
      </c>
      <c r="O71" s="24"/>
    </row>
    <row r="72" spans="1:15" ht="16.5">
      <c r="A72" s="663" t="s">
        <v>42</v>
      </c>
      <c r="B72" s="669">
        <f>(B62)+(C62*$M$72)</f>
        <v>11242711.024735129</v>
      </c>
      <c r="C72" s="670">
        <f t="shared" ref="C72:J72" si="10">(C62*$L$72)+(D62*$M$72)</f>
        <v>6477572.4512022724</v>
      </c>
      <c r="D72" s="670">
        <f t="shared" si="10"/>
        <v>6751509.8653584896</v>
      </c>
      <c r="E72" s="670">
        <f t="shared" si="10"/>
        <v>6229738.904000001</v>
      </c>
      <c r="F72" s="670">
        <f t="shared" si="10"/>
        <v>5296995.4910000004</v>
      </c>
      <c r="G72" s="670">
        <f t="shared" si="10"/>
        <v>6669763.7100000009</v>
      </c>
      <c r="H72" s="670">
        <f t="shared" si="10"/>
        <v>11270420.976</v>
      </c>
      <c r="I72" s="670">
        <f t="shared" si="10"/>
        <v>30507642.364</v>
      </c>
      <c r="J72" s="664">
        <f t="shared" si="10"/>
        <v>50356214.509999998</v>
      </c>
      <c r="K72" s="666">
        <f>SUM(B72:J72)</f>
        <v>134802569.29629588</v>
      </c>
      <c r="L72" s="667">
        <v>0.7</v>
      </c>
      <c r="M72" s="667">
        <f>100%-L72</f>
        <v>0.30000000000000004</v>
      </c>
      <c r="O72" s="24"/>
    </row>
    <row r="73" spans="1:15" ht="16.5">
      <c r="A73" s="663" t="s">
        <v>43</v>
      </c>
      <c r="B73" s="670">
        <f>(B63)+(C63*$M$73)</f>
        <v>4877920.9853903595</v>
      </c>
      <c r="C73" s="670">
        <f t="shared" ref="C73:J73" si="11">(C63*$L$73)+(D63*$M$73)</f>
        <v>3541237.1846619165</v>
      </c>
      <c r="D73" s="670">
        <f t="shared" si="11"/>
        <v>3924463.7242715564</v>
      </c>
      <c r="E73" s="670">
        <f t="shared" si="11"/>
        <v>4243426.37</v>
      </c>
      <c r="F73" s="670">
        <f t="shared" si="11"/>
        <v>4085776.6150000002</v>
      </c>
      <c r="G73" s="670">
        <f t="shared" si="11"/>
        <v>7445640.6300000008</v>
      </c>
      <c r="H73" s="670">
        <f t="shared" si="11"/>
        <v>10515974.08</v>
      </c>
      <c r="I73" s="670">
        <f t="shared" si="11"/>
        <v>19354281.370000001</v>
      </c>
      <c r="J73" s="664">
        <f t="shared" si="11"/>
        <v>14189977.98</v>
      </c>
      <c r="K73" s="666">
        <f>SUM(B73:J73)</f>
        <v>72178698.939323843</v>
      </c>
      <c r="L73" s="667">
        <v>0.5</v>
      </c>
      <c r="M73" s="667">
        <f>100%-L73</f>
        <v>0.5</v>
      </c>
      <c r="O73" s="24"/>
    </row>
    <row r="74" spans="1:15" ht="16.5">
      <c r="A74" s="663" t="s">
        <v>68</v>
      </c>
      <c r="B74" s="670">
        <f>(B64)+(C64*$M$74)</f>
        <v>2805448.7303142878</v>
      </c>
      <c r="C74" s="670">
        <f t="shared" ref="C74:J74" si="12">(C64*$L$74)+(D64*$M$74)</f>
        <v>1068980.871560181</v>
      </c>
      <c r="D74" s="669">
        <f t="shared" si="12"/>
        <v>1585206.006245893</v>
      </c>
      <c r="E74" s="670">
        <f t="shared" si="12"/>
        <v>3832208.9350000001</v>
      </c>
      <c r="F74" s="670">
        <f t="shared" si="12"/>
        <v>3554900.49</v>
      </c>
      <c r="G74" s="670">
        <f t="shared" si="12"/>
        <v>1149209.0899999999</v>
      </c>
      <c r="H74" s="670">
        <f t="shared" si="12"/>
        <v>5260004.9399999995</v>
      </c>
      <c r="I74" s="670">
        <f t="shared" si="12"/>
        <v>9689654.5150000006</v>
      </c>
      <c r="J74" s="664">
        <f t="shared" si="12"/>
        <v>5078858.665</v>
      </c>
      <c r="K74" s="666">
        <f>SUM(B74:J74)</f>
        <v>34024472.243120365</v>
      </c>
      <c r="L74" s="667">
        <v>0.5</v>
      </c>
      <c r="M74" s="667">
        <f>100%-L74</f>
        <v>0.5</v>
      </c>
      <c r="O74" s="24"/>
    </row>
    <row r="75" spans="1:15" ht="15">
      <c r="A75" s="655"/>
      <c r="B75" s="661"/>
      <c r="C75" s="661"/>
      <c r="D75" s="661"/>
      <c r="E75" s="661"/>
      <c r="F75" s="661"/>
      <c r="G75" s="661"/>
      <c r="H75" s="661"/>
      <c r="I75" s="661"/>
      <c r="J75" s="661"/>
      <c r="K75" s="661"/>
      <c r="L75" s="661"/>
      <c r="M75" s="661"/>
      <c r="O75" s="24"/>
    </row>
    <row r="76" spans="1:15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>
      <c r="A77" s="659" t="s">
        <v>499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68" t="s">
        <v>227</v>
      </c>
      <c r="K77" s="71"/>
      <c r="L77" s="666" t="s">
        <v>226</v>
      </c>
      <c r="M77" s="661"/>
    </row>
    <row r="78" spans="1:15" ht="16.5">
      <c r="A78" s="660" t="s">
        <v>505</v>
      </c>
      <c r="B78" s="670">
        <f>Anx16AMN!C80</f>
        <v>4842275.97</v>
      </c>
      <c r="C78" s="670">
        <f>Anx16AMN!D80</f>
        <v>2005736.3778733234</v>
      </c>
      <c r="D78" s="670">
        <f>Anx16AMN!E80</f>
        <v>1539055.6535133661</v>
      </c>
      <c r="E78" s="670">
        <f>Anx16AMN!F80</f>
        <v>0</v>
      </c>
      <c r="F78" s="670">
        <f>Anx16AMN!G80</f>
        <v>0</v>
      </c>
      <c r="G78" s="670">
        <f>Anx16AMN!H80</f>
        <v>0</v>
      </c>
      <c r="H78" s="670">
        <f>Anx16AMN!I80</f>
        <v>0</v>
      </c>
      <c r="I78" s="670">
        <f>Anx16AMN!J80</f>
        <v>0</v>
      </c>
      <c r="J78" s="670">
        <f>SUM(Anx16AMN!K80:M80)</f>
        <v>34843842.359999999</v>
      </c>
      <c r="K78" s="71"/>
      <c r="L78" s="666">
        <f>SUM(B78:J78)</f>
        <v>43230910.361386687</v>
      </c>
      <c r="M78" s="665"/>
      <c r="N78" s="142"/>
    </row>
    <row r="79" spans="1:15" ht="16.5">
      <c r="A79" s="660" t="s">
        <v>506</v>
      </c>
      <c r="B79" s="670">
        <f>Anx16AMN!C81</f>
        <v>1936977.14</v>
      </c>
      <c r="C79" s="670">
        <f>Anx16AMN!D81</f>
        <v>802322.20244769321</v>
      </c>
      <c r="D79" s="670">
        <f>Anx16AMN!E81</f>
        <v>615643.47899283364</v>
      </c>
      <c r="E79" s="670">
        <f>Anx16AMN!F81</f>
        <v>0</v>
      </c>
      <c r="F79" s="670">
        <f>Anx16AMN!G81</f>
        <v>0</v>
      </c>
      <c r="G79" s="670">
        <f>Anx16AMN!H81</f>
        <v>0</v>
      </c>
      <c r="H79" s="670">
        <f>Anx16AMN!I81</f>
        <v>0</v>
      </c>
      <c r="I79" s="670">
        <f>Anx16AMN!J81</f>
        <v>0</v>
      </c>
      <c r="J79" s="670">
        <f>SUM(Anx16AMN!K81:M81)</f>
        <v>13938017.310000001</v>
      </c>
      <c r="K79" s="71"/>
      <c r="L79" s="666">
        <f>SUM(B79:J79)</f>
        <v>17292960.131440528</v>
      </c>
      <c r="M79" s="665"/>
      <c r="N79" s="142"/>
    </row>
    <row r="80" spans="1:15" ht="16.5">
      <c r="A80" s="660" t="s">
        <v>507</v>
      </c>
      <c r="B80" s="670">
        <f>Anx16AMN!C82</f>
        <v>448534.35</v>
      </c>
      <c r="C80" s="670">
        <f>Anx16AMN!D82</f>
        <v>185789.01135032633</v>
      </c>
      <c r="D80" s="670">
        <f>Anx16AMN!E82</f>
        <v>142560.92247903469</v>
      </c>
      <c r="E80" s="670">
        <f>Anx16AMN!F82</f>
        <v>0</v>
      </c>
      <c r="F80" s="670">
        <f>Anx16AMN!G82</f>
        <v>0</v>
      </c>
      <c r="G80" s="670">
        <f>Anx16AMN!H82</f>
        <v>0</v>
      </c>
      <c r="H80" s="670">
        <f>Anx16AMN!I82</f>
        <v>0</v>
      </c>
      <c r="I80" s="670">
        <f>Anx16AMN!J82</f>
        <v>0</v>
      </c>
      <c r="J80" s="670">
        <f>SUM(Anx16AMN!K82:M82)</f>
        <v>3227544.31</v>
      </c>
      <c r="K80" s="71"/>
      <c r="L80" s="666">
        <f>SUM(B80:J80)</f>
        <v>4004428.5938293608</v>
      </c>
      <c r="M80" s="665"/>
      <c r="N80" s="142"/>
    </row>
    <row r="81" spans="1:14" ht="15">
      <c r="A81" s="655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5"/>
      <c r="M81" s="665"/>
    </row>
    <row r="82" spans="1:14" ht="16.5">
      <c r="A82" s="58" t="s">
        <v>503</v>
      </c>
      <c r="B82" s="661"/>
      <c r="C82" s="661"/>
      <c r="D82" s="661"/>
      <c r="E82" s="661"/>
      <c r="F82" s="661"/>
      <c r="G82" s="661"/>
      <c r="H82" s="661"/>
      <c r="I82" s="661"/>
      <c r="J82" s="71"/>
      <c r="K82" s="666" t="s">
        <v>226</v>
      </c>
      <c r="L82" s="666" t="s">
        <v>225</v>
      </c>
      <c r="M82" s="666" t="s">
        <v>224</v>
      </c>
      <c r="N82" s="666"/>
    </row>
    <row r="83" spans="1:14" ht="16.5">
      <c r="A83" s="663" t="s">
        <v>220</v>
      </c>
      <c r="B83" s="670">
        <f>(B78)+(C78*$M$67)</f>
        <v>5845144.1589366617</v>
      </c>
      <c r="C83" s="670">
        <f t="shared" ref="C83:J83" si="13">(C78*$L$67)+(D78*$M$67)</f>
        <v>1772396.0156933446</v>
      </c>
      <c r="D83" s="670">
        <f t="shared" si="13"/>
        <v>769527.82675668306</v>
      </c>
      <c r="E83" s="670">
        <f t="shared" si="13"/>
        <v>0</v>
      </c>
      <c r="F83" s="670">
        <f t="shared" si="13"/>
        <v>0</v>
      </c>
      <c r="G83" s="670">
        <f t="shared" si="13"/>
        <v>0</v>
      </c>
      <c r="H83" s="670">
        <f t="shared" si="13"/>
        <v>0</v>
      </c>
      <c r="I83" s="670">
        <f t="shared" si="13"/>
        <v>17421921.18</v>
      </c>
      <c r="J83" s="670">
        <f t="shared" si="13"/>
        <v>17421921.18</v>
      </c>
      <c r="K83" s="666">
        <f>SUM(B83:J83)</f>
        <v>43230910.361386687</v>
      </c>
      <c r="L83" s="667">
        <v>0.5</v>
      </c>
      <c r="M83" s="667">
        <f>100%-L83</f>
        <v>0.5</v>
      </c>
    </row>
    <row r="84" spans="1:14" ht="16.5">
      <c r="A84" s="663" t="s">
        <v>219</v>
      </c>
      <c r="B84" s="670">
        <f>(B79)+(C79*$M$68)</f>
        <v>2498602.681713385</v>
      </c>
      <c r="C84" s="670">
        <f t="shared" ref="C84:J84" si="14">(C79*$L$68)+(D79*$M$68)</f>
        <v>671647.0960292914</v>
      </c>
      <c r="D84" s="670">
        <f t="shared" si="14"/>
        <v>184693.04369785008</v>
      </c>
      <c r="E84" s="670">
        <f t="shared" si="14"/>
        <v>0</v>
      </c>
      <c r="F84" s="670">
        <f t="shared" si="14"/>
        <v>0</v>
      </c>
      <c r="G84" s="670">
        <f t="shared" si="14"/>
        <v>0</v>
      </c>
      <c r="H84" s="670">
        <f t="shared" si="14"/>
        <v>0</v>
      </c>
      <c r="I84" s="670">
        <f t="shared" si="14"/>
        <v>9756612.1170000006</v>
      </c>
      <c r="J84" s="670">
        <f t="shared" si="14"/>
        <v>4181405.193</v>
      </c>
      <c r="K84" s="666">
        <f>SUM(B84:J84)</f>
        <v>17292960.131440528</v>
      </c>
      <c r="L84" s="667">
        <v>0.3</v>
      </c>
      <c r="M84" s="667">
        <f>100%-L84</f>
        <v>0.7</v>
      </c>
    </row>
    <row r="85" spans="1:14" ht="16.5">
      <c r="A85" s="663" t="s">
        <v>218</v>
      </c>
      <c r="B85" s="670">
        <f>(B80)+(C80*$M$69)</f>
        <v>578586.65794522839</v>
      </c>
      <c r="C85" s="670">
        <f t="shared" ref="C85:J85" si="15">(C80*$L$69)+(D80*$M$69)</f>
        <v>155529.34914042219</v>
      </c>
      <c r="D85" s="670">
        <f t="shared" si="15"/>
        <v>42768.276743710405</v>
      </c>
      <c r="E85" s="670">
        <f t="shared" si="15"/>
        <v>0</v>
      </c>
      <c r="F85" s="670">
        <f t="shared" si="15"/>
        <v>0</v>
      </c>
      <c r="G85" s="670">
        <f t="shared" si="15"/>
        <v>0</v>
      </c>
      <c r="H85" s="670">
        <f t="shared" si="15"/>
        <v>0</v>
      </c>
      <c r="I85" s="670">
        <f t="shared" si="15"/>
        <v>2259281.017</v>
      </c>
      <c r="J85" s="670">
        <f t="shared" si="15"/>
        <v>968263.29299999995</v>
      </c>
      <c r="K85" s="666">
        <f>SUM(B85:J85)</f>
        <v>4004428.5938293613</v>
      </c>
      <c r="L85" s="667">
        <v>0.3</v>
      </c>
      <c r="M85" s="667">
        <f>100%-L85</f>
        <v>0.7</v>
      </c>
    </row>
    <row r="86" spans="1:14" ht="15">
      <c r="A86" s="655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</row>
    <row r="87" spans="1:14" ht="16.5">
      <c r="A87" s="168" t="s">
        <v>504</v>
      </c>
      <c r="B87" s="661"/>
      <c r="C87" s="661"/>
      <c r="D87" s="661"/>
      <c r="E87" s="661"/>
      <c r="F87" s="661"/>
      <c r="G87" s="661"/>
      <c r="H87" s="661"/>
      <c r="I87" s="661"/>
      <c r="J87" s="71"/>
      <c r="K87" s="666" t="s">
        <v>226</v>
      </c>
      <c r="L87" s="666" t="s">
        <v>225</v>
      </c>
      <c r="M87" s="666" t="s">
        <v>224</v>
      </c>
      <c r="N87" s="666"/>
    </row>
    <row r="88" spans="1:14" ht="16.5">
      <c r="A88" s="663" t="s">
        <v>220</v>
      </c>
      <c r="B88" s="670">
        <f>(B78)+(C78*$M$72)</f>
        <v>5443996.8833619971</v>
      </c>
      <c r="C88" s="670">
        <f t="shared" ref="C88:J88" si="16">(C78*$L$72)+(D78*$M$72)</f>
        <v>1865732.1605653362</v>
      </c>
      <c r="D88" s="670">
        <f t="shared" si="16"/>
        <v>1077338.9574593562</v>
      </c>
      <c r="E88" s="670">
        <f t="shared" si="16"/>
        <v>0</v>
      </c>
      <c r="F88" s="670">
        <f t="shared" si="16"/>
        <v>0</v>
      </c>
      <c r="G88" s="670">
        <f t="shared" si="16"/>
        <v>0</v>
      </c>
      <c r="H88" s="670">
        <f t="shared" si="16"/>
        <v>0</v>
      </c>
      <c r="I88" s="670">
        <f t="shared" si="16"/>
        <v>10453152.708000001</v>
      </c>
      <c r="J88" s="670">
        <f t="shared" si="16"/>
        <v>24390689.651999999</v>
      </c>
      <c r="K88" s="666">
        <f>SUM(B88:J88)</f>
        <v>43230910.361386687</v>
      </c>
      <c r="L88" s="667">
        <v>0.7</v>
      </c>
      <c r="M88" s="667">
        <f>100%-L88</f>
        <v>0.30000000000000004</v>
      </c>
    </row>
    <row r="89" spans="1:14" ht="16.5">
      <c r="A89" s="663" t="s">
        <v>219</v>
      </c>
      <c r="B89" s="670">
        <f>(B79)+(C79*$M$73)</f>
        <v>2338138.2412238466</v>
      </c>
      <c r="C89" s="670">
        <f t="shared" ref="C89:J89" si="17">(C79*$L$73)+(D79*$M$73)</f>
        <v>708982.84072026343</v>
      </c>
      <c r="D89" s="670">
        <f t="shared" si="17"/>
        <v>307821.73949641682</v>
      </c>
      <c r="E89" s="670">
        <f t="shared" si="17"/>
        <v>0</v>
      </c>
      <c r="F89" s="670">
        <f t="shared" si="17"/>
        <v>0</v>
      </c>
      <c r="G89" s="670">
        <f t="shared" si="17"/>
        <v>0</v>
      </c>
      <c r="H89" s="670">
        <f t="shared" si="17"/>
        <v>0</v>
      </c>
      <c r="I89" s="670">
        <f t="shared" si="17"/>
        <v>6969008.6550000003</v>
      </c>
      <c r="J89" s="670">
        <f t="shared" si="17"/>
        <v>6969008.6550000003</v>
      </c>
      <c r="K89" s="666">
        <f>SUM(B89:J89)</f>
        <v>17292960.131440528</v>
      </c>
      <c r="L89" s="667">
        <v>0.5</v>
      </c>
      <c r="M89" s="667">
        <f>100%-L89</f>
        <v>0.5</v>
      </c>
    </row>
    <row r="90" spans="1:14" ht="16.5">
      <c r="A90" s="663" t="s">
        <v>218</v>
      </c>
      <c r="B90" s="670">
        <f>(B80)+(C80*$M$74)</f>
        <v>541428.8556751631</v>
      </c>
      <c r="C90" s="670">
        <f t="shared" ref="C90:J90" si="18">(C80*$L$74)+(D80*$M$74)</f>
        <v>164174.9669146805</v>
      </c>
      <c r="D90" s="670">
        <f t="shared" si="18"/>
        <v>71280.461239517346</v>
      </c>
      <c r="E90" s="670">
        <f t="shared" si="18"/>
        <v>0</v>
      </c>
      <c r="F90" s="670">
        <f t="shared" si="18"/>
        <v>0</v>
      </c>
      <c r="G90" s="670">
        <f t="shared" si="18"/>
        <v>0</v>
      </c>
      <c r="H90" s="670">
        <f t="shared" si="18"/>
        <v>0</v>
      </c>
      <c r="I90" s="670">
        <f t="shared" si="18"/>
        <v>1613772.155</v>
      </c>
      <c r="J90" s="670">
        <f t="shared" si="18"/>
        <v>1613772.155</v>
      </c>
      <c r="K90" s="666">
        <f>SUM(B90:J90)</f>
        <v>4004428.5938293608</v>
      </c>
      <c r="L90" s="667">
        <v>0.5</v>
      </c>
      <c r="M90" s="667">
        <f>100%-L90</f>
        <v>0.5</v>
      </c>
    </row>
    <row r="91" spans="1:14" ht="15">
      <c r="A91" s="655"/>
      <c r="B91" s="661"/>
      <c r="C91" s="661"/>
      <c r="D91" s="661"/>
      <c r="E91" s="661"/>
      <c r="F91" s="661"/>
      <c r="G91" s="661"/>
      <c r="H91" s="661"/>
      <c r="I91" s="661"/>
      <c r="J91" s="661"/>
      <c r="K91" s="661"/>
      <c r="L91" s="661"/>
      <c r="M91" s="661"/>
    </row>
    <row r="92" spans="1:14" ht="15">
      <c r="A92" s="655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</row>
    <row r="93" spans="1:14" ht="16.5">
      <c r="A93" s="659" t="s">
        <v>499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68" t="s">
        <v>227</v>
      </c>
      <c r="K93" s="71"/>
      <c r="L93" s="666" t="s">
        <v>226</v>
      </c>
      <c r="M93" s="71"/>
    </row>
    <row r="94" spans="1:14" ht="16.5">
      <c r="A94" s="663" t="s">
        <v>508</v>
      </c>
      <c r="B94" s="670">
        <f>Anx16AMN!C77</f>
        <v>137544.45000000001</v>
      </c>
      <c r="C94" s="670">
        <f>Anx16AMN!D77</f>
        <v>0</v>
      </c>
      <c r="D94" s="670">
        <f>Anx16AMN!E77</f>
        <v>0</v>
      </c>
      <c r="E94" s="670">
        <f>Anx16AMN!F77</f>
        <v>0</v>
      </c>
      <c r="F94" s="670">
        <f>Anx16AMN!G77</f>
        <v>0</v>
      </c>
      <c r="G94" s="670">
        <f>Anx16AMN!H77</f>
        <v>0</v>
      </c>
      <c r="H94" s="670">
        <f>Anx16AMN!I77</f>
        <v>0</v>
      </c>
      <c r="I94" s="670">
        <f>Anx16AMN!J77</f>
        <v>0</v>
      </c>
      <c r="J94" s="670">
        <f>SUM(Anx16AMN!K77:M77)</f>
        <v>0</v>
      </c>
      <c r="K94" s="71"/>
      <c r="L94" s="666">
        <f>SUM(B94:J94)</f>
        <v>137544.45000000001</v>
      </c>
      <c r="M94" s="665"/>
    </row>
    <row r="95" spans="1:14" ht="16.5">
      <c r="A95" s="663" t="s">
        <v>509</v>
      </c>
      <c r="B95" s="670">
        <f>Anx16AMN!C78</f>
        <v>0</v>
      </c>
      <c r="C95" s="670">
        <f>Anx16AMN!D78</f>
        <v>0</v>
      </c>
      <c r="D95" s="670">
        <f>Anx16AMN!E78</f>
        <v>0</v>
      </c>
      <c r="E95" s="670">
        <f>Anx16AMN!F78</f>
        <v>0</v>
      </c>
      <c r="F95" s="670">
        <f>Anx16AMN!G78</f>
        <v>0</v>
      </c>
      <c r="G95" s="670">
        <f>Anx16AMN!H78</f>
        <v>0</v>
      </c>
      <c r="H95" s="670">
        <f>Anx16AMN!I78</f>
        <v>0</v>
      </c>
      <c r="I95" s="670">
        <f>Anx16AMN!J78</f>
        <v>0</v>
      </c>
      <c r="J95" s="670">
        <f>SUM(Anx16AMN!K78:M78)</f>
        <v>0</v>
      </c>
      <c r="K95" s="71"/>
      <c r="L95" s="666">
        <f>SUM(B95:J95)</f>
        <v>0</v>
      </c>
      <c r="M95" s="665"/>
    </row>
    <row r="96" spans="1:14" ht="16.5">
      <c r="A96" s="663" t="s">
        <v>510</v>
      </c>
      <c r="B96" s="670">
        <f>Anx16AMN!C79</f>
        <v>0</v>
      </c>
      <c r="C96" s="670">
        <f>Anx16AMN!D79</f>
        <v>0</v>
      </c>
      <c r="D96" s="670">
        <f>Anx16AMN!E79</f>
        <v>0</v>
      </c>
      <c r="E96" s="670">
        <f>Anx16AMN!F79</f>
        <v>0</v>
      </c>
      <c r="F96" s="670">
        <f>Anx16AMN!G79</f>
        <v>0</v>
      </c>
      <c r="G96" s="670">
        <f>Anx16AMN!H79</f>
        <v>0</v>
      </c>
      <c r="H96" s="670">
        <f>Anx16AMN!I79</f>
        <v>0</v>
      </c>
      <c r="I96" s="670">
        <f>Anx16AMN!J79</f>
        <v>0</v>
      </c>
      <c r="J96" s="670">
        <f>SUM(Anx16AMN!K79:M79)</f>
        <v>0</v>
      </c>
      <c r="K96" s="71"/>
      <c r="L96" s="666">
        <f>SUM(B96:J96)</f>
        <v>0</v>
      </c>
      <c r="M96" s="665"/>
    </row>
    <row r="97" spans="1:16" s="71" customFormat="1" ht="15">
      <c r="A97" s="655"/>
      <c r="B97" s="661"/>
      <c r="C97" s="661"/>
      <c r="D97" s="661"/>
      <c r="E97" s="661"/>
      <c r="F97" s="661"/>
      <c r="G97" s="661"/>
      <c r="H97" s="661"/>
      <c r="I97" s="661"/>
      <c r="J97" s="661"/>
      <c r="K97" s="661"/>
      <c r="L97" s="665"/>
      <c r="M97" s="665"/>
    </row>
    <row r="98" spans="1:16" s="71" customFormat="1" ht="16.5">
      <c r="A98" s="58" t="s">
        <v>503</v>
      </c>
      <c r="B98" s="661"/>
      <c r="C98" s="661"/>
      <c r="D98" s="661"/>
      <c r="E98" s="661"/>
      <c r="F98" s="661"/>
      <c r="G98" s="661"/>
      <c r="H98" s="661"/>
      <c r="I98" s="661"/>
      <c r="K98" s="666" t="s">
        <v>226</v>
      </c>
      <c r="L98" s="666" t="s">
        <v>225</v>
      </c>
      <c r="M98" s="666" t="s">
        <v>224</v>
      </c>
    </row>
    <row r="99" spans="1:16" s="71" customFormat="1" ht="16.5">
      <c r="A99" s="663" t="s">
        <v>217</v>
      </c>
      <c r="B99" s="670">
        <f>(B94)+(C94*$M$67)</f>
        <v>137544.45000000001</v>
      </c>
      <c r="C99" s="670">
        <f t="shared" ref="C99:J99" si="19">(C94*$L$67)+(D94*$M$67)</f>
        <v>0</v>
      </c>
      <c r="D99" s="670">
        <f t="shared" si="19"/>
        <v>0</v>
      </c>
      <c r="E99" s="670">
        <f t="shared" si="19"/>
        <v>0</v>
      </c>
      <c r="F99" s="670">
        <f t="shared" si="19"/>
        <v>0</v>
      </c>
      <c r="G99" s="670">
        <f t="shared" si="19"/>
        <v>0</v>
      </c>
      <c r="H99" s="670">
        <f t="shared" si="19"/>
        <v>0</v>
      </c>
      <c r="I99" s="670">
        <f t="shared" si="19"/>
        <v>0</v>
      </c>
      <c r="J99" s="670">
        <f t="shared" si="19"/>
        <v>0</v>
      </c>
      <c r="K99" s="666">
        <f>SUM(B99:J99)</f>
        <v>137544.45000000001</v>
      </c>
      <c r="L99" s="667">
        <v>0.5</v>
      </c>
      <c r="M99" s="667">
        <f>100%-L99</f>
        <v>0.5</v>
      </c>
    </row>
    <row r="100" spans="1:16" s="71" customFormat="1" ht="16.5">
      <c r="A100" s="663" t="s">
        <v>216</v>
      </c>
      <c r="B100" s="670">
        <f>(B95)+(C95*$M$68)</f>
        <v>0</v>
      </c>
      <c r="C100" s="670">
        <f t="shared" ref="C100:J100" si="20">(C95*$L$68)+(D95*$M$68)</f>
        <v>0</v>
      </c>
      <c r="D100" s="670">
        <f t="shared" si="20"/>
        <v>0</v>
      </c>
      <c r="E100" s="670">
        <f t="shared" si="20"/>
        <v>0</v>
      </c>
      <c r="F100" s="670">
        <f t="shared" si="20"/>
        <v>0</v>
      </c>
      <c r="G100" s="670">
        <f t="shared" si="20"/>
        <v>0</v>
      </c>
      <c r="H100" s="670">
        <f t="shared" si="20"/>
        <v>0</v>
      </c>
      <c r="I100" s="670">
        <f t="shared" si="20"/>
        <v>0</v>
      </c>
      <c r="J100" s="670">
        <f t="shared" si="20"/>
        <v>0</v>
      </c>
      <c r="K100" s="666">
        <f>SUM(B100:J100)</f>
        <v>0</v>
      </c>
      <c r="L100" s="667">
        <v>0.3</v>
      </c>
      <c r="M100" s="667">
        <f>100%-L100</f>
        <v>0.7</v>
      </c>
    </row>
    <row r="101" spans="1:16" s="71" customFormat="1" ht="16.5">
      <c r="A101" s="663" t="s">
        <v>215</v>
      </c>
      <c r="B101" s="670">
        <f>(B96)+(C96*$M$69)</f>
        <v>0</v>
      </c>
      <c r="C101" s="670">
        <f t="shared" ref="C101:J101" si="21">(C96*$L$69)+(D96*$M$69)</f>
        <v>0</v>
      </c>
      <c r="D101" s="670">
        <f t="shared" si="21"/>
        <v>0</v>
      </c>
      <c r="E101" s="670">
        <f t="shared" si="21"/>
        <v>0</v>
      </c>
      <c r="F101" s="670">
        <f t="shared" si="21"/>
        <v>0</v>
      </c>
      <c r="G101" s="670">
        <f t="shared" si="21"/>
        <v>0</v>
      </c>
      <c r="H101" s="670">
        <f t="shared" si="21"/>
        <v>0</v>
      </c>
      <c r="I101" s="670">
        <f t="shared" si="21"/>
        <v>0</v>
      </c>
      <c r="J101" s="670">
        <f t="shared" si="21"/>
        <v>0</v>
      </c>
      <c r="K101" s="666">
        <f>SUM(B101:J101)</f>
        <v>0</v>
      </c>
      <c r="L101" s="667">
        <v>0.3</v>
      </c>
      <c r="M101" s="667">
        <f>100%-L101</f>
        <v>0.7</v>
      </c>
    </row>
    <row r="102" spans="1:16" s="71" customFormat="1" ht="15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</row>
    <row r="103" spans="1:16" s="71" customFormat="1" ht="16.5">
      <c r="A103" s="168" t="s">
        <v>504</v>
      </c>
      <c r="B103" s="661"/>
      <c r="C103" s="661"/>
      <c r="D103" s="661"/>
      <c r="E103" s="661"/>
      <c r="F103" s="661"/>
      <c r="G103" s="661"/>
      <c r="H103" s="661"/>
      <c r="I103" s="661"/>
      <c r="K103" s="666" t="s">
        <v>226</v>
      </c>
      <c r="L103" s="666" t="s">
        <v>225</v>
      </c>
      <c r="M103" s="666" t="s">
        <v>224</v>
      </c>
    </row>
    <row r="104" spans="1:16" s="71" customFormat="1" ht="16.5">
      <c r="A104" s="663" t="s">
        <v>217</v>
      </c>
      <c r="B104" s="670">
        <f>(B94)+(C94*$M$72)</f>
        <v>137544.45000000001</v>
      </c>
      <c r="C104" s="670">
        <f t="shared" ref="C104:J104" si="22">(C94*$L$72)+(D94*$M$72)</f>
        <v>0</v>
      </c>
      <c r="D104" s="670">
        <f t="shared" si="22"/>
        <v>0</v>
      </c>
      <c r="E104" s="670">
        <f t="shared" si="22"/>
        <v>0</v>
      </c>
      <c r="F104" s="670">
        <f t="shared" si="22"/>
        <v>0</v>
      </c>
      <c r="G104" s="670">
        <f t="shared" si="22"/>
        <v>0</v>
      </c>
      <c r="H104" s="670">
        <f t="shared" si="22"/>
        <v>0</v>
      </c>
      <c r="I104" s="670">
        <f t="shared" si="22"/>
        <v>0</v>
      </c>
      <c r="J104" s="670">
        <f t="shared" si="22"/>
        <v>0</v>
      </c>
      <c r="K104" s="666">
        <f>SUM(B104:J104)</f>
        <v>137544.45000000001</v>
      </c>
      <c r="L104" s="667">
        <v>0.7</v>
      </c>
      <c r="M104" s="667">
        <f>100%-L104</f>
        <v>0.30000000000000004</v>
      </c>
    </row>
    <row r="105" spans="1:16" s="71" customFormat="1" ht="16.5" customHeight="1">
      <c r="A105" s="663" t="s">
        <v>216</v>
      </c>
      <c r="B105" s="670">
        <f>(B95)+(C95*$M$73)</f>
        <v>0</v>
      </c>
      <c r="C105" s="670">
        <f t="shared" ref="C105:J105" si="23">(C95*$L$73)+(D95*$M$73)</f>
        <v>0</v>
      </c>
      <c r="D105" s="670">
        <f t="shared" si="23"/>
        <v>0</v>
      </c>
      <c r="E105" s="670">
        <f t="shared" si="23"/>
        <v>0</v>
      </c>
      <c r="F105" s="670">
        <f t="shared" si="23"/>
        <v>0</v>
      </c>
      <c r="G105" s="670">
        <f t="shared" si="23"/>
        <v>0</v>
      </c>
      <c r="H105" s="670">
        <f t="shared" si="23"/>
        <v>0</v>
      </c>
      <c r="I105" s="670">
        <f t="shared" si="23"/>
        <v>0</v>
      </c>
      <c r="J105" s="670">
        <f t="shared" si="23"/>
        <v>0</v>
      </c>
      <c r="K105" s="666">
        <f>SUM(B105:J105)</f>
        <v>0</v>
      </c>
      <c r="L105" s="667">
        <v>0.5</v>
      </c>
      <c r="M105" s="667">
        <f>100%-L105</f>
        <v>0.5</v>
      </c>
    </row>
    <row r="106" spans="1:16" s="71" customFormat="1" ht="16.5">
      <c r="A106" s="663" t="s">
        <v>215</v>
      </c>
      <c r="B106" s="670">
        <f>(B96)+(C96*$M$74)</f>
        <v>0</v>
      </c>
      <c r="C106" s="670">
        <f t="shared" ref="C106:J106" si="24">(C96*$L$74)+(D96*$M$74)</f>
        <v>0</v>
      </c>
      <c r="D106" s="670">
        <f t="shared" si="24"/>
        <v>0</v>
      </c>
      <c r="E106" s="670">
        <f t="shared" si="24"/>
        <v>0</v>
      </c>
      <c r="F106" s="670">
        <f t="shared" si="24"/>
        <v>0</v>
      </c>
      <c r="G106" s="670">
        <f t="shared" si="24"/>
        <v>0</v>
      </c>
      <c r="H106" s="670">
        <f t="shared" si="24"/>
        <v>0</v>
      </c>
      <c r="I106" s="670">
        <f t="shared" si="24"/>
        <v>0</v>
      </c>
      <c r="J106" s="670">
        <f t="shared" si="24"/>
        <v>0</v>
      </c>
      <c r="K106" s="666">
        <f>SUM(B106:J106)</f>
        <v>0</v>
      </c>
      <c r="L106" s="667">
        <v>0.5</v>
      </c>
      <c r="M106" s="667">
        <f>100%-L106</f>
        <v>0.5</v>
      </c>
    </row>
    <row r="107" spans="1:16" s="71" customFormat="1" ht="16.5" customHeight="1">
      <c r="A107" s="475"/>
      <c r="B107" s="654"/>
      <c r="C107" s="483"/>
      <c r="D107" s="483"/>
      <c r="E107" s="483"/>
      <c r="F107" s="483"/>
      <c r="G107" s="483"/>
      <c r="H107" s="483"/>
      <c r="I107" s="483"/>
      <c r="J107" s="483"/>
      <c r="K107" s="483"/>
      <c r="L107" s="483"/>
      <c r="M107" s="483"/>
    </row>
    <row r="108" spans="1:16" s="483" customFormat="1" ht="16.5" customHeight="1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</row>
    <row r="109" spans="1:16" ht="16.5">
      <c r="A109" s="659" t="s">
        <v>511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68" t="s">
        <v>227</v>
      </c>
      <c r="K109" s="71"/>
      <c r="L109" s="666" t="s">
        <v>226</v>
      </c>
      <c r="M109" s="661"/>
    </row>
    <row r="110" spans="1:16" ht="16.5">
      <c r="A110" s="660" t="s">
        <v>500</v>
      </c>
      <c r="B110" s="670">
        <f>Anx16AME!C49+Anx16AME!C83</f>
        <v>100433.70999999999</v>
      </c>
      <c r="C110" s="670">
        <f>Anx16AME!D49+Anx16AME!D83</f>
        <v>47680.91</v>
      </c>
      <c r="D110" s="670">
        <f>Anx16AME!E49+Anx16AME!E83</f>
        <v>55322.89</v>
      </c>
      <c r="E110" s="670">
        <f>Anx16AME!F49+Anx16AME!F83</f>
        <v>77980.66</v>
      </c>
      <c r="F110" s="670">
        <f>Anx16AME!G49+Anx16AME!G83</f>
        <v>74781.34</v>
      </c>
      <c r="G110" s="670">
        <f>Anx16AME!H49+Anx16AME!H83</f>
        <v>11108.91</v>
      </c>
      <c r="H110" s="670">
        <f>Anx16AME!I49+Anx16AME!I83</f>
        <v>60237.32</v>
      </c>
      <c r="I110" s="670">
        <f>Anx16AME!J49+Anx16AME!J83</f>
        <v>174972.14</v>
      </c>
      <c r="J110" s="670">
        <f>SUM(Anx16AME!K49:M49)+SUM(Anx16AME!K83:M83)</f>
        <v>785700.74</v>
      </c>
      <c r="K110" s="71"/>
      <c r="L110" s="666">
        <f>SUM(B110:J110)</f>
        <v>1388218.62</v>
      </c>
      <c r="M110" s="665"/>
      <c r="N110" s="142"/>
      <c r="P110" s="147"/>
    </row>
    <row r="111" spans="1:16" ht="16.5">
      <c r="A111" s="660" t="s">
        <v>501</v>
      </c>
      <c r="B111" s="670">
        <f>Anx16AME!C50+Anx16AME!C84</f>
        <v>105772.09</v>
      </c>
      <c r="C111" s="670">
        <f>Anx16AME!D50+Anx16AME!D84</f>
        <v>11595.039999999999</v>
      </c>
      <c r="D111" s="670">
        <f>Anx16AME!E50+Anx16AME!E84</f>
        <v>63785.83</v>
      </c>
      <c r="E111" s="670">
        <f>Anx16AME!F50+Anx16AME!F84</f>
        <v>0</v>
      </c>
      <c r="F111" s="670">
        <f>Anx16AME!G50+Anx16AME!G84</f>
        <v>13209.21</v>
      </c>
      <c r="G111" s="670">
        <f>Anx16AME!H50+Anx16AME!H84</f>
        <v>31646.73</v>
      </c>
      <c r="H111" s="670">
        <f>Anx16AME!I50+Anx16AME!I84</f>
        <v>3598.28</v>
      </c>
      <c r="I111" s="670">
        <f>Anx16AME!J50+Anx16AME!J84</f>
        <v>10105.07</v>
      </c>
      <c r="J111" s="670">
        <f>SUM(Anx16AME!K50:M50)+SUM(Anx16AME!K84:M84)</f>
        <v>130586.18</v>
      </c>
      <c r="K111" s="71"/>
      <c r="L111" s="666">
        <f>SUM(B111:J111)</f>
        <v>370298.43</v>
      </c>
      <c r="M111" s="665"/>
      <c r="N111" s="142"/>
      <c r="P111" s="147"/>
    </row>
    <row r="112" spans="1:16" ht="16.5">
      <c r="A112" s="660" t="s">
        <v>502</v>
      </c>
      <c r="B112" s="670">
        <f>Anx16AME!C51+Anx16AME!C85</f>
        <v>8464.0499999999993</v>
      </c>
      <c r="C112" s="670">
        <f>Anx16AME!D51+Anx16AME!D85</f>
        <v>101360.46999999999</v>
      </c>
      <c r="D112" s="670">
        <f>Anx16AME!E51+Anx16AME!E85</f>
        <v>2690.19</v>
      </c>
      <c r="E112" s="670">
        <f>Anx16AME!F51+Anx16AME!F85</f>
        <v>0</v>
      </c>
      <c r="F112" s="670">
        <f>Anx16AME!G51+Anx16AME!G85</f>
        <v>0</v>
      </c>
      <c r="G112" s="670">
        <f>Anx16AME!H51+Anx16AME!H85</f>
        <v>13312.57</v>
      </c>
      <c r="H112" s="670">
        <f>Anx16AME!I51+Anx16AME!I85</f>
        <v>9262.58</v>
      </c>
      <c r="I112" s="670">
        <f>Anx16AME!J51+Anx16AME!J85</f>
        <v>84988.6</v>
      </c>
      <c r="J112" s="670">
        <f>SUM(Anx16AME!K51:M51)+SUM(Anx16AME!K85:M85)</f>
        <v>759145.90999999992</v>
      </c>
      <c r="K112" s="71"/>
      <c r="L112" s="666">
        <f>SUM(B112:J112)</f>
        <v>979224.36999999988</v>
      </c>
      <c r="M112" s="665"/>
      <c r="N112" s="142"/>
      <c r="P112" s="147"/>
    </row>
    <row r="113" spans="1:13" ht="15">
      <c r="A113" s="655"/>
      <c r="B113" s="661"/>
      <c r="C113" s="661"/>
      <c r="D113" s="661"/>
      <c r="E113" s="661"/>
      <c r="F113" s="661"/>
      <c r="G113" s="661"/>
      <c r="H113" s="661"/>
      <c r="I113" s="661"/>
      <c r="J113" s="661"/>
      <c r="K113" s="661"/>
      <c r="L113" s="665"/>
      <c r="M113" s="665"/>
    </row>
    <row r="114" spans="1:13" ht="16.5">
      <c r="A114" s="58" t="s">
        <v>503</v>
      </c>
      <c r="B114" s="661"/>
      <c r="C114" s="661"/>
      <c r="D114" s="661"/>
      <c r="E114" s="661"/>
      <c r="F114" s="661"/>
      <c r="G114" s="661"/>
      <c r="H114" s="661"/>
      <c r="I114" s="661"/>
      <c r="J114" s="71"/>
      <c r="K114" s="666" t="s">
        <v>226</v>
      </c>
      <c r="L114" s="666" t="s">
        <v>225</v>
      </c>
      <c r="M114" s="666" t="s">
        <v>224</v>
      </c>
    </row>
    <row r="115" spans="1:13" ht="16.5">
      <c r="A115" s="660" t="s">
        <v>42</v>
      </c>
      <c r="B115" s="670">
        <f>(B110)+(C110*$M$67)</f>
        <v>124274.16499999999</v>
      </c>
      <c r="C115" s="670">
        <f t="shared" ref="C115:J115" si="25">(C110*$L$67)+(D110*$M$67)</f>
        <v>51501.9</v>
      </c>
      <c r="D115" s="670">
        <f t="shared" si="25"/>
        <v>66651.774999999994</v>
      </c>
      <c r="E115" s="670">
        <f t="shared" si="25"/>
        <v>76381</v>
      </c>
      <c r="F115" s="670">
        <f t="shared" si="25"/>
        <v>42945.125</v>
      </c>
      <c r="G115" s="670">
        <f t="shared" si="25"/>
        <v>35673.114999999998</v>
      </c>
      <c r="H115" s="670">
        <f t="shared" si="25"/>
        <v>117604.73000000001</v>
      </c>
      <c r="I115" s="670">
        <f t="shared" si="25"/>
        <v>480336.44</v>
      </c>
      <c r="J115" s="670">
        <f t="shared" si="25"/>
        <v>392850.37</v>
      </c>
      <c r="K115" s="666">
        <f>SUM(B115:J115)</f>
        <v>1388218.62</v>
      </c>
      <c r="L115" s="667">
        <v>0.5</v>
      </c>
      <c r="M115" s="667">
        <f>100%-L115</f>
        <v>0.5</v>
      </c>
    </row>
    <row r="116" spans="1:13" ht="16.5">
      <c r="A116" s="660" t="s">
        <v>43</v>
      </c>
      <c r="B116" s="670">
        <f>(B111)+(C111*$M$68)</f>
        <v>113888.61799999999</v>
      </c>
      <c r="C116" s="670">
        <f t="shared" ref="C116:J116" si="26">(C111*$L$68)+(D111*$M$68)</f>
        <v>48128.593000000001</v>
      </c>
      <c r="D116" s="670">
        <f t="shared" si="26"/>
        <v>19135.749</v>
      </c>
      <c r="E116" s="670">
        <f t="shared" si="26"/>
        <v>9246.4469999999983</v>
      </c>
      <c r="F116" s="670">
        <f t="shared" si="26"/>
        <v>26115.473999999998</v>
      </c>
      <c r="G116" s="670">
        <f t="shared" si="26"/>
        <v>12012.815000000001</v>
      </c>
      <c r="H116" s="670">
        <f t="shared" si="26"/>
        <v>8153.0329999999994</v>
      </c>
      <c r="I116" s="670">
        <f t="shared" si="26"/>
        <v>94441.84699999998</v>
      </c>
      <c r="J116" s="670">
        <f t="shared" si="26"/>
        <v>39175.853999999999</v>
      </c>
      <c r="K116" s="666">
        <f>SUM(B116:J116)</f>
        <v>370298.42999999993</v>
      </c>
      <c r="L116" s="667">
        <v>0.3</v>
      </c>
      <c r="M116" s="667">
        <f>100%-L116</f>
        <v>0.7</v>
      </c>
    </row>
    <row r="117" spans="1:13" ht="16.5">
      <c r="A117" s="660" t="s">
        <v>68</v>
      </c>
      <c r="B117" s="670">
        <f>(B112)+(C112*$M$69)</f>
        <v>79416.378999999986</v>
      </c>
      <c r="C117" s="670">
        <f t="shared" ref="C117:J117" si="27">(C112*$L$69)+(D112*$M$69)</f>
        <v>32291.273999999998</v>
      </c>
      <c r="D117" s="670">
        <f t="shared" si="27"/>
        <v>807.05700000000002</v>
      </c>
      <c r="E117" s="670">
        <f t="shared" si="27"/>
        <v>0</v>
      </c>
      <c r="F117" s="670">
        <f t="shared" si="27"/>
        <v>9318.7989999999991</v>
      </c>
      <c r="G117" s="670">
        <f t="shared" si="27"/>
        <v>10477.576999999999</v>
      </c>
      <c r="H117" s="670">
        <f t="shared" si="27"/>
        <v>62270.793999999994</v>
      </c>
      <c r="I117" s="670">
        <f t="shared" si="27"/>
        <v>556898.71699999983</v>
      </c>
      <c r="J117" s="670">
        <f t="shared" si="27"/>
        <v>227743.77299999996</v>
      </c>
      <c r="K117" s="666">
        <f>SUM(B117:J117)</f>
        <v>979224.36999999976</v>
      </c>
      <c r="L117" s="667">
        <v>0.3</v>
      </c>
      <c r="M117" s="667">
        <f>100%-L117</f>
        <v>0.7</v>
      </c>
    </row>
    <row r="118" spans="1:13" ht="15">
      <c r="A118" s="655"/>
      <c r="B118" s="661"/>
      <c r="C118" s="661"/>
      <c r="D118" s="661"/>
      <c r="E118" s="661"/>
      <c r="F118" s="661"/>
      <c r="G118" s="661"/>
      <c r="H118" s="661"/>
      <c r="I118" s="661"/>
      <c r="J118" s="661"/>
      <c r="K118" s="661"/>
      <c r="L118" s="661"/>
      <c r="M118" s="661"/>
    </row>
    <row r="119" spans="1:13" ht="16.5">
      <c r="A119" s="168" t="s">
        <v>504</v>
      </c>
      <c r="B119" s="661"/>
      <c r="C119" s="661"/>
      <c r="D119" s="661"/>
      <c r="E119" s="661"/>
      <c r="F119" s="661"/>
      <c r="G119" s="661"/>
      <c r="H119" s="661"/>
      <c r="I119" s="661"/>
      <c r="J119" s="71"/>
      <c r="K119" s="666" t="s">
        <v>226</v>
      </c>
      <c r="L119" s="666" t="s">
        <v>225</v>
      </c>
      <c r="M119" s="666" t="s">
        <v>224</v>
      </c>
    </row>
    <row r="120" spans="1:13" ht="16.5">
      <c r="A120" s="660" t="s">
        <v>42</v>
      </c>
      <c r="B120" s="670">
        <f>(B110)+(C110*$M$72)</f>
        <v>114737.98299999999</v>
      </c>
      <c r="C120" s="670">
        <f t="shared" ref="C120:J120" si="28">(C110*$L$72)+(D110*$M$72)</f>
        <v>49973.504000000001</v>
      </c>
      <c r="D120" s="670">
        <f t="shared" si="28"/>
        <v>62120.220999999998</v>
      </c>
      <c r="E120" s="670">
        <f t="shared" si="28"/>
        <v>77020.864000000001</v>
      </c>
      <c r="F120" s="670">
        <f t="shared" si="28"/>
        <v>55679.610999999997</v>
      </c>
      <c r="G120" s="670">
        <f t="shared" si="28"/>
        <v>25847.433000000005</v>
      </c>
      <c r="H120" s="670">
        <f t="shared" si="28"/>
        <v>94657.766000000003</v>
      </c>
      <c r="I120" s="670">
        <f t="shared" si="28"/>
        <v>358190.72000000003</v>
      </c>
      <c r="J120" s="670">
        <f t="shared" si="28"/>
        <v>549990.51799999992</v>
      </c>
      <c r="K120" s="666">
        <f>SUM(B120:J120)</f>
        <v>1388218.6199999999</v>
      </c>
      <c r="L120" s="667">
        <v>0.7</v>
      </c>
      <c r="M120" s="667">
        <f>100%-L120</f>
        <v>0.30000000000000004</v>
      </c>
    </row>
    <row r="121" spans="1:13" ht="16.5">
      <c r="A121" s="660" t="s">
        <v>43</v>
      </c>
      <c r="B121" s="670">
        <f>(B111)+(C111*$M$73)</f>
        <v>111569.61</v>
      </c>
      <c r="C121" s="670">
        <f t="shared" ref="C121:J121" si="29">(C111*$L$73)+(D111*$M$73)</f>
        <v>37690.434999999998</v>
      </c>
      <c r="D121" s="670">
        <f t="shared" si="29"/>
        <v>31892.915000000001</v>
      </c>
      <c r="E121" s="670">
        <f t="shared" si="29"/>
        <v>6604.6049999999996</v>
      </c>
      <c r="F121" s="670">
        <f t="shared" si="29"/>
        <v>22427.97</v>
      </c>
      <c r="G121" s="670">
        <f t="shared" si="29"/>
        <v>17622.505000000001</v>
      </c>
      <c r="H121" s="670">
        <f t="shared" si="29"/>
        <v>6851.6750000000002</v>
      </c>
      <c r="I121" s="670">
        <f t="shared" si="29"/>
        <v>70345.625</v>
      </c>
      <c r="J121" s="670">
        <f t="shared" si="29"/>
        <v>65293.09</v>
      </c>
      <c r="K121" s="666">
        <f>SUM(B121:J121)</f>
        <v>370298.42999999993</v>
      </c>
      <c r="L121" s="667">
        <v>0.5</v>
      </c>
      <c r="M121" s="667">
        <f>100%-L121</f>
        <v>0.5</v>
      </c>
    </row>
    <row r="122" spans="1:13" ht="16.5">
      <c r="A122" s="660" t="s">
        <v>68</v>
      </c>
      <c r="B122" s="670">
        <f>(B112)+(C112*$M$74)</f>
        <v>59144.284999999989</v>
      </c>
      <c r="C122" s="670">
        <f t="shared" ref="C122:J122" si="30">(C112*$L$74)+(D112*$M$74)</f>
        <v>52025.329999999994</v>
      </c>
      <c r="D122" s="670">
        <f t="shared" si="30"/>
        <v>1345.095</v>
      </c>
      <c r="E122" s="670">
        <f t="shared" si="30"/>
        <v>0</v>
      </c>
      <c r="F122" s="670">
        <f t="shared" si="30"/>
        <v>6656.2849999999999</v>
      </c>
      <c r="G122" s="670">
        <f t="shared" si="30"/>
        <v>11287.575000000001</v>
      </c>
      <c r="H122" s="670">
        <f t="shared" si="30"/>
        <v>47125.590000000004</v>
      </c>
      <c r="I122" s="670">
        <f t="shared" si="30"/>
        <v>422067.25499999995</v>
      </c>
      <c r="J122" s="670">
        <f t="shared" si="30"/>
        <v>379572.95499999996</v>
      </c>
      <c r="K122" s="666">
        <f>SUM(B122:J122)</f>
        <v>979224.36999999988</v>
      </c>
      <c r="L122" s="667">
        <v>0.5</v>
      </c>
      <c r="M122" s="667">
        <f>100%-L122</f>
        <v>0.5</v>
      </c>
    </row>
    <row r="123" spans="1:13" ht="16.5">
      <c r="A123" s="218"/>
      <c r="B123" s="654"/>
      <c r="C123" s="654"/>
      <c r="D123" s="654"/>
      <c r="E123" s="654"/>
      <c r="F123" s="654"/>
      <c r="G123" s="654"/>
      <c r="H123" s="654"/>
      <c r="I123" s="654"/>
      <c r="J123" s="654"/>
      <c r="K123" s="656"/>
      <c r="L123" s="657"/>
      <c r="M123" s="658"/>
    </row>
    <row r="124" spans="1:13" ht="15">
      <c r="A124" s="655"/>
      <c r="B124" s="661"/>
      <c r="C124" s="661"/>
      <c r="D124" s="661"/>
      <c r="E124" s="661"/>
      <c r="F124" s="661"/>
      <c r="G124" s="661"/>
      <c r="H124" s="661"/>
      <c r="I124" s="661"/>
      <c r="J124" s="661"/>
      <c r="K124" s="661"/>
      <c r="L124" s="661"/>
      <c r="M124" s="661"/>
    </row>
    <row r="125" spans="1:13" ht="16.5">
      <c r="A125" s="659" t="s">
        <v>511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68" t="s">
        <v>227</v>
      </c>
      <c r="K125" s="71"/>
      <c r="L125" s="666" t="s">
        <v>226</v>
      </c>
      <c r="M125" s="661"/>
    </row>
    <row r="126" spans="1:13" ht="16.5">
      <c r="A126" s="660" t="s">
        <v>505</v>
      </c>
      <c r="B126" s="670">
        <f>Anx16AME!C80</f>
        <v>50908.25</v>
      </c>
      <c r="C126" s="670">
        <f>Anx16AME!D80</f>
        <v>21086.89</v>
      </c>
      <c r="D126" s="670">
        <f>Anx16AME!E80</f>
        <v>16180.54</v>
      </c>
      <c r="E126" s="670">
        <f>Anx16AME!F80</f>
        <v>0</v>
      </c>
      <c r="F126" s="670">
        <f>Anx16AME!G80</f>
        <v>0</v>
      </c>
      <c r="G126" s="670">
        <f>Anx16AME!H80</f>
        <v>0</v>
      </c>
      <c r="H126" s="670">
        <f>Anx16AME!I80</f>
        <v>0</v>
      </c>
      <c r="I126" s="670">
        <f>Anx16AME!J80</f>
        <v>0</v>
      </c>
      <c r="J126" s="670">
        <f>SUM(Anx16AME!K80:M80)</f>
        <v>375223.74</v>
      </c>
      <c r="K126" s="71"/>
      <c r="L126" s="666">
        <f>SUM(B126:J126)</f>
        <v>463399.42</v>
      </c>
      <c r="M126" s="665"/>
    </row>
    <row r="127" spans="1:13" ht="16.5">
      <c r="A127" s="660" t="s">
        <v>506</v>
      </c>
      <c r="B127" s="670">
        <f>Anx16AME!C81</f>
        <v>15181.64</v>
      </c>
      <c r="C127" s="670">
        <f>Anx16AME!D81</f>
        <v>6288.44</v>
      </c>
      <c r="D127" s="670">
        <f>Anx16AME!E81</f>
        <v>4825.29</v>
      </c>
      <c r="E127" s="670">
        <f>Anx16AME!F81</f>
        <v>0</v>
      </c>
      <c r="F127" s="670">
        <f>Anx16AME!G81</f>
        <v>0</v>
      </c>
      <c r="G127" s="670">
        <f>Anx16AME!H81</f>
        <v>0</v>
      </c>
      <c r="H127" s="670">
        <f>Anx16AME!I81</f>
        <v>0</v>
      </c>
      <c r="I127" s="670">
        <f>Anx16AME!J81</f>
        <v>0</v>
      </c>
      <c r="J127" s="670">
        <f>SUM(Anx16AME!K81:M81)</f>
        <v>111897.65</v>
      </c>
      <c r="K127" s="71"/>
      <c r="L127" s="666">
        <f>SUM(B127:J127)</f>
        <v>138193.01999999999</v>
      </c>
      <c r="M127" s="665"/>
    </row>
    <row r="128" spans="1:13" ht="16.5">
      <c r="A128" s="660" t="s">
        <v>507</v>
      </c>
      <c r="B128" s="670">
        <f>Anx16AME!C82</f>
        <v>40786.660000000003</v>
      </c>
      <c r="C128" s="670">
        <f>Anx16AME!D82</f>
        <v>16894.39</v>
      </c>
      <c r="D128" s="670">
        <f>Anx16AME!E82</f>
        <v>12963.52</v>
      </c>
      <c r="E128" s="670">
        <f>Anx16AME!F82</f>
        <v>0</v>
      </c>
      <c r="F128" s="670">
        <f>Anx16AME!G82</f>
        <v>0</v>
      </c>
      <c r="G128" s="670">
        <f>Anx16AME!H82</f>
        <v>0</v>
      </c>
      <c r="H128" s="670">
        <f>Anx16AME!I82</f>
        <v>0</v>
      </c>
      <c r="I128" s="670">
        <f>Anx16AME!J82</f>
        <v>0</v>
      </c>
      <c r="J128" s="670">
        <f>SUM(Anx16AME!K82:M82)</f>
        <v>300621.67</v>
      </c>
      <c r="K128" s="71"/>
      <c r="L128" s="666">
        <f>SUM(B128:J128)</f>
        <v>371266.24</v>
      </c>
      <c r="M128" s="665"/>
    </row>
    <row r="129" spans="1:13" ht="15">
      <c r="A129" s="655"/>
      <c r="B129" s="661"/>
      <c r="C129" s="661"/>
      <c r="D129" s="661"/>
      <c r="E129" s="661"/>
      <c r="F129" s="661"/>
      <c r="G129" s="661"/>
      <c r="H129" s="661"/>
      <c r="I129" s="661"/>
      <c r="J129" s="661"/>
      <c r="K129" s="661"/>
      <c r="L129" s="661"/>
      <c r="M129" s="661"/>
    </row>
    <row r="130" spans="1:13" ht="16.5">
      <c r="A130" s="58" t="s">
        <v>503</v>
      </c>
      <c r="B130" s="661"/>
      <c r="C130" s="661"/>
      <c r="D130" s="661"/>
      <c r="E130" s="661"/>
      <c r="F130" s="661"/>
      <c r="G130" s="661"/>
      <c r="H130" s="661"/>
      <c r="I130" s="661"/>
      <c r="J130" s="71"/>
      <c r="K130" s="666" t="s">
        <v>226</v>
      </c>
      <c r="L130" s="666" t="s">
        <v>225</v>
      </c>
      <c r="M130" s="666" t="s">
        <v>224</v>
      </c>
    </row>
    <row r="131" spans="1:13" ht="16.5">
      <c r="A131" s="660" t="s">
        <v>220</v>
      </c>
      <c r="B131" s="670">
        <f>(B126)+(C126*$M$67)</f>
        <v>61451.695</v>
      </c>
      <c r="C131" s="670">
        <f t="shared" ref="C131:J131" si="31">(C126*$L$67)+(D126*$M$67)</f>
        <v>18633.715</v>
      </c>
      <c r="D131" s="670">
        <f t="shared" si="31"/>
        <v>8090.27</v>
      </c>
      <c r="E131" s="670">
        <f t="shared" si="31"/>
        <v>0</v>
      </c>
      <c r="F131" s="670">
        <f t="shared" si="31"/>
        <v>0</v>
      </c>
      <c r="G131" s="670">
        <f t="shared" si="31"/>
        <v>0</v>
      </c>
      <c r="H131" s="670">
        <f t="shared" si="31"/>
        <v>0</v>
      </c>
      <c r="I131" s="670">
        <f t="shared" si="31"/>
        <v>187611.87</v>
      </c>
      <c r="J131" s="670">
        <f t="shared" si="31"/>
        <v>187611.87</v>
      </c>
      <c r="K131" s="666">
        <f>SUM(B131:J131)</f>
        <v>463399.42</v>
      </c>
      <c r="L131" s="667">
        <v>0.5</v>
      </c>
      <c r="M131" s="667">
        <f>100%-L131</f>
        <v>0.5</v>
      </c>
    </row>
    <row r="132" spans="1:13" ht="16.5">
      <c r="A132" s="660" t="s">
        <v>219</v>
      </c>
      <c r="B132" s="670">
        <f>(B127)+(C127*$M$68)</f>
        <v>19583.547999999999</v>
      </c>
      <c r="C132" s="670">
        <f t="shared" ref="C132:J132" si="32">(C127*$L$68)+(D127*$M$68)</f>
        <v>5264.2349999999997</v>
      </c>
      <c r="D132" s="670">
        <f t="shared" si="32"/>
        <v>1447.587</v>
      </c>
      <c r="E132" s="670">
        <f t="shared" si="32"/>
        <v>0</v>
      </c>
      <c r="F132" s="670">
        <f t="shared" si="32"/>
        <v>0</v>
      </c>
      <c r="G132" s="670">
        <f t="shared" si="32"/>
        <v>0</v>
      </c>
      <c r="H132" s="670">
        <f t="shared" si="32"/>
        <v>0</v>
      </c>
      <c r="I132" s="670">
        <f t="shared" si="32"/>
        <v>78328.354999999996</v>
      </c>
      <c r="J132" s="670">
        <f t="shared" si="32"/>
        <v>33569.294999999998</v>
      </c>
      <c r="K132" s="666">
        <f>SUM(B132:J132)</f>
        <v>138193.01999999999</v>
      </c>
      <c r="L132" s="667">
        <v>0.3</v>
      </c>
      <c r="M132" s="667">
        <f>100%-L132</f>
        <v>0.7</v>
      </c>
    </row>
    <row r="133" spans="1:13" ht="16.5">
      <c r="A133" s="660" t="s">
        <v>218</v>
      </c>
      <c r="B133" s="670">
        <f>(B128)+(C128*$M$69)</f>
        <v>52612.733</v>
      </c>
      <c r="C133" s="670">
        <f t="shared" ref="C133:J133" si="33">(C128*$L$69)+(D128*$M$69)</f>
        <v>14142.780999999999</v>
      </c>
      <c r="D133" s="670">
        <f t="shared" si="33"/>
        <v>3889.056</v>
      </c>
      <c r="E133" s="670">
        <f t="shared" si="33"/>
        <v>0</v>
      </c>
      <c r="F133" s="670">
        <f t="shared" si="33"/>
        <v>0</v>
      </c>
      <c r="G133" s="670">
        <f t="shared" si="33"/>
        <v>0</v>
      </c>
      <c r="H133" s="670">
        <f t="shared" si="33"/>
        <v>0</v>
      </c>
      <c r="I133" s="670">
        <f t="shared" si="33"/>
        <v>210435.16899999997</v>
      </c>
      <c r="J133" s="670">
        <f t="shared" si="33"/>
        <v>90186.500999999989</v>
      </c>
      <c r="K133" s="666">
        <f>SUM(B133:J133)</f>
        <v>371266.23999999993</v>
      </c>
      <c r="L133" s="667">
        <v>0.3</v>
      </c>
      <c r="M133" s="667">
        <f>100%-L133</f>
        <v>0.7</v>
      </c>
    </row>
    <row r="134" spans="1:13" ht="15">
      <c r="A134" s="655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</row>
    <row r="135" spans="1:13" ht="16.5">
      <c r="A135" s="168" t="s">
        <v>504</v>
      </c>
      <c r="B135" s="661"/>
      <c r="C135" s="661"/>
      <c r="D135" s="661"/>
      <c r="E135" s="661"/>
      <c r="F135" s="661"/>
      <c r="G135" s="661"/>
      <c r="H135" s="661"/>
      <c r="I135" s="661"/>
      <c r="J135" s="71"/>
      <c r="K135" s="666" t="s">
        <v>226</v>
      </c>
      <c r="L135" s="666" t="s">
        <v>225</v>
      </c>
      <c r="M135" s="666" t="s">
        <v>224</v>
      </c>
    </row>
    <row r="136" spans="1:13" ht="16.5">
      <c r="A136" s="663" t="s">
        <v>220</v>
      </c>
      <c r="B136" s="670">
        <f>(B126)+(C126*$M$72)</f>
        <v>57234.317000000003</v>
      </c>
      <c r="C136" s="670">
        <f t="shared" ref="C136:J136" si="34">(C126*$L$72)+(D126*$M$72)</f>
        <v>19614.985000000001</v>
      </c>
      <c r="D136" s="670">
        <f t="shared" si="34"/>
        <v>11326.378000000001</v>
      </c>
      <c r="E136" s="670">
        <f t="shared" si="34"/>
        <v>0</v>
      </c>
      <c r="F136" s="670">
        <f t="shared" si="34"/>
        <v>0</v>
      </c>
      <c r="G136" s="670">
        <f t="shared" si="34"/>
        <v>0</v>
      </c>
      <c r="H136" s="670">
        <f t="shared" si="34"/>
        <v>0</v>
      </c>
      <c r="I136" s="670">
        <f t="shared" si="34"/>
        <v>112567.12200000002</v>
      </c>
      <c r="J136" s="670">
        <f t="shared" si="34"/>
        <v>262656.61799999996</v>
      </c>
      <c r="K136" s="666">
        <f>SUM(B136:J136)</f>
        <v>463399.42</v>
      </c>
      <c r="L136" s="667">
        <v>0.7</v>
      </c>
      <c r="M136" s="667">
        <f>100%-L136</f>
        <v>0.30000000000000004</v>
      </c>
    </row>
    <row r="137" spans="1:13" ht="16.5">
      <c r="A137" s="663" t="s">
        <v>219</v>
      </c>
      <c r="B137" s="670">
        <f>(B127)+(C127*$M$73)</f>
        <v>18325.86</v>
      </c>
      <c r="C137" s="670">
        <f t="shared" ref="C137:J137" si="35">(C127*$L$73)+(D127*$M$73)</f>
        <v>5556.8649999999998</v>
      </c>
      <c r="D137" s="670">
        <f t="shared" si="35"/>
        <v>2412.645</v>
      </c>
      <c r="E137" s="670">
        <f t="shared" si="35"/>
        <v>0</v>
      </c>
      <c r="F137" s="670">
        <f t="shared" si="35"/>
        <v>0</v>
      </c>
      <c r="G137" s="670">
        <f t="shared" si="35"/>
        <v>0</v>
      </c>
      <c r="H137" s="670">
        <f t="shared" si="35"/>
        <v>0</v>
      </c>
      <c r="I137" s="670">
        <f t="shared" si="35"/>
        <v>55948.824999999997</v>
      </c>
      <c r="J137" s="670">
        <f t="shared" si="35"/>
        <v>55948.824999999997</v>
      </c>
      <c r="K137" s="666">
        <f>SUM(B137:J137)</f>
        <v>138193.01999999999</v>
      </c>
      <c r="L137" s="667">
        <v>0.5</v>
      </c>
      <c r="M137" s="667">
        <f>100%-L137</f>
        <v>0.5</v>
      </c>
    </row>
    <row r="138" spans="1:13" ht="16.5">
      <c r="A138" s="663" t="s">
        <v>218</v>
      </c>
      <c r="B138" s="670">
        <f>(B128)+(C128*$M$74)</f>
        <v>49233.855000000003</v>
      </c>
      <c r="C138" s="670">
        <f t="shared" ref="C138:J138" si="36">(C128*$L$74)+(D128*$M$74)</f>
        <v>14928.955</v>
      </c>
      <c r="D138" s="670">
        <f t="shared" si="36"/>
        <v>6481.76</v>
      </c>
      <c r="E138" s="670">
        <f t="shared" si="36"/>
        <v>0</v>
      </c>
      <c r="F138" s="670">
        <f t="shared" si="36"/>
        <v>0</v>
      </c>
      <c r="G138" s="670">
        <f t="shared" si="36"/>
        <v>0</v>
      </c>
      <c r="H138" s="670">
        <f t="shared" si="36"/>
        <v>0</v>
      </c>
      <c r="I138" s="670">
        <f t="shared" si="36"/>
        <v>150310.83499999999</v>
      </c>
      <c r="J138" s="670">
        <f t="shared" si="36"/>
        <v>150310.83499999999</v>
      </c>
      <c r="K138" s="666">
        <f>SUM(B138:J138)</f>
        <v>371266.24</v>
      </c>
      <c r="L138" s="667">
        <v>0.5</v>
      </c>
      <c r="M138" s="667">
        <f>100%-L138</f>
        <v>0.5</v>
      </c>
    </row>
    <row r="139" spans="1:13" ht="15">
      <c r="A139" s="655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</row>
    <row r="140" spans="1:13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>
      <c r="A141" s="659" t="s">
        <v>511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68" t="s">
        <v>227</v>
      </c>
      <c r="K141" s="71"/>
      <c r="L141" s="666" t="s">
        <v>226</v>
      </c>
      <c r="M141" s="661"/>
    </row>
    <row r="142" spans="1:13" ht="16.5">
      <c r="A142" s="663" t="s">
        <v>508</v>
      </c>
      <c r="B142" s="670">
        <f>Anx16AME!C77</f>
        <v>71.040000000000006</v>
      </c>
      <c r="C142" s="670">
        <f>Anx16AME!D77</f>
        <v>42.32</v>
      </c>
      <c r="D142" s="670">
        <f>Anx16AME!E77</f>
        <v>0</v>
      </c>
      <c r="E142" s="670">
        <f>Anx16AME!F77</f>
        <v>0</v>
      </c>
      <c r="F142" s="670">
        <f>Anx16AME!G77</f>
        <v>0</v>
      </c>
      <c r="G142" s="670">
        <f>Anx16AME!H77</f>
        <v>0</v>
      </c>
      <c r="H142" s="670">
        <f>Anx16AME!I77</f>
        <v>0</v>
      </c>
      <c r="I142" s="670">
        <f>Anx16AME!J77</f>
        <v>0</v>
      </c>
      <c r="J142" s="670">
        <f>SUM(Anx16AMN!K77:M77)</f>
        <v>0</v>
      </c>
      <c r="K142" s="71"/>
      <c r="L142" s="666">
        <f>SUM(B142:J142)</f>
        <v>113.36000000000001</v>
      </c>
      <c r="M142" s="665"/>
    </row>
    <row r="143" spans="1:13" ht="16.5">
      <c r="A143" s="663" t="s">
        <v>509</v>
      </c>
      <c r="B143" s="670">
        <f>Anx16AME!C78</f>
        <v>0</v>
      </c>
      <c r="C143" s="670">
        <f>Anx16AME!D78</f>
        <v>0</v>
      </c>
      <c r="D143" s="670">
        <f>Anx16AME!E78</f>
        <v>0</v>
      </c>
      <c r="E143" s="670">
        <f>Anx16AME!F78</f>
        <v>0</v>
      </c>
      <c r="F143" s="670">
        <f>Anx16AME!G78</f>
        <v>0</v>
      </c>
      <c r="G143" s="670">
        <f>Anx16AME!H78</f>
        <v>0</v>
      </c>
      <c r="H143" s="670">
        <f>Anx16AME!I78</f>
        <v>0</v>
      </c>
      <c r="I143" s="670">
        <f>Anx16AME!J78</f>
        <v>0</v>
      </c>
      <c r="J143" s="670">
        <f>SUM(Anx16AMN!K78:M78)</f>
        <v>0</v>
      </c>
      <c r="K143" s="71"/>
      <c r="L143" s="666">
        <f>SUM(B143:J143)</f>
        <v>0</v>
      </c>
      <c r="M143" s="665"/>
    </row>
    <row r="144" spans="1:13" ht="16.5">
      <c r="A144" s="663" t="s">
        <v>510</v>
      </c>
      <c r="B144" s="670">
        <f>Anx16AME!C79</f>
        <v>0</v>
      </c>
      <c r="C144" s="670">
        <f>Anx16AME!D79</f>
        <v>0</v>
      </c>
      <c r="D144" s="670">
        <f>Anx16AME!E79</f>
        <v>0</v>
      </c>
      <c r="E144" s="670">
        <f>Anx16AME!F79</f>
        <v>0</v>
      </c>
      <c r="F144" s="670">
        <f>Anx16AME!G79</f>
        <v>0</v>
      </c>
      <c r="G144" s="670">
        <f>Anx16AME!H79</f>
        <v>0</v>
      </c>
      <c r="H144" s="670">
        <f>Anx16AME!I79</f>
        <v>0</v>
      </c>
      <c r="I144" s="670">
        <f>Anx16AME!J79</f>
        <v>0</v>
      </c>
      <c r="J144" s="670">
        <f>SUM(Anx16AMN!K79:M79)</f>
        <v>0</v>
      </c>
      <c r="K144" s="71"/>
      <c r="L144" s="666">
        <f>SUM(B144:J144)</f>
        <v>0</v>
      </c>
      <c r="M144" s="665"/>
    </row>
    <row r="145" spans="1:23" ht="15">
      <c r="A145" s="655"/>
      <c r="B145" s="661"/>
      <c r="C145" s="661"/>
      <c r="D145" s="661"/>
      <c r="E145" s="661"/>
      <c r="F145" s="661"/>
      <c r="G145" s="661"/>
      <c r="H145" s="661"/>
      <c r="I145" s="661"/>
      <c r="J145" s="661"/>
      <c r="K145" s="661"/>
      <c r="L145" s="665"/>
      <c r="M145" s="665"/>
    </row>
    <row r="146" spans="1:23" ht="17.25" customHeight="1">
      <c r="A146" s="58" t="s">
        <v>503</v>
      </c>
      <c r="B146" s="661"/>
      <c r="C146" s="661"/>
      <c r="D146" s="661"/>
      <c r="E146" s="661"/>
      <c r="F146" s="661"/>
      <c r="G146" s="661"/>
      <c r="H146" s="661"/>
      <c r="I146" s="661"/>
      <c r="J146" s="71"/>
      <c r="K146" s="666" t="s">
        <v>226</v>
      </c>
      <c r="L146" s="666" t="s">
        <v>225</v>
      </c>
      <c r="M146" s="666" t="s">
        <v>224</v>
      </c>
    </row>
    <row r="147" spans="1:23" ht="17.25" customHeight="1">
      <c r="A147" s="663" t="s">
        <v>217</v>
      </c>
      <c r="B147" s="670">
        <f>(B142)+(C142*$M$67)</f>
        <v>92.2</v>
      </c>
      <c r="C147" s="670">
        <f t="shared" ref="C147:J147" si="37">(C142*$L$67)+(D142*$M$67)</f>
        <v>21.16</v>
      </c>
      <c r="D147" s="670">
        <f t="shared" si="37"/>
        <v>0</v>
      </c>
      <c r="E147" s="670">
        <f t="shared" si="37"/>
        <v>0</v>
      </c>
      <c r="F147" s="670">
        <f t="shared" si="37"/>
        <v>0</v>
      </c>
      <c r="G147" s="670">
        <f t="shared" si="37"/>
        <v>0</v>
      </c>
      <c r="H147" s="670">
        <f t="shared" si="37"/>
        <v>0</v>
      </c>
      <c r="I147" s="670">
        <f t="shared" si="37"/>
        <v>0</v>
      </c>
      <c r="J147" s="670">
        <f t="shared" si="37"/>
        <v>0</v>
      </c>
      <c r="K147" s="666">
        <f>SUM(B147:J147)</f>
        <v>113.36</v>
      </c>
      <c r="L147" s="667">
        <v>0.5</v>
      </c>
      <c r="M147" s="667">
        <f>100%-L147</f>
        <v>0.5</v>
      </c>
    </row>
    <row r="148" spans="1:23" ht="17.25" customHeight="1">
      <c r="A148" s="663" t="s">
        <v>216</v>
      </c>
      <c r="B148" s="670">
        <f>(B143)+(C143*$M$68)</f>
        <v>0</v>
      </c>
      <c r="C148" s="670">
        <f t="shared" ref="C148:J148" si="38">(C143*$L$68)+(D143*$M$68)</f>
        <v>0</v>
      </c>
      <c r="D148" s="670">
        <f t="shared" si="38"/>
        <v>0</v>
      </c>
      <c r="E148" s="670">
        <f t="shared" si="38"/>
        <v>0</v>
      </c>
      <c r="F148" s="670">
        <f t="shared" si="38"/>
        <v>0</v>
      </c>
      <c r="G148" s="670">
        <f t="shared" si="38"/>
        <v>0</v>
      </c>
      <c r="H148" s="670">
        <f t="shared" si="38"/>
        <v>0</v>
      </c>
      <c r="I148" s="670">
        <f t="shared" si="38"/>
        <v>0</v>
      </c>
      <c r="J148" s="670">
        <f t="shared" si="38"/>
        <v>0</v>
      </c>
      <c r="K148" s="666">
        <f>SUM(B148:J148)</f>
        <v>0</v>
      </c>
      <c r="L148" s="667">
        <v>0.3</v>
      </c>
      <c r="M148" s="667">
        <f>100%-L148</f>
        <v>0.7</v>
      </c>
    </row>
    <row r="149" spans="1:23" ht="17.25" customHeight="1">
      <c r="A149" s="663" t="s">
        <v>215</v>
      </c>
      <c r="B149" s="670">
        <f>(B144)+(C144*$M$69)</f>
        <v>0</v>
      </c>
      <c r="C149" s="670">
        <f t="shared" ref="C149:J149" si="39">(C144*$L$69)+(D144*$M$69)</f>
        <v>0</v>
      </c>
      <c r="D149" s="670">
        <f t="shared" si="39"/>
        <v>0</v>
      </c>
      <c r="E149" s="670">
        <f t="shared" si="39"/>
        <v>0</v>
      </c>
      <c r="F149" s="670">
        <f t="shared" si="39"/>
        <v>0</v>
      </c>
      <c r="G149" s="670">
        <f t="shared" si="39"/>
        <v>0</v>
      </c>
      <c r="H149" s="670">
        <f t="shared" si="39"/>
        <v>0</v>
      </c>
      <c r="I149" s="670">
        <f t="shared" si="39"/>
        <v>0</v>
      </c>
      <c r="J149" s="670">
        <f t="shared" si="39"/>
        <v>0</v>
      </c>
      <c r="K149" s="666">
        <f>SUM(B149:J149)</f>
        <v>0</v>
      </c>
      <c r="L149" s="667">
        <v>0.3</v>
      </c>
      <c r="M149" s="667">
        <f>100%-L149</f>
        <v>0.7</v>
      </c>
    </row>
    <row r="150" spans="1:23" ht="17.25" customHeight="1">
      <c r="A150" s="655"/>
      <c r="B150" s="661"/>
      <c r="C150" s="661"/>
      <c r="D150" s="661"/>
      <c r="E150" s="661"/>
      <c r="F150" s="661"/>
      <c r="G150" s="661"/>
      <c r="H150" s="661"/>
      <c r="I150" s="661"/>
      <c r="J150" s="661"/>
      <c r="K150" s="661"/>
      <c r="L150" s="667"/>
      <c r="M150" s="667"/>
    </row>
    <row r="151" spans="1:23" ht="17.25" customHeight="1">
      <c r="A151" s="168" t="s">
        <v>504</v>
      </c>
      <c r="B151" s="661"/>
      <c r="C151" s="661"/>
      <c r="D151" s="661"/>
      <c r="E151" s="661"/>
      <c r="F151" s="661"/>
      <c r="G151" s="661"/>
      <c r="H151" s="661"/>
      <c r="I151" s="661"/>
      <c r="J151" s="71"/>
      <c r="K151" s="666" t="s">
        <v>226</v>
      </c>
      <c r="L151" s="666" t="s">
        <v>225</v>
      </c>
      <c r="M151" s="666" t="s">
        <v>224</v>
      </c>
    </row>
    <row r="152" spans="1:23" ht="16.5" customHeight="1">
      <c r="A152" s="663" t="s">
        <v>217</v>
      </c>
      <c r="B152" s="670">
        <f>(B142)+(C142*$M$72)</f>
        <v>83.736000000000004</v>
      </c>
      <c r="C152" s="670">
        <f t="shared" ref="C152:J152" si="40">(C142*$L$72)+(D142*$M$72)</f>
        <v>29.623999999999999</v>
      </c>
      <c r="D152" s="670">
        <f t="shared" si="40"/>
        <v>0</v>
      </c>
      <c r="E152" s="670">
        <f t="shared" si="40"/>
        <v>0</v>
      </c>
      <c r="F152" s="670">
        <f t="shared" si="40"/>
        <v>0</v>
      </c>
      <c r="G152" s="670">
        <f t="shared" si="40"/>
        <v>0</v>
      </c>
      <c r="H152" s="670">
        <f t="shared" si="40"/>
        <v>0</v>
      </c>
      <c r="I152" s="670">
        <f t="shared" si="40"/>
        <v>0</v>
      </c>
      <c r="J152" s="670">
        <f t="shared" si="40"/>
        <v>0</v>
      </c>
      <c r="K152" s="666">
        <f>SUM(B152:J152)</f>
        <v>113.36</v>
      </c>
      <c r="L152" s="667">
        <v>0.7</v>
      </c>
      <c r="M152" s="667">
        <f>100%-L152</f>
        <v>0.30000000000000004</v>
      </c>
    </row>
    <row r="153" spans="1:23" ht="16.5" customHeight="1">
      <c r="A153" s="663" t="s">
        <v>216</v>
      </c>
      <c r="B153" s="670">
        <f>(B143)+(C143*$M$73)</f>
        <v>0</v>
      </c>
      <c r="C153" s="670">
        <f t="shared" ref="C153:J153" si="41">(C143*$L$73)+(D143*$M$73)</f>
        <v>0</v>
      </c>
      <c r="D153" s="670">
        <f t="shared" si="41"/>
        <v>0</v>
      </c>
      <c r="E153" s="670">
        <f t="shared" si="41"/>
        <v>0</v>
      </c>
      <c r="F153" s="670">
        <f t="shared" si="41"/>
        <v>0</v>
      </c>
      <c r="G153" s="670">
        <f t="shared" si="41"/>
        <v>0</v>
      </c>
      <c r="H153" s="670">
        <f t="shared" si="41"/>
        <v>0</v>
      </c>
      <c r="I153" s="670">
        <f t="shared" si="41"/>
        <v>0</v>
      </c>
      <c r="J153" s="670">
        <f t="shared" si="41"/>
        <v>0</v>
      </c>
      <c r="K153" s="666">
        <f>SUM(B153:J153)</f>
        <v>0</v>
      </c>
      <c r="L153" s="667">
        <v>0.5</v>
      </c>
      <c r="M153" s="667">
        <f>100%-L153</f>
        <v>0.5</v>
      </c>
    </row>
    <row r="154" spans="1:23" ht="16.5" customHeight="1">
      <c r="A154" s="663" t="s">
        <v>215</v>
      </c>
      <c r="B154" s="670">
        <f>(B144)+(C144*$M$74)</f>
        <v>0</v>
      </c>
      <c r="C154" s="670">
        <f t="shared" ref="C154:J154" si="42">(C144*$L$74)+(D144*$M$74)</f>
        <v>0</v>
      </c>
      <c r="D154" s="670">
        <f t="shared" si="42"/>
        <v>0</v>
      </c>
      <c r="E154" s="670">
        <f t="shared" si="42"/>
        <v>0</v>
      </c>
      <c r="F154" s="670">
        <f t="shared" si="42"/>
        <v>0</v>
      </c>
      <c r="G154" s="670">
        <f t="shared" si="42"/>
        <v>0</v>
      </c>
      <c r="H154" s="670">
        <f t="shared" si="42"/>
        <v>0</v>
      </c>
      <c r="I154" s="670">
        <f t="shared" si="42"/>
        <v>0</v>
      </c>
      <c r="J154" s="670">
        <f t="shared" si="42"/>
        <v>0</v>
      </c>
      <c r="K154" s="666">
        <f>SUM(B154:J154)</f>
        <v>0</v>
      </c>
      <c r="L154" s="667">
        <v>0.5</v>
      </c>
      <c r="M154" s="667">
        <f>100%-L154</f>
        <v>0.5</v>
      </c>
    </row>
    <row r="155" spans="1:23" ht="16.5" customHeight="1"/>
    <row r="156" spans="1:23" ht="16.5" customHeight="1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</row>
    <row r="157" spans="1:23" ht="16.5">
      <c r="B157" s="858" t="s">
        <v>12</v>
      </c>
      <c r="C157" s="859"/>
      <c r="D157" s="858" t="s">
        <v>13</v>
      </c>
      <c r="E157" s="859"/>
      <c r="F157" s="858" t="s">
        <v>14</v>
      </c>
      <c r="G157" s="859"/>
      <c r="H157" s="858" t="s">
        <v>15</v>
      </c>
      <c r="I157" s="859"/>
      <c r="J157" s="858" t="s">
        <v>16</v>
      </c>
      <c r="K157" s="859"/>
      <c r="L157" s="858" t="s">
        <v>17</v>
      </c>
      <c r="M157" s="859"/>
      <c r="N157" s="858" t="s">
        <v>223</v>
      </c>
      <c r="O157" s="859"/>
      <c r="P157" s="858" t="s">
        <v>222</v>
      </c>
      <c r="Q157" s="859"/>
      <c r="R157" s="875" t="s">
        <v>221</v>
      </c>
      <c r="S157" s="876"/>
      <c r="T157" s="858" t="s">
        <v>20</v>
      </c>
      <c r="U157" s="859"/>
    </row>
    <row r="158" spans="1:23" ht="16.5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68" t="s">
        <v>205</v>
      </c>
      <c r="S158" s="668" t="s">
        <v>204</v>
      </c>
      <c r="T158" s="44" t="s">
        <v>205</v>
      </c>
      <c r="U158" s="44" t="s">
        <v>204</v>
      </c>
    </row>
    <row r="159" spans="1:23" ht="16.5">
      <c r="A159" s="141" t="s">
        <v>42</v>
      </c>
      <c r="B159" s="670">
        <f>IF(Anx16AInd!$C$7&lt;0.25,Creditos!B72,Creditos!B67)</f>
        <v>11242711.024735129</v>
      </c>
      <c r="C159" s="670">
        <f>IF(Anx16AInd!$C$7&lt;0.25,Creditos!B120,Creditos!B115)</f>
        <v>114737.98299999999</v>
      </c>
      <c r="D159" s="670">
        <f>IF(Anx16AInd!$C$7&lt;0.25,Creditos!C72,Creditos!C67)</f>
        <v>6477572.4512022724</v>
      </c>
      <c r="E159" s="670">
        <f>IF(Anx16AInd!$C$7&lt;0.25,Creditos!C120,Creditos!C115)</f>
        <v>49973.504000000001</v>
      </c>
      <c r="F159" s="670">
        <f>IF(Anx16AInd!$C$7&lt;0.25,Creditos!D72,Creditos!D67)</f>
        <v>6751509.8653584896</v>
      </c>
      <c r="G159" s="670">
        <f>IF(Anx16AInd!$C$7&lt;0.25,Creditos!D120,Creditos!D115)</f>
        <v>62120.220999999998</v>
      </c>
      <c r="H159" s="670">
        <f>IF(Anx16AInd!$C$7&lt;0.25,Creditos!E72,Creditos!E67)</f>
        <v>6229738.904000001</v>
      </c>
      <c r="I159" s="670">
        <f>IF(Anx16AInd!$C$7&lt;0.25,Creditos!E120,Creditos!E115)</f>
        <v>77020.864000000001</v>
      </c>
      <c r="J159" s="670">
        <f>IF(Anx16AInd!$C$7&lt;0.25,Creditos!F72,Creditos!F67)</f>
        <v>5296995.4910000004</v>
      </c>
      <c r="K159" s="670">
        <f>IF(Anx16AInd!$C$7&lt;0.25,Creditos!F120,Creditos!F115)</f>
        <v>55679.610999999997</v>
      </c>
      <c r="L159" s="670">
        <f>IF(Anx16AInd!$C$7&lt;0.25,Creditos!G72,Creditos!G67)</f>
        <v>6669763.7100000009</v>
      </c>
      <c r="M159" s="670">
        <f>IF(Anx16AInd!$C$7&lt;0.25,Creditos!G120,Creditos!G115)</f>
        <v>25847.433000000005</v>
      </c>
      <c r="N159" s="670">
        <f>IF(Anx16AInd!$C$7&lt;0.25,Creditos!H72,Creditos!H67)</f>
        <v>11270420.976</v>
      </c>
      <c r="O159" s="670">
        <f>IF(Anx16AInd!$C$7&lt;0.25,Creditos!H120,Creditos!H115)</f>
        <v>94657.766000000003</v>
      </c>
      <c r="P159" s="670">
        <f>IF(Anx16AInd!$C$7&lt;0.25,Creditos!I72,Creditos!I67)</f>
        <v>30507642.364</v>
      </c>
      <c r="Q159" s="670">
        <f>IF(Anx16AInd!$C$7&lt;0.25,Creditos!I120,Creditos!I115)</f>
        <v>358190.72000000003</v>
      </c>
      <c r="R159" s="670">
        <f>IF(Anx16AInd!$C$7&lt;0.25,Creditos!J72,Creditos!J67)</f>
        <v>50356214.509999998</v>
      </c>
      <c r="S159" s="670">
        <f>IF(Anx16AInd!$C$7&lt;0.25,Creditos!J120,Creditos!J115)</f>
        <v>549990.51799999992</v>
      </c>
      <c r="T159" s="670">
        <f t="shared" ref="T159:U161" si="43">+B159+D159+F159+H159+J159+L159+N159+P159+R159</f>
        <v>134802569.29629588</v>
      </c>
      <c r="U159" s="670">
        <f t="shared" si="43"/>
        <v>1388218.6199999999</v>
      </c>
      <c r="V159" s="142"/>
      <c r="W159" s="142"/>
    </row>
    <row r="160" spans="1:23" ht="16.5">
      <c r="A160" s="141" t="s">
        <v>43</v>
      </c>
      <c r="B160" s="670">
        <f>IF(Anx16AInd!$C$7&lt;0.25,Creditos!B73,Creditos!B68)</f>
        <v>4877920.9853903595</v>
      </c>
      <c r="C160" s="670">
        <f>IF(Anx16AInd!$C$7&lt;0.25,Creditos!B121,Creditos!B116)</f>
        <v>111569.61</v>
      </c>
      <c r="D160" s="670">
        <f>IF(Anx16AInd!$C$7&lt;0.25,Creditos!C73,Creditos!C68)</f>
        <v>3541237.1846619165</v>
      </c>
      <c r="E160" s="670">
        <f>IF(Anx16AInd!$C$7&lt;0.25,Creditos!C121,Creditos!C116)</f>
        <v>37690.434999999998</v>
      </c>
      <c r="F160" s="670">
        <f>IF(Anx16AInd!$C$7&lt;0.25,Creditos!D73,Creditos!D68)</f>
        <v>3924463.7242715564</v>
      </c>
      <c r="G160" s="670">
        <f>IF(Anx16AInd!$C$7&lt;0.25,Creditos!D121,Creditos!D116)</f>
        <v>31892.915000000001</v>
      </c>
      <c r="H160" s="670">
        <f>IF(Anx16AInd!$C$7&lt;0.25,Creditos!E73,Creditos!E68)</f>
        <v>4243426.37</v>
      </c>
      <c r="I160" s="670">
        <f>IF(Anx16AInd!$C$7&lt;0.25,Creditos!E121,Creditos!E116)</f>
        <v>6604.6049999999996</v>
      </c>
      <c r="J160" s="670">
        <f>IF(Anx16AInd!$C$7&lt;0.25,Creditos!F73,Creditos!F68)</f>
        <v>4085776.6150000002</v>
      </c>
      <c r="K160" s="670">
        <f>IF(Anx16AInd!$C$7&lt;0.25,Creditos!F121,Creditos!F116)</f>
        <v>22427.97</v>
      </c>
      <c r="L160" s="670">
        <f>IF(Anx16AInd!$C$7&lt;0.25,Creditos!G73,Creditos!G68)</f>
        <v>7445640.6300000008</v>
      </c>
      <c r="M160" s="670">
        <f>IF(Anx16AInd!$C$7&lt;0.25,Creditos!G121,Creditos!G116)</f>
        <v>17622.505000000001</v>
      </c>
      <c r="N160" s="670">
        <f>IF(Anx16AInd!$C$7&lt;0.25,Creditos!H73,Creditos!H68)</f>
        <v>10515974.08</v>
      </c>
      <c r="O160" s="670">
        <f>IF(Anx16AInd!$C$7&lt;0.25,Creditos!H121,Creditos!H116)</f>
        <v>6851.6750000000002</v>
      </c>
      <c r="P160" s="670">
        <f>IF(Anx16AInd!$C$7&lt;0.25,Creditos!I73,Creditos!I68)</f>
        <v>19354281.370000001</v>
      </c>
      <c r="Q160" s="670">
        <f>IF(Anx16AInd!$C$7&lt;0.25,Creditos!I121,Creditos!I116)</f>
        <v>70345.625</v>
      </c>
      <c r="R160" s="670">
        <f>IF(Anx16AInd!$C$7&lt;0.25,Creditos!J73,Creditos!J68)</f>
        <v>14189977.98</v>
      </c>
      <c r="S160" s="670">
        <f>IF(Anx16AInd!$C$7&lt;0.25,Creditos!J121,Creditos!J116)</f>
        <v>65293.09</v>
      </c>
      <c r="T160" s="670">
        <f t="shared" si="43"/>
        <v>72178698.939323843</v>
      </c>
      <c r="U160" s="670">
        <f t="shared" si="43"/>
        <v>370298.42999999993</v>
      </c>
      <c r="V160" s="142"/>
      <c r="W160" s="142"/>
    </row>
    <row r="161" spans="1:23" ht="16.5">
      <c r="A161" s="141" t="s">
        <v>68</v>
      </c>
      <c r="B161" s="670">
        <f>IF(Anx16AInd!$C$7&lt;0.25,Creditos!B74,Creditos!B69)</f>
        <v>2805448.7303142878</v>
      </c>
      <c r="C161" s="670">
        <f>IF(Anx16AInd!$C$7&lt;0.25,Creditos!B122,Creditos!B117)</f>
        <v>59144.284999999989</v>
      </c>
      <c r="D161" s="670">
        <f>IF(Anx16AInd!$C$7&lt;0.25,Creditos!C74,Creditos!C69)</f>
        <v>1068980.871560181</v>
      </c>
      <c r="E161" s="670">
        <f>IF(Anx16AInd!$C$7&lt;0.25,Creditos!C122,Creditos!C117)</f>
        <v>52025.329999999994</v>
      </c>
      <c r="F161" s="670">
        <f>IF(Anx16AInd!$C$7&lt;0.25,Creditos!D74,Creditos!D69)</f>
        <v>1585206.006245893</v>
      </c>
      <c r="G161" s="670">
        <f>IF(Anx16AInd!$C$7&lt;0.25,Creditos!D122,Creditos!D117)</f>
        <v>1345.095</v>
      </c>
      <c r="H161" s="670">
        <f>IF(Anx16AInd!$C$7&lt;0.25,Creditos!E74,Creditos!E69)</f>
        <v>3832208.9350000001</v>
      </c>
      <c r="I161" s="670">
        <f>IF(Anx16AInd!$C$7&lt;0.25,Creditos!E122,Creditos!E117)</f>
        <v>0</v>
      </c>
      <c r="J161" s="670">
        <f>IF(Anx16AInd!$C$7&lt;0.25,Creditos!F74,Creditos!F69)</f>
        <v>3554900.49</v>
      </c>
      <c r="K161" s="670">
        <f>IF(Anx16AInd!$C$7&lt;0.25,Creditos!F122,Creditos!F117)</f>
        <v>6656.2849999999999</v>
      </c>
      <c r="L161" s="670">
        <f>IF(Anx16AInd!$C$7&lt;0.25,Creditos!G74,Creditos!G69)</f>
        <v>1149209.0899999999</v>
      </c>
      <c r="M161" s="670">
        <f>IF(Anx16AInd!$C$7&lt;0.25,Creditos!G122,Creditos!G117)</f>
        <v>11287.575000000001</v>
      </c>
      <c r="N161" s="670">
        <f>IF(Anx16AInd!$C$7&lt;0.25,Creditos!H74,Creditos!H69)</f>
        <v>5260004.9399999995</v>
      </c>
      <c r="O161" s="670">
        <f>IF(Anx16AInd!$C$7&lt;0.25,Creditos!H122,Creditos!H117)</f>
        <v>47125.590000000004</v>
      </c>
      <c r="P161" s="670">
        <f>IF(Anx16AInd!$C$7&lt;0.25,Creditos!I74,Creditos!I69)</f>
        <v>9689654.5150000006</v>
      </c>
      <c r="Q161" s="670">
        <f>IF(Anx16AInd!$C$7&lt;0.25,Creditos!I122,Creditos!I117)</f>
        <v>422067.25499999995</v>
      </c>
      <c r="R161" s="670">
        <f>IF(Anx16AInd!$C$7&lt;0.25,Creditos!J74,Creditos!J69)</f>
        <v>5078858.665</v>
      </c>
      <c r="S161" s="670">
        <f>IF(Anx16AInd!$C$7&lt;0.25,Creditos!J122,Creditos!J117)</f>
        <v>379572.95499999996</v>
      </c>
      <c r="T161" s="670">
        <f t="shared" si="43"/>
        <v>34024472.243120365</v>
      </c>
      <c r="U161" s="670">
        <f t="shared" si="43"/>
        <v>979224.36999999988</v>
      </c>
      <c r="V161" s="142"/>
      <c r="W161" s="142"/>
    </row>
    <row r="164" spans="1:23" ht="16.5">
      <c r="B164" s="858" t="s">
        <v>12</v>
      </c>
      <c r="C164" s="859"/>
      <c r="D164" s="858" t="s">
        <v>13</v>
      </c>
      <c r="E164" s="859"/>
      <c r="F164" s="858" t="s">
        <v>14</v>
      </c>
      <c r="G164" s="859"/>
      <c r="H164" s="858" t="s">
        <v>15</v>
      </c>
      <c r="I164" s="859"/>
      <c r="J164" s="858" t="s">
        <v>16</v>
      </c>
      <c r="K164" s="859"/>
      <c r="L164" s="858" t="s">
        <v>17</v>
      </c>
      <c r="M164" s="859"/>
      <c r="N164" s="858" t="s">
        <v>223</v>
      </c>
      <c r="O164" s="859"/>
      <c r="P164" s="858" t="s">
        <v>222</v>
      </c>
      <c r="Q164" s="859"/>
      <c r="R164" s="875" t="s">
        <v>221</v>
      </c>
      <c r="S164" s="876"/>
      <c r="T164" s="858" t="s">
        <v>20</v>
      </c>
      <c r="U164" s="859"/>
    </row>
    <row r="165" spans="1:23" ht="16.5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68" t="s">
        <v>205</v>
      </c>
      <c r="S165" s="668" t="s">
        <v>204</v>
      </c>
      <c r="T165" s="44" t="s">
        <v>205</v>
      </c>
      <c r="U165" s="44" t="s">
        <v>204</v>
      </c>
    </row>
    <row r="166" spans="1:23" ht="16.5">
      <c r="A166" s="141" t="s">
        <v>220</v>
      </c>
      <c r="B166" s="670">
        <f>IF(Anx16AInd!$C$7&lt;0.25,Creditos!B88,Creditos!B83)</f>
        <v>5443996.8833619971</v>
      </c>
      <c r="C166" s="670">
        <f>IF(Anx16AInd!$C$7&lt;0.25,Creditos!B136,Creditos!B131)</f>
        <v>57234.317000000003</v>
      </c>
      <c r="D166" s="670">
        <f>IF(Anx16AInd!$C$7&lt;0.25,Creditos!C88,Creditos!C83)</f>
        <v>1865732.1605653362</v>
      </c>
      <c r="E166" s="670">
        <f>IF(Anx16AInd!$C$7&lt;0.25,Creditos!C136,Creditos!C131)</f>
        <v>19614.985000000001</v>
      </c>
      <c r="F166" s="670">
        <f>IF(Anx16AInd!$C$7&lt;0.25,Creditos!D88,Creditos!D83)</f>
        <v>1077338.9574593562</v>
      </c>
      <c r="G166" s="670">
        <f>IF(Anx16AInd!$C$7&lt;0.25,Creditos!D136,Creditos!D131)</f>
        <v>11326.378000000001</v>
      </c>
      <c r="H166" s="670">
        <f>IF(Anx16AInd!$C$7&lt;0.25,Creditos!E88,Creditos!E83)</f>
        <v>0</v>
      </c>
      <c r="I166" s="670">
        <f>IF(Anx16AInd!$C$7&lt;0.25,Creditos!E136,Creditos!E131)</f>
        <v>0</v>
      </c>
      <c r="J166" s="670">
        <f>IF(Anx16AInd!$C$7&lt;0.25,Creditos!F88,Creditos!F83)</f>
        <v>0</v>
      </c>
      <c r="K166" s="670">
        <f>IF(Anx16AInd!$C$7&lt;0.25,Creditos!F136,Creditos!F131)</f>
        <v>0</v>
      </c>
      <c r="L166" s="670">
        <f>IF(Anx16AInd!$C$7&lt;0.25,Creditos!G88,Creditos!G83)</f>
        <v>0</v>
      </c>
      <c r="M166" s="670">
        <f>IF(Anx16AInd!$C$7&lt;0.25,Creditos!G136,Creditos!G131)</f>
        <v>0</v>
      </c>
      <c r="N166" s="670">
        <f>IF(Anx16AInd!$C$7&lt;0.25,Creditos!H88,Creditos!H83)</f>
        <v>0</v>
      </c>
      <c r="O166" s="670">
        <f>IF(Anx16AInd!$C$7&lt;0.25,Creditos!H136,Creditos!H131)</f>
        <v>0</v>
      </c>
      <c r="P166" s="670">
        <f>IF(Anx16AInd!$C$7&lt;0.25,Creditos!I88,Creditos!I83)</f>
        <v>10453152.708000001</v>
      </c>
      <c r="Q166" s="670">
        <f>IF(Anx16AInd!$C$7&lt;0.25,Creditos!I136,Creditos!I131)</f>
        <v>112567.12200000002</v>
      </c>
      <c r="R166" s="670">
        <f>IF(Anx16AInd!$C$7&lt;0.25,Creditos!J88,Creditos!J83)</f>
        <v>24390689.651999999</v>
      </c>
      <c r="S166" s="670">
        <f>IF(Anx16AInd!$C$7&lt;0.25,Creditos!J136,Creditos!J131)</f>
        <v>262656.61799999996</v>
      </c>
      <c r="T166" s="670">
        <f t="shared" ref="T166:U168" si="44">+B166+D166+F166+H166+J166+L166+N166+P166+R166</f>
        <v>43230910.361386687</v>
      </c>
      <c r="U166" s="670">
        <f t="shared" si="44"/>
        <v>463399.42</v>
      </c>
      <c r="V166" s="143"/>
      <c r="W166" s="142"/>
    </row>
    <row r="167" spans="1:23" ht="16.5">
      <c r="A167" s="141" t="s">
        <v>219</v>
      </c>
      <c r="B167" s="670">
        <f>IF(Anx16AInd!$C$7&lt;0.25,Creditos!B89,Creditos!B84)</f>
        <v>2338138.2412238466</v>
      </c>
      <c r="C167" s="670">
        <f>IF(Anx16AInd!$C$7&lt;0.25,Creditos!B137,Creditos!B132)</f>
        <v>18325.86</v>
      </c>
      <c r="D167" s="670">
        <f>IF(Anx16AInd!$C$7&lt;0.25,Creditos!C89,Creditos!C84)</f>
        <v>708982.84072026343</v>
      </c>
      <c r="E167" s="670">
        <f>IF(Anx16AInd!$C$7&lt;0.25,Creditos!C137,Creditos!C132)</f>
        <v>5556.8649999999998</v>
      </c>
      <c r="F167" s="670">
        <f>IF(Anx16AInd!$C$7&lt;0.25,Creditos!D89,Creditos!D84)</f>
        <v>307821.73949641682</v>
      </c>
      <c r="G167" s="670">
        <f>IF(Anx16AInd!$C$7&lt;0.25,Creditos!D137,Creditos!D132)</f>
        <v>2412.645</v>
      </c>
      <c r="H167" s="670">
        <f>IF(Anx16AInd!$C$7&lt;0.25,Creditos!E89,Creditos!E84)</f>
        <v>0</v>
      </c>
      <c r="I167" s="670">
        <f>IF(Anx16AInd!$C$7&lt;0.25,Creditos!E137,Creditos!E132)</f>
        <v>0</v>
      </c>
      <c r="J167" s="670">
        <f>IF(Anx16AInd!$C$7&lt;0.25,Creditos!F89,Creditos!F84)</f>
        <v>0</v>
      </c>
      <c r="K167" s="670">
        <f>IF(Anx16AInd!$C$7&lt;0.25,Creditos!F137,Creditos!F132)</f>
        <v>0</v>
      </c>
      <c r="L167" s="670">
        <f>IF(Anx16AInd!$C$7&lt;0.25,Creditos!G89,Creditos!G84)</f>
        <v>0</v>
      </c>
      <c r="M167" s="670">
        <f>IF(Anx16AInd!$C$7&lt;0.25,Creditos!G137,Creditos!G132)</f>
        <v>0</v>
      </c>
      <c r="N167" s="670">
        <f>IF(Anx16AInd!$C$7&lt;0.25,Creditos!H89,Creditos!H84)</f>
        <v>0</v>
      </c>
      <c r="O167" s="670">
        <f>IF(Anx16AInd!$C$7&lt;0.25,Creditos!H137,Creditos!H132)</f>
        <v>0</v>
      </c>
      <c r="P167" s="670">
        <f>IF(Anx16AInd!$C$7&lt;0.25,Creditos!I89,Creditos!I84)</f>
        <v>6969008.6550000003</v>
      </c>
      <c r="Q167" s="670">
        <f>IF(Anx16AInd!$C$7&lt;0.25,Creditos!I137,Creditos!I132)</f>
        <v>55948.824999999997</v>
      </c>
      <c r="R167" s="670">
        <f>IF(Anx16AInd!$C$7&lt;0.25,Creditos!J89,Creditos!J84)</f>
        <v>6969008.6550000003</v>
      </c>
      <c r="S167" s="670">
        <f>IF(Anx16AInd!$C$7&lt;0.25,Creditos!J137,Creditos!J132)</f>
        <v>55948.824999999997</v>
      </c>
      <c r="T167" s="670">
        <f t="shared" si="44"/>
        <v>17292960.131440528</v>
      </c>
      <c r="U167" s="670">
        <f t="shared" si="44"/>
        <v>138193.01999999999</v>
      </c>
      <c r="V167" s="143"/>
      <c r="W167" s="142"/>
    </row>
    <row r="168" spans="1:23" ht="16.5">
      <c r="A168" s="141" t="s">
        <v>218</v>
      </c>
      <c r="B168" s="670">
        <f>IF(Anx16AInd!$C$7&lt;0.25,Creditos!B90,Creditos!B85)</f>
        <v>541428.8556751631</v>
      </c>
      <c r="C168" s="670">
        <f>IF(Anx16AInd!$C$7&lt;0.25,Creditos!B138,Creditos!B133)</f>
        <v>49233.855000000003</v>
      </c>
      <c r="D168" s="670">
        <f>IF(Anx16AInd!$C$7&lt;0.25,Creditos!C90,Creditos!C85)</f>
        <v>164174.9669146805</v>
      </c>
      <c r="E168" s="670">
        <f>IF(Anx16AInd!$C$7&lt;0.25,Creditos!C138,Creditos!C133)</f>
        <v>14928.955</v>
      </c>
      <c r="F168" s="670">
        <f>IF(Anx16AInd!$C$7&lt;0.25,Creditos!D90,Creditos!D85)</f>
        <v>71280.461239517346</v>
      </c>
      <c r="G168" s="670">
        <f>IF(Anx16AInd!$C$7&lt;0.25,Creditos!D138,Creditos!D133)</f>
        <v>6481.76</v>
      </c>
      <c r="H168" s="670">
        <f>IF(Anx16AInd!$C$7&lt;0.25,Creditos!E90,Creditos!E85)</f>
        <v>0</v>
      </c>
      <c r="I168" s="670">
        <f>IF(Anx16AInd!$C$7&lt;0.25,Creditos!E138,Creditos!E133)</f>
        <v>0</v>
      </c>
      <c r="J168" s="670">
        <f>IF(Anx16AInd!$C$7&lt;0.25,Creditos!F90,Creditos!F85)</f>
        <v>0</v>
      </c>
      <c r="K168" s="670">
        <f>IF(Anx16AInd!$C$7&lt;0.25,Creditos!F138,Creditos!F133)</f>
        <v>0</v>
      </c>
      <c r="L168" s="670">
        <f>IF(Anx16AInd!$C$7&lt;0.25,Creditos!G90,Creditos!G85)</f>
        <v>0</v>
      </c>
      <c r="M168" s="670">
        <f>IF(Anx16AInd!$C$7&lt;0.25,Creditos!G138,Creditos!G133)</f>
        <v>0</v>
      </c>
      <c r="N168" s="670">
        <f>IF(Anx16AInd!$C$7&lt;0.25,Creditos!H90,Creditos!H85)</f>
        <v>0</v>
      </c>
      <c r="O168" s="670">
        <f>IF(Anx16AInd!$C$7&lt;0.25,Creditos!H138,Creditos!H133)</f>
        <v>0</v>
      </c>
      <c r="P168" s="670">
        <f>IF(Anx16AInd!$C$7&lt;0.25,Creditos!I90,Creditos!I85)</f>
        <v>1613772.155</v>
      </c>
      <c r="Q168" s="670">
        <f>IF(Anx16AInd!$C$7&lt;0.25,Creditos!I138,Creditos!I133)</f>
        <v>150310.83499999999</v>
      </c>
      <c r="R168" s="670">
        <f>IF(Anx16AInd!$C$7&lt;0.25,Creditos!J90,Creditos!J85)</f>
        <v>1613772.155</v>
      </c>
      <c r="S168" s="670">
        <f>IF(Anx16AInd!$C$7&lt;0.25,Creditos!J138,Creditos!J133)</f>
        <v>150310.83499999999</v>
      </c>
      <c r="T168" s="670">
        <f t="shared" si="44"/>
        <v>4004428.5938293608</v>
      </c>
      <c r="U168" s="670">
        <f t="shared" si="44"/>
        <v>371266.24</v>
      </c>
      <c r="V168" s="143"/>
      <c r="W168" s="142"/>
    </row>
    <row r="171" spans="1:23" ht="16.5">
      <c r="B171" s="858" t="s">
        <v>12</v>
      </c>
      <c r="C171" s="859"/>
      <c r="D171" s="858" t="s">
        <v>13</v>
      </c>
      <c r="E171" s="859"/>
      <c r="F171" s="858" t="s">
        <v>14</v>
      </c>
      <c r="G171" s="859"/>
      <c r="H171" s="858" t="s">
        <v>15</v>
      </c>
      <c r="I171" s="859"/>
      <c r="J171" s="858" t="s">
        <v>16</v>
      </c>
      <c r="K171" s="859"/>
      <c r="L171" s="858" t="s">
        <v>17</v>
      </c>
      <c r="M171" s="859"/>
      <c r="N171" s="858" t="s">
        <v>223</v>
      </c>
      <c r="O171" s="859"/>
      <c r="P171" s="858" t="s">
        <v>222</v>
      </c>
      <c r="Q171" s="859"/>
      <c r="R171" s="875" t="s">
        <v>221</v>
      </c>
      <c r="S171" s="876"/>
      <c r="T171" s="858" t="s">
        <v>20</v>
      </c>
      <c r="U171" s="859"/>
    </row>
    <row r="172" spans="1:23" ht="16.5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68" t="s">
        <v>205</v>
      </c>
      <c r="S172" s="668" t="s">
        <v>204</v>
      </c>
      <c r="T172" s="44" t="s">
        <v>205</v>
      </c>
      <c r="U172" s="44" t="s">
        <v>204</v>
      </c>
    </row>
    <row r="173" spans="1:23" ht="16.5">
      <c r="A173" s="141" t="s">
        <v>217</v>
      </c>
      <c r="B173" s="670">
        <f>IF(Anx16AInd!$C$7&lt;0.25,Creditos!B104,Creditos!B99)</f>
        <v>137544.45000000001</v>
      </c>
      <c r="C173" s="670">
        <f>IF(Anx16AInd!$C$7&lt;0.25,Creditos!B152,Creditos!B147)</f>
        <v>83.736000000000004</v>
      </c>
      <c r="D173" s="670">
        <f>IF(Anx16AInd!$C$7&lt;0.25,Creditos!C104,Creditos!C99)</f>
        <v>0</v>
      </c>
      <c r="E173" s="670">
        <f>IF(Anx16AInd!$C$7&lt;0.25,Creditos!C152,Creditos!C147)</f>
        <v>29.623999999999999</v>
      </c>
      <c r="F173" s="670">
        <f>IF(Anx16AInd!$C$7&lt;0.25,Creditos!D104,Creditos!D99)</f>
        <v>0</v>
      </c>
      <c r="G173" s="670">
        <f>IF(Anx16AInd!$C$7&lt;0.25,Creditos!D152,Creditos!D147)</f>
        <v>0</v>
      </c>
      <c r="H173" s="670">
        <f>IF(Anx16AInd!$C$7&lt;0.25,Creditos!E104,Creditos!E99)</f>
        <v>0</v>
      </c>
      <c r="I173" s="670">
        <f>IF(Anx16AInd!$C$7&lt;0.25,Creditos!E152,Creditos!E147)</f>
        <v>0</v>
      </c>
      <c r="J173" s="670">
        <f>IF(Anx16AInd!$C$7&lt;0.25,Creditos!F104,Creditos!F99)</f>
        <v>0</v>
      </c>
      <c r="K173" s="670">
        <f>IF(Anx16AInd!$C$7&lt;0.25,Creditos!F152,Creditos!F147)</f>
        <v>0</v>
      </c>
      <c r="L173" s="670">
        <f>IF(Anx16AInd!$C$7&lt;0.25,Creditos!G104,Creditos!G99)</f>
        <v>0</v>
      </c>
      <c r="M173" s="670">
        <f>IF(Anx16AInd!$C$7&lt;0.25,Creditos!G152,Creditos!G147)</f>
        <v>0</v>
      </c>
      <c r="N173" s="670">
        <f>IF(Anx16AInd!$C$7&lt;0.25,Creditos!H104,Creditos!H99)</f>
        <v>0</v>
      </c>
      <c r="O173" s="670">
        <f>IF(Anx16AInd!$C$7&lt;0.25,Creditos!H152,Creditos!H147)</f>
        <v>0</v>
      </c>
      <c r="P173" s="670">
        <f>IF(Anx16AInd!$C$7&lt;0.25,Creditos!I104,Creditos!I99)</f>
        <v>0</v>
      </c>
      <c r="Q173" s="670">
        <f>IF(Anx16AInd!$C$7&lt;0.25,Creditos!I152,Creditos!I147)</f>
        <v>0</v>
      </c>
      <c r="R173" s="670">
        <f>IF(Anx16AInd!$C$7&lt;0.25,Creditos!J104,Creditos!J99)</f>
        <v>0</v>
      </c>
      <c r="S173" s="670">
        <f>IF(Anx16AInd!$C$7&lt;0.25,Creditos!J152,Creditos!J147)</f>
        <v>0</v>
      </c>
      <c r="T173" s="670">
        <f t="shared" ref="T173:T175" si="45">+B173+D173+F173+H173+J173+L173+N173+P173+R173</f>
        <v>137544.45000000001</v>
      </c>
      <c r="U173" s="670">
        <f t="shared" ref="U173:U175" si="46">+C173+E173+G173+I173+K173+M173+O173+Q173+S173</f>
        <v>113.36</v>
      </c>
    </row>
    <row r="174" spans="1:23" ht="16.5">
      <c r="A174" s="141" t="s">
        <v>216</v>
      </c>
      <c r="B174" s="670">
        <f>IF(Anx16AInd!$C$7&lt;0.25,Creditos!B105,Creditos!B100)</f>
        <v>0</v>
      </c>
      <c r="C174" s="670">
        <f>IF(Anx16AInd!$C$7&lt;0.25,Creditos!B153,Creditos!B148)</f>
        <v>0</v>
      </c>
      <c r="D174" s="670">
        <f>IF(Anx16AInd!$C$7&lt;0.25,Creditos!C105,Creditos!C100)</f>
        <v>0</v>
      </c>
      <c r="E174" s="670">
        <f>IF(Anx16AInd!$C$7&lt;0.25,Creditos!C153,Creditos!C148)</f>
        <v>0</v>
      </c>
      <c r="F174" s="670">
        <f>IF(Anx16AInd!$C$7&lt;0.25,Creditos!D105,Creditos!D100)</f>
        <v>0</v>
      </c>
      <c r="G174" s="670">
        <f>IF(Anx16AInd!$C$7&lt;0.25,Creditos!D153,Creditos!D148)</f>
        <v>0</v>
      </c>
      <c r="H174" s="670">
        <f>IF(Anx16AInd!$C$7&lt;0.25,Creditos!E105,Creditos!E100)</f>
        <v>0</v>
      </c>
      <c r="I174" s="670">
        <f>IF(Anx16AInd!$C$7&lt;0.25,Creditos!E153,Creditos!E148)</f>
        <v>0</v>
      </c>
      <c r="J174" s="670">
        <f>IF(Anx16AInd!$C$7&lt;0.25,Creditos!F105,Creditos!F100)</f>
        <v>0</v>
      </c>
      <c r="K174" s="670">
        <f>IF(Anx16AInd!$C$7&lt;0.25,Creditos!F153,Creditos!F148)</f>
        <v>0</v>
      </c>
      <c r="L174" s="670">
        <f>IF(Anx16AInd!$C$7&lt;0.25,Creditos!G105,Creditos!G100)</f>
        <v>0</v>
      </c>
      <c r="M174" s="670">
        <f>IF(Anx16AInd!$C$7&lt;0.25,Creditos!G153,Creditos!G148)</f>
        <v>0</v>
      </c>
      <c r="N174" s="670">
        <f>IF(Anx16AInd!$C$7&lt;0.25,Creditos!H105,Creditos!H100)</f>
        <v>0</v>
      </c>
      <c r="O174" s="670">
        <f>IF(Anx16AInd!$C$7&lt;0.25,Creditos!H153,Creditos!H148)</f>
        <v>0</v>
      </c>
      <c r="P174" s="670">
        <f>IF(Anx16AInd!$C$7&lt;0.25,Creditos!I105,Creditos!I100)</f>
        <v>0</v>
      </c>
      <c r="Q174" s="670">
        <f>IF(Anx16AInd!$C$7&lt;0.25,Creditos!I153,Creditos!I148)</f>
        <v>0</v>
      </c>
      <c r="R174" s="670">
        <f>IF(Anx16AInd!$C$7&lt;0.25,Creditos!J105,Creditos!J100)</f>
        <v>0</v>
      </c>
      <c r="S174" s="670">
        <f>IF(Anx16AInd!$C$7&lt;0.25,Creditos!J153,Creditos!J148)</f>
        <v>0</v>
      </c>
      <c r="T174" s="670">
        <f t="shared" si="45"/>
        <v>0</v>
      </c>
      <c r="U174" s="670">
        <f t="shared" si="46"/>
        <v>0</v>
      </c>
    </row>
    <row r="175" spans="1:23" ht="16.5">
      <c r="A175" s="141" t="s">
        <v>215</v>
      </c>
      <c r="B175" s="670">
        <f>IF(Anx16AInd!$C$7&lt;0.25,Creditos!B106,Creditos!B101)</f>
        <v>0</v>
      </c>
      <c r="C175" s="670">
        <f>IF(Anx16AInd!$C$7&lt;0.25,Creditos!B154,Creditos!B149)</f>
        <v>0</v>
      </c>
      <c r="D175" s="670">
        <f>IF(Anx16AInd!$C$7&lt;0.25,Creditos!C106,Creditos!C101)</f>
        <v>0</v>
      </c>
      <c r="E175" s="670">
        <f>IF(Anx16AInd!$C$7&lt;0.25,Creditos!C154,Creditos!C149)</f>
        <v>0</v>
      </c>
      <c r="F175" s="670">
        <f>IF(Anx16AInd!$C$7&lt;0.25,Creditos!D106,Creditos!D101)</f>
        <v>0</v>
      </c>
      <c r="G175" s="670">
        <f>IF(Anx16AInd!$C$7&lt;0.25,Creditos!D154,Creditos!D149)</f>
        <v>0</v>
      </c>
      <c r="H175" s="670">
        <f>IF(Anx16AInd!$C$7&lt;0.25,Creditos!E106,Creditos!E101)</f>
        <v>0</v>
      </c>
      <c r="I175" s="670">
        <f>IF(Anx16AInd!$C$7&lt;0.25,Creditos!E154,Creditos!E149)</f>
        <v>0</v>
      </c>
      <c r="J175" s="670">
        <f>IF(Anx16AInd!$C$7&lt;0.25,Creditos!F106,Creditos!F101)</f>
        <v>0</v>
      </c>
      <c r="K175" s="670">
        <f>IF(Anx16AInd!$C$7&lt;0.25,Creditos!F154,Creditos!F149)</f>
        <v>0</v>
      </c>
      <c r="L175" s="670">
        <f>IF(Anx16AInd!$C$7&lt;0.25,Creditos!G106,Creditos!G101)</f>
        <v>0</v>
      </c>
      <c r="M175" s="670">
        <f>IF(Anx16AInd!$C$7&lt;0.25,Creditos!G154,Creditos!G149)</f>
        <v>0</v>
      </c>
      <c r="N175" s="670">
        <f>IF(Anx16AInd!$C$7&lt;0.25,Creditos!H106,Creditos!H101)</f>
        <v>0</v>
      </c>
      <c r="O175" s="670">
        <f>IF(Anx16AInd!$C$7&lt;0.25,Creditos!H154,Creditos!H149)</f>
        <v>0</v>
      </c>
      <c r="P175" s="670">
        <f>IF(Anx16AInd!$C$7&lt;0.25,Creditos!I106,Creditos!I101)</f>
        <v>0</v>
      </c>
      <c r="Q175" s="670">
        <f>IF(Anx16AInd!$C$7&lt;0.25,Creditos!I154,Creditos!I149)</f>
        <v>0</v>
      </c>
      <c r="R175" s="670">
        <f>IF(Anx16AInd!$C$7&lt;0.25,Creditos!J106,Creditos!J101)</f>
        <v>0</v>
      </c>
      <c r="S175" s="670">
        <f>IF(Anx16AInd!$C$7&lt;0.25,Creditos!J154,Creditos!J149)</f>
        <v>0</v>
      </c>
      <c r="T175" s="670">
        <f t="shared" si="45"/>
        <v>0</v>
      </c>
      <c r="U175" s="670">
        <f t="shared" si="46"/>
        <v>0</v>
      </c>
    </row>
  </sheetData>
  <mergeCells count="50">
    <mergeCell ref="N164:O164"/>
    <mergeCell ref="L164:M164"/>
    <mergeCell ref="B157:C157"/>
    <mergeCell ref="D157:E157"/>
    <mergeCell ref="J157:K157"/>
    <mergeCell ref="L157:M157"/>
    <mergeCell ref="P17:Q17"/>
    <mergeCell ref="R17:S17"/>
    <mergeCell ref="T25:U25"/>
    <mergeCell ref="B171:C171"/>
    <mergeCell ref="N157:O157"/>
    <mergeCell ref="D171:E171"/>
    <mergeCell ref="F171:G171"/>
    <mergeCell ref="H171:I171"/>
    <mergeCell ref="P157:Q157"/>
    <mergeCell ref="R157:S157"/>
    <mergeCell ref="T157:U157"/>
    <mergeCell ref="B164:C164"/>
    <mergeCell ref="D164:E164"/>
    <mergeCell ref="F164:G164"/>
    <mergeCell ref="H164:I164"/>
    <mergeCell ref="J164:K164"/>
    <mergeCell ref="L25:M25"/>
    <mergeCell ref="B17:C17"/>
    <mergeCell ref="D17:E17"/>
    <mergeCell ref="F17:G17"/>
    <mergeCell ref="H17:I17"/>
    <mergeCell ref="J17:K17"/>
    <mergeCell ref="L17:M17"/>
    <mergeCell ref="B25:C25"/>
    <mergeCell ref="D25:E25"/>
    <mergeCell ref="F25:G25"/>
    <mergeCell ref="H25:I25"/>
    <mergeCell ref="J25:K25"/>
    <mergeCell ref="N17:O17"/>
    <mergeCell ref="N25:O25"/>
    <mergeCell ref="T171:U171"/>
    <mergeCell ref="F157:G157"/>
    <mergeCell ref="H157:I157"/>
    <mergeCell ref="L171:M171"/>
    <mergeCell ref="N171:O171"/>
    <mergeCell ref="P171:Q171"/>
    <mergeCell ref="J171:K171"/>
    <mergeCell ref="P164:Q164"/>
    <mergeCell ref="R164:S164"/>
    <mergeCell ref="T164:U164"/>
    <mergeCell ref="R171:S171"/>
    <mergeCell ref="P25:Q25"/>
    <mergeCell ref="R25:S25"/>
    <mergeCell ref="T17:U1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A31989"/>
  </sheetPr>
  <dimension ref="A1:IV101"/>
  <sheetViews>
    <sheetView showGridLines="0" topLeftCell="A4" zoomScale="85" zoomScaleNormal="85" workbookViewId="0">
      <selection activeCell="B34" sqref="B34"/>
    </sheetView>
  </sheetViews>
  <sheetFormatPr baseColWidth="10" defaultRowHeight="15"/>
  <cols>
    <col min="1" max="1" width="20.7109375" style="441" customWidth="1"/>
    <col min="2" max="2" width="68.8554687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2" width="13.28515625" style="24" bestFit="1" customWidth="1"/>
    <col min="23" max="23" width="15.140625" style="24" customWidth="1"/>
    <col min="24" max="24" width="13.140625" style="24" customWidth="1"/>
    <col min="25" max="25" width="13.85546875" style="24" bestFit="1" customWidth="1"/>
    <col min="26" max="26" width="13.28515625" style="24" bestFit="1" customWidth="1"/>
    <col min="27" max="27" width="13" style="24" customWidth="1"/>
    <col min="28" max="28" width="11.85546875" style="24" bestFit="1" customWidth="1"/>
    <col min="29" max="16384" width="11.42578125" style="24"/>
  </cols>
  <sheetData>
    <row r="1" spans="1:256" ht="16.5">
      <c r="A1" s="853" t="s">
        <v>281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190" t="s">
        <v>282</v>
      </c>
      <c r="X1" s="462" t="str">
        <f>+Anx16AMN!R1</f>
        <v>28/02/2021</v>
      </c>
      <c r="Y1" s="160"/>
      <c r="Z1" s="247"/>
      <c r="AA1" s="463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0"/>
      <c r="DH1" s="160"/>
      <c r="DI1" s="160"/>
      <c r="DJ1" s="160"/>
      <c r="DK1" s="160"/>
      <c r="DL1" s="160"/>
      <c r="DM1" s="160"/>
      <c r="DN1" s="160"/>
      <c r="DO1" s="160"/>
      <c r="DP1" s="160"/>
      <c r="DQ1" s="160"/>
      <c r="DR1" s="160"/>
      <c r="DS1" s="160"/>
      <c r="DT1" s="160"/>
      <c r="DU1" s="160"/>
      <c r="DV1" s="160"/>
      <c r="DW1" s="160"/>
      <c r="DX1" s="160"/>
      <c r="DY1" s="160"/>
      <c r="DZ1" s="160"/>
      <c r="EA1" s="160"/>
      <c r="EB1" s="160"/>
      <c r="EC1" s="160"/>
      <c r="ED1" s="160"/>
      <c r="EE1" s="160"/>
      <c r="EF1" s="160"/>
      <c r="EG1" s="160"/>
      <c r="EH1" s="160"/>
      <c r="EI1" s="160"/>
      <c r="EJ1" s="160"/>
      <c r="EK1" s="160"/>
      <c r="EL1" s="160"/>
      <c r="EM1" s="160"/>
      <c r="EN1" s="160"/>
      <c r="EO1" s="160"/>
      <c r="EP1" s="160"/>
      <c r="EQ1" s="160"/>
      <c r="ER1" s="160"/>
      <c r="ES1" s="160"/>
      <c r="ET1" s="160"/>
      <c r="EU1" s="160"/>
      <c r="EV1" s="160"/>
      <c r="EW1" s="160"/>
      <c r="EX1" s="160"/>
      <c r="EY1" s="160"/>
      <c r="EZ1" s="160"/>
      <c r="FA1" s="160"/>
      <c r="FB1" s="160"/>
      <c r="FC1" s="160"/>
      <c r="FD1" s="160"/>
      <c r="FE1" s="160"/>
      <c r="FF1" s="160"/>
      <c r="FG1" s="160"/>
      <c r="FH1" s="160"/>
      <c r="FI1" s="160"/>
      <c r="FJ1" s="160"/>
      <c r="FK1" s="160"/>
      <c r="FL1" s="160"/>
      <c r="FM1" s="160"/>
      <c r="FN1" s="160"/>
      <c r="FO1" s="160"/>
      <c r="FP1" s="160"/>
      <c r="FQ1" s="160"/>
      <c r="FR1" s="160"/>
      <c r="FS1" s="160"/>
      <c r="FT1" s="160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  <c r="GO1" s="160"/>
      <c r="GP1" s="160"/>
      <c r="GQ1" s="160"/>
      <c r="GR1" s="160"/>
      <c r="GS1" s="160"/>
      <c r="GT1" s="160"/>
      <c r="GU1" s="160"/>
      <c r="GV1" s="160"/>
      <c r="GW1" s="160"/>
      <c r="GX1" s="160"/>
      <c r="GY1" s="160"/>
      <c r="GZ1" s="160"/>
      <c r="HA1" s="160"/>
      <c r="HB1" s="160"/>
      <c r="HC1" s="160"/>
      <c r="HD1" s="160"/>
      <c r="HE1" s="160"/>
      <c r="HF1" s="160"/>
      <c r="HG1" s="160"/>
      <c r="HH1" s="160"/>
      <c r="HI1" s="160"/>
      <c r="HJ1" s="160"/>
      <c r="HK1" s="160"/>
      <c r="HL1" s="160"/>
      <c r="HM1" s="160"/>
      <c r="HN1" s="160"/>
      <c r="HO1" s="160"/>
      <c r="HP1" s="160"/>
      <c r="HQ1" s="160"/>
      <c r="HR1" s="160"/>
      <c r="HS1" s="160"/>
      <c r="HT1" s="160"/>
      <c r="HU1" s="160"/>
      <c r="HV1" s="160"/>
      <c r="HW1" s="160"/>
      <c r="HX1" s="160"/>
      <c r="HY1" s="160"/>
      <c r="HZ1" s="160"/>
      <c r="IA1" s="160"/>
      <c r="IB1" s="160"/>
      <c r="IC1" s="160"/>
      <c r="ID1" s="160"/>
      <c r="IE1" s="160"/>
      <c r="IF1" s="160"/>
      <c r="IG1" s="160"/>
      <c r="IH1" s="160"/>
      <c r="II1" s="160"/>
      <c r="IJ1" s="160"/>
      <c r="IK1" s="160"/>
      <c r="IL1" s="160"/>
      <c r="IM1" s="160"/>
      <c r="IN1" s="160"/>
      <c r="IO1" s="160"/>
      <c r="IP1" s="160"/>
      <c r="IQ1" s="160"/>
      <c r="IR1" s="160"/>
      <c r="IS1" s="160"/>
      <c r="IT1" s="160"/>
      <c r="IU1" s="160"/>
      <c r="IV1" s="160"/>
    </row>
    <row r="2" spans="1:256" ht="16.5">
      <c r="A2" s="853" t="s">
        <v>365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192" t="s">
        <v>283</v>
      </c>
      <c r="X2" s="425">
        <f>+Anx16AMN!R2</f>
        <v>92459563.390000001</v>
      </c>
      <c r="Y2" s="160"/>
      <c r="Z2" s="192"/>
      <c r="AA2" s="464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0"/>
      <c r="IG2" s="160"/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</row>
    <row r="3" spans="1:256" ht="16.5">
      <c r="A3" s="853" t="str">
        <f>+Anx16AMN!B4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189" t="s">
        <v>284</v>
      </c>
      <c r="X3" s="448">
        <f>+Anx16AMN!R3</f>
        <v>3.7570000000000001</v>
      </c>
      <c r="Y3" s="160"/>
      <c r="Z3" s="189"/>
      <c r="AA3" s="465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  <c r="EF3" s="160"/>
      <c r="EG3" s="160"/>
      <c r="EH3" s="160"/>
      <c r="EI3" s="160"/>
      <c r="EJ3" s="160"/>
      <c r="EK3" s="160"/>
      <c r="EL3" s="160"/>
      <c r="EM3" s="160"/>
      <c r="EN3" s="160"/>
      <c r="EO3" s="160"/>
      <c r="EP3" s="160"/>
      <c r="EQ3" s="160"/>
      <c r="ER3" s="160"/>
      <c r="ES3" s="160"/>
      <c r="ET3" s="160"/>
      <c r="EU3" s="160"/>
      <c r="EV3" s="160"/>
      <c r="EW3" s="160"/>
      <c r="EX3" s="160"/>
      <c r="EY3" s="160"/>
      <c r="EZ3" s="160"/>
      <c r="FA3" s="160"/>
      <c r="FB3" s="160"/>
      <c r="FC3" s="160"/>
      <c r="FD3" s="160"/>
      <c r="FE3" s="160"/>
      <c r="FF3" s="160"/>
      <c r="FG3" s="160"/>
      <c r="FH3" s="160"/>
      <c r="FI3" s="160"/>
      <c r="FJ3" s="160"/>
      <c r="FK3" s="160"/>
      <c r="FL3" s="160"/>
      <c r="FM3" s="160"/>
      <c r="FN3" s="160"/>
      <c r="FO3" s="160"/>
      <c r="FP3" s="160"/>
      <c r="FQ3" s="160"/>
      <c r="FR3" s="160"/>
      <c r="FS3" s="160"/>
      <c r="FT3" s="160"/>
      <c r="FU3" s="160"/>
      <c r="FV3" s="160"/>
      <c r="FW3" s="160"/>
      <c r="FX3" s="160"/>
      <c r="FY3" s="160"/>
      <c r="FZ3" s="160"/>
      <c r="GA3" s="160"/>
      <c r="GB3" s="160"/>
      <c r="GC3" s="160"/>
      <c r="GD3" s="160"/>
      <c r="GE3" s="160"/>
      <c r="GF3" s="160"/>
      <c r="GG3" s="160"/>
      <c r="GH3" s="160"/>
      <c r="GI3" s="160"/>
      <c r="GJ3" s="160"/>
      <c r="GK3" s="160"/>
      <c r="GL3" s="160"/>
      <c r="GM3" s="160"/>
      <c r="GN3" s="160"/>
      <c r="GO3" s="160"/>
      <c r="GP3" s="160"/>
      <c r="GQ3" s="160"/>
      <c r="GR3" s="160"/>
      <c r="GS3" s="160"/>
      <c r="GT3" s="160"/>
      <c r="GU3" s="160"/>
      <c r="GV3" s="160"/>
      <c r="GW3" s="160"/>
      <c r="GX3" s="160"/>
      <c r="GY3" s="160"/>
      <c r="GZ3" s="160"/>
      <c r="HA3" s="160"/>
      <c r="HB3" s="160"/>
      <c r="HC3" s="160"/>
      <c r="HD3" s="160"/>
      <c r="HE3" s="160"/>
      <c r="HF3" s="160"/>
      <c r="HG3" s="160"/>
      <c r="HH3" s="160"/>
      <c r="HI3" s="160"/>
      <c r="HJ3" s="160"/>
      <c r="HK3" s="160"/>
      <c r="HL3" s="160"/>
      <c r="HM3" s="160"/>
      <c r="HN3" s="160"/>
      <c r="HO3" s="160"/>
      <c r="HP3" s="160"/>
      <c r="HQ3" s="160"/>
      <c r="HR3" s="160"/>
      <c r="HS3" s="160"/>
      <c r="HT3" s="160"/>
      <c r="HU3" s="160"/>
      <c r="HV3" s="160"/>
      <c r="HW3" s="160"/>
      <c r="HX3" s="160"/>
      <c r="HY3" s="160"/>
      <c r="HZ3" s="160"/>
      <c r="IA3" s="160"/>
      <c r="IB3" s="160"/>
      <c r="IC3" s="160"/>
      <c r="ID3" s="160"/>
      <c r="IE3" s="160"/>
      <c r="IF3" s="160"/>
      <c r="IG3" s="160"/>
      <c r="IH3" s="160"/>
      <c r="II3" s="160"/>
      <c r="IJ3" s="160"/>
      <c r="IK3" s="160"/>
      <c r="IL3" s="160"/>
      <c r="IM3" s="160"/>
      <c r="IN3" s="160"/>
      <c r="IO3" s="160"/>
      <c r="IP3" s="160"/>
      <c r="IQ3" s="160"/>
      <c r="IR3" s="160"/>
      <c r="IS3" s="160"/>
      <c r="IT3" s="160"/>
      <c r="IU3" s="160"/>
      <c r="IV3" s="160"/>
    </row>
    <row r="4" spans="1:256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192" t="s">
        <v>285</v>
      </c>
      <c r="X4" s="425">
        <f>ROUND(X2/X3,2)</f>
        <v>24609945.010000002</v>
      </c>
      <c r="Y4" s="160"/>
      <c r="Z4" s="192"/>
      <c r="AA4" s="464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60"/>
      <c r="DH4" s="160"/>
      <c r="DI4" s="160"/>
      <c r="DJ4" s="160"/>
      <c r="DK4" s="160"/>
      <c r="DL4" s="160"/>
      <c r="DM4" s="160"/>
      <c r="DN4" s="160"/>
      <c r="DO4" s="160"/>
      <c r="DP4" s="160"/>
      <c r="DQ4" s="160"/>
      <c r="DR4" s="160"/>
      <c r="DS4" s="160"/>
      <c r="DT4" s="160"/>
      <c r="DU4" s="160"/>
      <c r="DV4" s="160"/>
      <c r="DW4" s="160"/>
      <c r="DX4" s="160"/>
      <c r="DY4" s="160"/>
      <c r="DZ4" s="160"/>
      <c r="EA4" s="160"/>
      <c r="EB4" s="160"/>
      <c r="EC4" s="160"/>
      <c r="ED4" s="160"/>
      <c r="EE4" s="160"/>
      <c r="EF4" s="160"/>
      <c r="EG4" s="160"/>
      <c r="EH4" s="160"/>
      <c r="EI4" s="160"/>
      <c r="EJ4" s="160"/>
      <c r="EK4" s="160"/>
      <c r="EL4" s="160"/>
      <c r="EM4" s="160"/>
      <c r="EN4" s="160"/>
      <c r="EO4" s="160"/>
      <c r="EP4" s="160"/>
      <c r="EQ4" s="160"/>
      <c r="ER4" s="160"/>
      <c r="ES4" s="160"/>
      <c r="ET4" s="160"/>
      <c r="EU4" s="160"/>
      <c r="EV4" s="160"/>
      <c r="EW4" s="160"/>
      <c r="EX4" s="160"/>
      <c r="EY4" s="160"/>
      <c r="EZ4" s="160"/>
      <c r="FA4" s="160"/>
      <c r="FB4" s="160"/>
      <c r="FC4" s="160"/>
      <c r="FD4" s="160"/>
      <c r="FE4" s="160"/>
      <c r="FF4" s="160"/>
      <c r="FG4" s="160"/>
      <c r="FH4" s="160"/>
      <c r="FI4" s="160"/>
      <c r="FJ4" s="160"/>
      <c r="FK4" s="160"/>
      <c r="FL4" s="160"/>
      <c r="FM4" s="160"/>
      <c r="FN4" s="160"/>
      <c r="FO4" s="160"/>
      <c r="FP4" s="160"/>
      <c r="FQ4" s="160"/>
      <c r="FR4" s="160"/>
      <c r="FS4" s="160"/>
      <c r="FT4" s="160"/>
      <c r="FU4" s="160"/>
      <c r="FV4" s="160"/>
      <c r="FW4" s="160"/>
      <c r="FX4" s="160"/>
      <c r="FY4" s="160"/>
      <c r="FZ4" s="160"/>
      <c r="GA4" s="160"/>
      <c r="GB4" s="160"/>
      <c r="GC4" s="160"/>
      <c r="GD4" s="160"/>
      <c r="GE4" s="160"/>
      <c r="GF4" s="160"/>
      <c r="GG4" s="160"/>
      <c r="GH4" s="160"/>
      <c r="GI4" s="160"/>
      <c r="GJ4" s="160"/>
      <c r="GK4" s="160"/>
      <c r="GL4" s="160"/>
      <c r="GM4" s="160"/>
      <c r="GN4" s="160"/>
      <c r="GO4" s="160"/>
      <c r="GP4" s="160"/>
      <c r="GQ4" s="160"/>
      <c r="GR4" s="160"/>
      <c r="GS4" s="160"/>
      <c r="GT4" s="160"/>
      <c r="GU4" s="160"/>
      <c r="GV4" s="160"/>
      <c r="GW4" s="160"/>
      <c r="GX4" s="160"/>
      <c r="GY4" s="160"/>
      <c r="GZ4" s="160"/>
      <c r="HA4" s="160"/>
      <c r="HB4" s="160"/>
      <c r="HC4" s="160"/>
      <c r="HD4" s="160"/>
      <c r="HE4" s="160"/>
      <c r="HF4" s="160"/>
      <c r="HG4" s="160"/>
      <c r="HH4" s="160"/>
      <c r="HI4" s="160"/>
      <c r="HJ4" s="160"/>
      <c r="HK4" s="160"/>
      <c r="HL4" s="160"/>
      <c r="HM4" s="160"/>
      <c r="HN4" s="160"/>
      <c r="HO4" s="160"/>
      <c r="HP4" s="160"/>
      <c r="HQ4" s="160"/>
      <c r="HR4" s="160"/>
      <c r="HS4" s="160"/>
      <c r="HT4" s="160"/>
      <c r="HU4" s="160"/>
      <c r="HV4" s="160"/>
      <c r="HW4" s="160"/>
      <c r="HX4" s="160"/>
      <c r="HY4" s="160"/>
      <c r="HZ4" s="160"/>
      <c r="IA4" s="160"/>
      <c r="IB4" s="160"/>
      <c r="IC4" s="160"/>
      <c r="ID4" s="160"/>
      <c r="IE4" s="160"/>
      <c r="IF4" s="160"/>
      <c r="IG4" s="160"/>
      <c r="IH4" s="160"/>
      <c r="II4" s="160"/>
      <c r="IJ4" s="160"/>
      <c r="IK4" s="160"/>
      <c r="IL4" s="160"/>
      <c r="IM4" s="160"/>
      <c r="IN4" s="160"/>
      <c r="IO4" s="160"/>
      <c r="IP4" s="160"/>
      <c r="IQ4" s="160"/>
      <c r="IR4" s="160"/>
      <c r="IS4" s="160"/>
      <c r="IT4" s="160"/>
      <c r="IU4" s="160"/>
      <c r="IV4" s="160"/>
    </row>
    <row r="5" spans="1:256" ht="16.5">
      <c r="A5" s="860" t="s">
        <v>366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  <c r="EM5" s="160"/>
      <c r="EN5" s="160"/>
      <c r="EO5" s="160"/>
      <c r="EP5" s="160"/>
      <c r="EQ5" s="160"/>
      <c r="ER5" s="160"/>
      <c r="ES5" s="160"/>
      <c r="ET5" s="160"/>
      <c r="EU5" s="160"/>
      <c r="EV5" s="160"/>
      <c r="EW5" s="160"/>
      <c r="EX5" s="160"/>
      <c r="EY5" s="160"/>
      <c r="EZ5" s="160"/>
      <c r="FA5" s="160"/>
      <c r="FB5" s="160"/>
      <c r="FC5" s="160"/>
      <c r="FD5" s="160"/>
      <c r="FE5" s="160"/>
      <c r="FF5" s="160"/>
      <c r="FG5" s="160"/>
      <c r="FH5" s="160"/>
      <c r="FI5" s="160"/>
      <c r="FJ5" s="160"/>
      <c r="FK5" s="160"/>
      <c r="FL5" s="160"/>
      <c r="FM5" s="160"/>
      <c r="FN5" s="160"/>
      <c r="FO5" s="160"/>
      <c r="FP5" s="160"/>
      <c r="FQ5" s="160"/>
      <c r="FR5" s="160"/>
      <c r="FS5" s="160"/>
      <c r="FT5" s="160"/>
      <c r="FU5" s="160"/>
      <c r="FV5" s="160"/>
      <c r="FW5" s="160"/>
      <c r="FX5" s="160"/>
      <c r="FY5" s="160"/>
      <c r="FZ5" s="160"/>
      <c r="GA5" s="160"/>
      <c r="GB5" s="160"/>
      <c r="GC5" s="160"/>
      <c r="GD5" s="160"/>
      <c r="GE5" s="160"/>
      <c r="GF5" s="160"/>
      <c r="GG5" s="160"/>
      <c r="GH5" s="160"/>
      <c r="GI5" s="160"/>
      <c r="GJ5" s="160"/>
      <c r="GK5" s="160"/>
      <c r="GL5" s="160"/>
      <c r="GM5" s="160"/>
      <c r="GN5" s="160"/>
      <c r="GO5" s="160"/>
      <c r="GP5" s="160"/>
      <c r="GQ5" s="160"/>
      <c r="GR5" s="160"/>
      <c r="GS5" s="160"/>
      <c r="GT5" s="160"/>
      <c r="GU5" s="160"/>
      <c r="GV5" s="160"/>
      <c r="GW5" s="160"/>
      <c r="GX5" s="160"/>
      <c r="GY5" s="160"/>
      <c r="GZ5" s="160"/>
      <c r="HA5" s="160"/>
      <c r="HB5" s="160"/>
      <c r="HC5" s="160"/>
      <c r="HD5" s="160"/>
      <c r="HE5" s="160"/>
      <c r="HF5" s="160"/>
      <c r="HG5" s="160"/>
      <c r="HH5" s="160"/>
      <c r="HI5" s="160"/>
      <c r="HJ5" s="160"/>
      <c r="HK5" s="160"/>
      <c r="HL5" s="160"/>
      <c r="HM5" s="160"/>
      <c r="HN5" s="160"/>
      <c r="HO5" s="160"/>
      <c r="HP5" s="160"/>
      <c r="HQ5" s="160"/>
      <c r="HR5" s="160"/>
      <c r="HS5" s="160"/>
      <c r="HT5" s="160"/>
      <c r="HU5" s="160"/>
      <c r="HV5" s="160"/>
      <c r="HW5" s="160"/>
      <c r="HX5" s="160"/>
      <c r="HY5" s="160"/>
      <c r="HZ5" s="160"/>
      <c r="IA5" s="160"/>
      <c r="IB5" s="160"/>
      <c r="IC5" s="160"/>
      <c r="ID5" s="160"/>
      <c r="IE5" s="160"/>
      <c r="IF5" s="160"/>
      <c r="IG5" s="160"/>
      <c r="IH5" s="160"/>
      <c r="II5" s="160"/>
      <c r="IJ5" s="160"/>
      <c r="IK5" s="160"/>
      <c r="IL5" s="160"/>
      <c r="IM5" s="160"/>
      <c r="IN5" s="160"/>
      <c r="IO5" s="160"/>
      <c r="IP5" s="160"/>
      <c r="IQ5" s="160"/>
      <c r="IR5" s="160"/>
      <c r="IS5" s="160"/>
      <c r="IT5" s="160"/>
      <c r="IU5" s="160"/>
      <c r="IV5" s="160"/>
    </row>
    <row r="6" spans="1:256" ht="16.5">
      <c r="A6" s="426"/>
      <c r="B6" s="18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0"/>
      <c r="DF6" s="160"/>
      <c r="DG6" s="160"/>
      <c r="DH6" s="160"/>
      <c r="DI6" s="160"/>
      <c r="DJ6" s="160"/>
      <c r="DK6" s="160"/>
      <c r="DL6" s="160"/>
      <c r="DM6" s="160"/>
      <c r="DN6" s="160"/>
      <c r="DO6" s="160"/>
      <c r="DP6" s="160"/>
      <c r="DQ6" s="160"/>
      <c r="DR6" s="160"/>
      <c r="DS6" s="160"/>
      <c r="DT6" s="160"/>
      <c r="DU6" s="160"/>
      <c r="DV6" s="160"/>
      <c r="DW6" s="160"/>
      <c r="DX6" s="160"/>
      <c r="DY6" s="160"/>
      <c r="DZ6" s="160"/>
      <c r="EA6" s="160"/>
      <c r="EB6" s="160"/>
      <c r="EC6" s="160"/>
      <c r="ED6" s="160"/>
      <c r="EE6" s="160"/>
      <c r="EF6" s="160"/>
      <c r="EG6" s="160"/>
      <c r="EH6" s="160"/>
      <c r="EI6" s="160"/>
      <c r="EJ6" s="160"/>
      <c r="EK6" s="160"/>
      <c r="EL6" s="160"/>
      <c r="EM6" s="160"/>
      <c r="EN6" s="160"/>
      <c r="EO6" s="160"/>
      <c r="EP6" s="160"/>
      <c r="EQ6" s="160"/>
      <c r="ER6" s="160"/>
      <c r="ES6" s="160"/>
      <c r="ET6" s="160"/>
      <c r="EU6" s="160"/>
      <c r="EV6" s="160"/>
      <c r="EW6" s="160"/>
      <c r="EX6" s="160"/>
      <c r="EY6" s="160"/>
      <c r="EZ6" s="160"/>
      <c r="FA6" s="160"/>
      <c r="FB6" s="160"/>
      <c r="FC6" s="160"/>
      <c r="FD6" s="160"/>
      <c r="FE6" s="160"/>
      <c r="FF6" s="160"/>
      <c r="FG6" s="160"/>
      <c r="FH6" s="160"/>
      <c r="FI6" s="160"/>
      <c r="FJ6" s="160"/>
      <c r="FK6" s="160"/>
      <c r="FL6" s="160"/>
      <c r="FM6" s="160"/>
      <c r="FN6" s="160"/>
      <c r="FO6" s="160"/>
      <c r="FP6" s="160"/>
      <c r="FQ6" s="160"/>
      <c r="FR6" s="160"/>
      <c r="FS6" s="160"/>
      <c r="FT6" s="160"/>
      <c r="FU6" s="160"/>
      <c r="FV6" s="160"/>
      <c r="FW6" s="160"/>
      <c r="FX6" s="160"/>
      <c r="FY6" s="160"/>
      <c r="FZ6" s="160"/>
      <c r="GA6" s="160"/>
      <c r="GB6" s="160"/>
      <c r="GC6" s="160"/>
      <c r="GD6" s="160"/>
      <c r="GE6" s="160"/>
      <c r="GF6" s="160"/>
      <c r="GG6" s="160"/>
      <c r="GH6" s="160"/>
      <c r="GI6" s="160"/>
      <c r="GJ6" s="160"/>
      <c r="GK6" s="160"/>
      <c r="GL6" s="160"/>
      <c r="GM6" s="160"/>
      <c r="GN6" s="160"/>
      <c r="GO6" s="160"/>
      <c r="GP6" s="160"/>
      <c r="GQ6" s="160"/>
      <c r="GR6" s="160"/>
      <c r="GS6" s="160"/>
      <c r="GT6" s="160"/>
      <c r="GU6" s="160"/>
      <c r="GV6" s="160"/>
      <c r="GW6" s="160"/>
      <c r="GX6" s="160"/>
      <c r="GY6" s="160"/>
      <c r="GZ6" s="160"/>
      <c r="HA6" s="160"/>
      <c r="HB6" s="160"/>
      <c r="HC6" s="160"/>
      <c r="HD6" s="160"/>
      <c r="HE6" s="160"/>
      <c r="HF6" s="160"/>
      <c r="HG6" s="160"/>
      <c r="HH6" s="160"/>
      <c r="HI6" s="160"/>
      <c r="HJ6" s="160"/>
      <c r="HK6" s="160"/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0"/>
      <c r="HW6" s="160"/>
      <c r="HX6" s="160"/>
      <c r="HY6" s="160"/>
      <c r="HZ6" s="160"/>
      <c r="IA6" s="160"/>
      <c r="IB6" s="160"/>
      <c r="IC6" s="160"/>
      <c r="ID6" s="160"/>
      <c r="IE6" s="160"/>
      <c r="IF6" s="160"/>
      <c r="IG6" s="160"/>
      <c r="IH6" s="160"/>
      <c r="II6" s="160"/>
      <c r="IJ6" s="160"/>
      <c r="IK6" s="160"/>
      <c r="IL6" s="160"/>
      <c r="IM6" s="160"/>
      <c r="IN6" s="160"/>
      <c r="IO6" s="160"/>
      <c r="IP6" s="160"/>
      <c r="IQ6" s="160"/>
      <c r="IR6" s="160"/>
      <c r="IS6" s="160"/>
      <c r="IT6" s="160"/>
      <c r="IU6" s="160"/>
      <c r="IV6" s="160"/>
    </row>
    <row r="7" spans="1:256" ht="16.5">
      <c r="A7" s="426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6.5">
      <c r="A8" s="427" t="s">
        <v>5</v>
      </c>
      <c r="B8" s="215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222</v>
      </c>
      <c r="R8" s="859"/>
      <c r="S8" s="858" t="s">
        <v>221</v>
      </c>
      <c r="T8" s="859"/>
      <c r="U8" s="858" t="s">
        <v>20</v>
      </c>
      <c r="V8" s="859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6.5">
      <c r="A9" s="426"/>
      <c r="B9" s="186"/>
      <c r="C9" s="215" t="s">
        <v>205</v>
      </c>
      <c r="D9" s="215" t="s">
        <v>204</v>
      </c>
      <c r="E9" s="215" t="s">
        <v>205</v>
      </c>
      <c r="F9" s="215" t="s">
        <v>204</v>
      </c>
      <c r="G9" s="215" t="s">
        <v>205</v>
      </c>
      <c r="H9" s="215" t="s">
        <v>204</v>
      </c>
      <c r="I9" s="215" t="s">
        <v>205</v>
      </c>
      <c r="J9" s="215" t="s">
        <v>204</v>
      </c>
      <c r="K9" s="215" t="s">
        <v>205</v>
      </c>
      <c r="L9" s="215" t="s">
        <v>204</v>
      </c>
      <c r="M9" s="215" t="s">
        <v>205</v>
      </c>
      <c r="N9" s="215" t="s">
        <v>204</v>
      </c>
      <c r="O9" s="215" t="s">
        <v>205</v>
      </c>
      <c r="P9" s="215" t="s">
        <v>204</v>
      </c>
      <c r="Q9" s="215" t="s">
        <v>205</v>
      </c>
      <c r="R9" s="215" t="s">
        <v>204</v>
      </c>
      <c r="S9" s="215" t="s">
        <v>205</v>
      </c>
      <c r="T9" s="215" t="s">
        <v>204</v>
      </c>
      <c r="U9" s="215" t="s">
        <v>205</v>
      </c>
      <c r="V9" s="215" t="s">
        <v>204</v>
      </c>
      <c r="W9" s="160" t="s">
        <v>297</v>
      </c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0"/>
      <c r="CV9" s="160"/>
      <c r="CW9" s="160"/>
      <c r="CX9" s="160"/>
      <c r="CY9" s="160"/>
      <c r="CZ9" s="160"/>
      <c r="DA9" s="160"/>
      <c r="DB9" s="160"/>
      <c r="DC9" s="160"/>
      <c r="DD9" s="160"/>
      <c r="DE9" s="160"/>
      <c r="DF9" s="160"/>
      <c r="DG9" s="160"/>
      <c r="DH9" s="160"/>
      <c r="DI9" s="160"/>
      <c r="DJ9" s="160"/>
      <c r="DK9" s="160"/>
      <c r="DL9" s="160"/>
      <c r="DM9" s="160"/>
      <c r="DN9" s="160"/>
      <c r="DO9" s="160"/>
      <c r="DP9" s="160"/>
      <c r="DQ9" s="160"/>
      <c r="DR9" s="160"/>
      <c r="DS9" s="160"/>
      <c r="DT9" s="160"/>
      <c r="DU9" s="160"/>
      <c r="DV9" s="160"/>
      <c r="DW9" s="160"/>
      <c r="DX9" s="160"/>
      <c r="DY9" s="160"/>
      <c r="DZ9" s="160"/>
      <c r="EA9" s="160"/>
      <c r="EB9" s="160"/>
      <c r="EC9" s="160"/>
      <c r="ED9" s="160"/>
      <c r="EE9" s="160"/>
      <c r="EF9" s="160"/>
      <c r="EG9" s="160"/>
      <c r="EH9" s="160"/>
      <c r="EI9" s="160"/>
      <c r="EJ9" s="160"/>
      <c r="EK9" s="160"/>
      <c r="EL9" s="160"/>
      <c r="EM9" s="160"/>
      <c r="EN9" s="160"/>
      <c r="EO9" s="160"/>
      <c r="EP9" s="160"/>
      <c r="EQ9" s="160"/>
      <c r="ER9" s="160"/>
      <c r="ES9" s="160"/>
      <c r="ET9" s="160"/>
      <c r="EU9" s="160"/>
      <c r="EV9" s="160"/>
      <c r="EW9" s="160"/>
      <c r="EX9" s="160"/>
      <c r="EY9" s="160"/>
      <c r="EZ9" s="160"/>
      <c r="FA9" s="160"/>
      <c r="FB9" s="160"/>
      <c r="FC9" s="160"/>
      <c r="FD9" s="160"/>
      <c r="FE9" s="160"/>
      <c r="FF9" s="160"/>
      <c r="FG9" s="160"/>
      <c r="FH9" s="160"/>
      <c r="FI9" s="160"/>
      <c r="FJ9" s="160"/>
      <c r="FK9" s="160"/>
      <c r="FL9" s="160"/>
      <c r="FM9" s="160"/>
      <c r="FN9" s="160"/>
      <c r="FO9" s="160"/>
      <c r="FP9" s="160"/>
      <c r="FQ9" s="160"/>
      <c r="FR9" s="160"/>
      <c r="FS9" s="160"/>
      <c r="FT9" s="160"/>
      <c r="FU9" s="160"/>
      <c r="FV9" s="160"/>
      <c r="FW9" s="160"/>
      <c r="FX9" s="160"/>
      <c r="FY9" s="160"/>
      <c r="FZ9" s="160"/>
      <c r="GA9" s="160"/>
      <c r="GB9" s="160"/>
      <c r="GC9" s="160"/>
      <c r="GD9" s="160"/>
      <c r="GE9" s="160"/>
      <c r="GF9" s="160"/>
      <c r="GG9" s="160"/>
      <c r="GH9" s="160"/>
      <c r="GI9" s="160"/>
      <c r="GJ9" s="160"/>
      <c r="GK9" s="160"/>
      <c r="GL9" s="160"/>
      <c r="GM9" s="160"/>
      <c r="GN9" s="160"/>
      <c r="GO9" s="160"/>
      <c r="GP9" s="160"/>
      <c r="GQ9" s="160"/>
      <c r="GR9" s="160"/>
      <c r="GS9" s="160"/>
      <c r="GT9" s="160"/>
      <c r="GU9" s="160"/>
      <c r="GV9" s="160"/>
      <c r="GW9" s="160"/>
      <c r="GX9" s="160"/>
      <c r="GY9" s="160"/>
      <c r="GZ9" s="160"/>
      <c r="HA9" s="160"/>
      <c r="HB9" s="160"/>
      <c r="HC9" s="160"/>
      <c r="HD9" s="160"/>
      <c r="HE9" s="160"/>
      <c r="HF9" s="160"/>
      <c r="HG9" s="160"/>
      <c r="HH9" s="160"/>
      <c r="HI9" s="160"/>
      <c r="HJ9" s="160"/>
      <c r="HK9" s="160"/>
      <c r="HL9" s="160"/>
      <c r="HM9" s="160"/>
      <c r="HN9" s="160"/>
      <c r="HO9" s="160"/>
      <c r="HP9" s="160"/>
      <c r="HQ9" s="160"/>
      <c r="HR9" s="160"/>
      <c r="HS9" s="160"/>
      <c r="HT9" s="160"/>
      <c r="HU9" s="160"/>
      <c r="HV9" s="160"/>
      <c r="HW9" s="160"/>
      <c r="HX9" s="160"/>
      <c r="HY9" s="160"/>
      <c r="HZ9" s="160"/>
      <c r="IA9" s="160"/>
      <c r="IB9" s="160"/>
      <c r="IC9" s="160"/>
      <c r="ID9" s="160"/>
      <c r="IE9" s="160"/>
      <c r="IF9" s="160"/>
      <c r="IG9" s="160"/>
      <c r="IH9" s="160"/>
      <c r="II9" s="160"/>
      <c r="IJ9" s="160"/>
      <c r="IK9" s="160"/>
      <c r="IL9" s="160"/>
      <c r="IM9" s="160"/>
      <c r="IN9" s="160"/>
      <c r="IO9" s="160"/>
      <c r="IP9" s="160"/>
      <c r="IQ9" s="160"/>
      <c r="IR9" s="160"/>
      <c r="IS9" s="160"/>
      <c r="IT9" s="160"/>
      <c r="IU9" s="160"/>
      <c r="IV9" s="160"/>
    </row>
    <row r="10" spans="1:256" ht="16.5">
      <c r="A10" s="426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3"/>
      <c r="X10" s="263"/>
      <c r="Y10" s="263"/>
      <c r="Z10" s="263"/>
      <c r="AA10" s="263"/>
      <c r="AB10" s="263"/>
      <c r="AC10" s="263"/>
      <c r="AD10" s="263"/>
      <c r="AE10" s="263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160"/>
      <c r="CY10" s="160"/>
      <c r="CZ10" s="160"/>
      <c r="DA10" s="160"/>
      <c r="DB10" s="160"/>
      <c r="DC10" s="160"/>
      <c r="DD10" s="160"/>
      <c r="DE10" s="160"/>
      <c r="DF10" s="160"/>
      <c r="DG10" s="160"/>
      <c r="DH10" s="160"/>
      <c r="DI10" s="160"/>
      <c r="DJ10" s="160"/>
      <c r="DK10" s="160"/>
      <c r="DL10" s="160"/>
      <c r="DM10" s="160"/>
      <c r="DN10" s="160"/>
      <c r="DO10" s="160"/>
      <c r="DP10" s="160"/>
      <c r="DQ10" s="160"/>
      <c r="DR10" s="160"/>
      <c r="DS10" s="160"/>
      <c r="DT10" s="160"/>
      <c r="DU10" s="160"/>
      <c r="DV10" s="160"/>
      <c r="DW10" s="160"/>
      <c r="DX10" s="160"/>
      <c r="DY10" s="160"/>
      <c r="DZ10" s="160"/>
      <c r="EA10" s="160"/>
      <c r="EB10" s="160"/>
      <c r="EC10" s="160"/>
      <c r="ED10" s="160"/>
      <c r="EE10" s="160"/>
      <c r="EF10" s="160"/>
      <c r="EG10" s="160"/>
      <c r="EH10" s="160"/>
      <c r="EI10" s="160"/>
      <c r="EJ10" s="160"/>
      <c r="EK10" s="160"/>
      <c r="EL10" s="160"/>
      <c r="EM10" s="160"/>
      <c r="EN10" s="160"/>
      <c r="EO10" s="160"/>
      <c r="EP10" s="160"/>
      <c r="EQ10" s="160"/>
      <c r="ER10" s="160"/>
      <c r="ES10" s="160"/>
      <c r="ET10" s="160"/>
      <c r="EU10" s="160"/>
      <c r="EV10" s="160"/>
      <c r="EW10" s="160"/>
      <c r="EX10" s="160"/>
      <c r="EY10" s="160"/>
      <c r="EZ10" s="160"/>
      <c r="FA10" s="160"/>
      <c r="FB10" s="160"/>
      <c r="FC10" s="160"/>
      <c r="FD10" s="160"/>
      <c r="FE10" s="160"/>
      <c r="FF10" s="160"/>
      <c r="FG10" s="160"/>
      <c r="FH10" s="160"/>
      <c r="FI10" s="160"/>
      <c r="FJ10" s="160"/>
      <c r="FK10" s="160"/>
      <c r="FL10" s="160"/>
      <c r="FM10" s="160"/>
      <c r="FN10" s="160"/>
      <c r="FO10" s="160"/>
      <c r="FP10" s="160"/>
      <c r="FQ10" s="160"/>
      <c r="FR10" s="160"/>
      <c r="FS10" s="160"/>
      <c r="FT10" s="160"/>
      <c r="FU10" s="160"/>
      <c r="FV10" s="160"/>
      <c r="FW10" s="160"/>
      <c r="FX10" s="160"/>
      <c r="FY10" s="160"/>
      <c r="FZ10" s="160"/>
      <c r="GA10" s="160"/>
      <c r="GB10" s="160"/>
      <c r="GC10" s="160"/>
      <c r="GD10" s="160"/>
      <c r="GE10" s="160"/>
      <c r="GF10" s="160"/>
      <c r="GG10" s="160"/>
      <c r="GH10" s="160"/>
      <c r="GI10" s="160"/>
      <c r="GJ10" s="160"/>
      <c r="GK10" s="160"/>
      <c r="GL10" s="160"/>
      <c r="GM10" s="160"/>
      <c r="GN10" s="160"/>
      <c r="GO10" s="160"/>
      <c r="GP10" s="160"/>
      <c r="GQ10" s="160"/>
      <c r="GR10" s="160"/>
      <c r="GS10" s="160"/>
      <c r="GT10" s="160"/>
      <c r="GU10" s="160"/>
      <c r="GV10" s="160"/>
      <c r="GW10" s="160"/>
      <c r="GX10" s="160"/>
      <c r="GY10" s="160"/>
      <c r="GZ10" s="160"/>
      <c r="HA10" s="160"/>
      <c r="HB10" s="160"/>
      <c r="HC10" s="160"/>
      <c r="HD10" s="160"/>
      <c r="HE10" s="160"/>
      <c r="HF10" s="160"/>
      <c r="HG10" s="160"/>
      <c r="HH10" s="160"/>
      <c r="HI10" s="160"/>
      <c r="HJ10" s="160"/>
      <c r="HK10" s="160"/>
      <c r="HL10" s="160"/>
      <c r="HM10" s="160"/>
      <c r="HN10" s="160"/>
      <c r="HO10" s="160"/>
      <c r="HP10" s="160"/>
      <c r="HQ10" s="160"/>
      <c r="HR10" s="160"/>
      <c r="HS10" s="160"/>
      <c r="HT10" s="160"/>
      <c r="HU10" s="160"/>
      <c r="HV10" s="160"/>
      <c r="HW10" s="160"/>
      <c r="HX10" s="160"/>
      <c r="HY10" s="160"/>
      <c r="HZ10" s="160"/>
      <c r="IA10" s="160"/>
      <c r="IB10" s="160"/>
      <c r="IC10" s="160"/>
      <c r="ID10" s="160"/>
      <c r="IE10" s="160"/>
      <c r="IF10" s="160"/>
      <c r="IG10" s="160"/>
      <c r="IH10" s="160"/>
      <c r="II10" s="160"/>
      <c r="IJ10" s="160"/>
      <c r="IK10" s="160"/>
      <c r="IL10" s="160"/>
      <c r="IM10" s="160"/>
      <c r="IN10" s="160"/>
      <c r="IO10" s="160"/>
      <c r="IP10" s="160"/>
      <c r="IQ10" s="160"/>
      <c r="IR10" s="160"/>
      <c r="IS10" s="160"/>
      <c r="IT10" s="160"/>
      <c r="IU10" s="160"/>
      <c r="IV10" s="160"/>
    </row>
    <row r="11" spans="1:256" ht="16.5">
      <c r="A11" s="40" t="s">
        <v>277</v>
      </c>
      <c r="B11" s="185" t="s">
        <v>276</v>
      </c>
      <c r="C11" s="264">
        <f>ROUND(+Anx16AMN!C9+Anx16AMN!C64,2)</f>
        <v>32083618.649999999</v>
      </c>
      <c r="D11" s="264">
        <f>ROUND(Anx16AME!C9+Anx16AME!C64,2)</f>
        <v>2223154.31</v>
      </c>
      <c r="E11" s="446">
        <f>+Anx16AMN!D9+Anx16AMN!D64</f>
        <v>12255900.280000001</v>
      </c>
      <c r="F11" s="265">
        <f>ROUND(Anx16AME!D9+Anx16AME!D64,2)</f>
        <v>512317.15</v>
      </c>
      <c r="G11" s="264">
        <f>ROUND(Anx16AMN!E9+Anx16AMN!E64,2)</f>
        <v>6804949.8899999997</v>
      </c>
      <c r="H11" s="265">
        <f>ROUND(Anx16AME!E9+Anx16AME!E64,2)</f>
        <v>358954.75</v>
      </c>
      <c r="I11" s="264">
        <f>ROUND(Anx16AMN!F9+Anx16AMN!F64,2)</f>
        <v>704782.39</v>
      </c>
      <c r="J11" s="265">
        <f>ROUND(Anx16AME!F9+Anx16AME!F64,2)</f>
        <v>52398.51</v>
      </c>
      <c r="K11" s="264">
        <f>ROUND(Anx16AMN!G9+Anx16AMN!G64,2)</f>
        <v>4746051.08</v>
      </c>
      <c r="L11" s="447">
        <f>Anx16AME!G9+Anx16AME!G64</f>
        <v>57506.49</v>
      </c>
      <c r="M11" s="446">
        <f>Anx16AMN!H9+Anx16AMN!H64</f>
        <v>619378.12</v>
      </c>
      <c r="N11" s="265">
        <f>ROUND(Anx16AME!H9+Anx16AME!H64,2)</f>
        <v>32731.43</v>
      </c>
      <c r="O11" s="264">
        <f>ROUND(Anx16AMN!I9+Anx16AMN!I64,2)</f>
        <v>5437403.6500000004</v>
      </c>
      <c r="P11" s="447">
        <f>Anx16AME!I9+Anx16AME!I64</f>
        <v>43183.89</v>
      </c>
      <c r="Q11" s="446">
        <f>Anx16AMN!J9+Anx16AMN!J64</f>
        <v>1868898.11</v>
      </c>
      <c r="R11" s="447">
        <f>Anx16AME!J9+Anx16AME!J64</f>
        <v>66019.73</v>
      </c>
      <c r="S11" s="446">
        <f>SUM(Anx16AMN!K9:M9)+SUM(Anx16AMN!K64:M64)</f>
        <v>9936347.8599999975</v>
      </c>
      <c r="T11" s="447">
        <f>SUM(Anx16AME!K9:M9)+SUM(Anx16AME!K64:M64)</f>
        <v>767365.69</v>
      </c>
      <c r="U11" s="172">
        <f>C11+E11+G11+I11+K11+M11+O11+Q11+S11</f>
        <v>74457330.029999986</v>
      </c>
      <c r="V11" s="172">
        <f>D11+F11+H11+J11+L11+N11+P11+R11+T11</f>
        <v>4113631.95</v>
      </c>
      <c r="W11" s="781">
        <f>+Anx16AMN!N9+Anx16AMN!N64</f>
        <v>74457330.030000001</v>
      </c>
      <c r="X11" s="781">
        <f>+Anx16AME!N9+Anx16AME!N64</f>
        <v>4113631.95</v>
      </c>
      <c r="Y11" s="780">
        <f>+W11-U11</f>
        <v>0</v>
      </c>
      <c r="Z11" s="780">
        <f>+X11-V11</f>
        <v>0</v>
      </c>
      <c r="AA11" s="266"/>
      <c r="AB11" s="266"/>
      <c r="AC11" s="266"/>
      <c r="AD11" s="266"/>
      <c r="AE11" s="2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</row>
    <row r="12" spans="1:256" ht="16.5">
      <c r="A12" s="40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781"/>
      <c r="X12" s="781"/>
      <c r="Y12" s="780"/>
      <c r="Z12" s="780"/>
      <c r="AA12" s="266"/>
      <c r="AB12" s="266"/>
      <c r="AC12" s="266"/>
      <c r="AD12" s="266"/>
      <c r="AE12" s="2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</row>
    <row r="13" spans="1:256" ht="16.5">
      <c r="A13" s="40" t="s">
        <v>367</v>
      </c>
      <c r="B13" s="185" t="s">
        <v>274</v>
      </c>
      <c r="C13" s="264">
        <f>+Anx16BReg!C13</f>
        <v>0</v>
      </c>
      <c r="D13" s="264">
        <f>+Anx16BReg!D13</f>
        <v>0</v>
      </c>
      <c r="E13" s="264">
        <f>+Anx16BReg!E13</f>
        <v>0</v>
      </c>
      <c r="F13" s="264">
        <f>+Anx16BReg!F13</f>
        <v>0</v>
      </c>
      <c r="G13" s="264">
        <f>+Anx16BReg!G13</f>
        <v>0</v>
      </c>
      <c r="H13" s="264">
        <f>+Anx16BReg!H13</f>
        <v>0</v>
      </c>
      <c r="I13" s="264">
        <f>+Anx16BReg!I13</f>
        <v>0</v>
      </c>
      <c r="J13" s="264">
        <f>+Anx16BReg!J13</f>
        <v>0</v>
      </c>
      <c r="K13" s="264">
        <f>+Anx16BReg!K13</f>
        <v>0</v>
      </c>
      <c r="L13" s="264">
        <f>+Anx16BReg!L13</f>
        <v>0</v>
      </c>
      <c r="M13" s="264">
        <f>+Anx16BReg!M13</f>
        <v>0</v>
      </c>
      <c r="N13" s="264">
        <f>+Anx16BReg!N13</f>
        <v>0</v>
      </c>
      <c r="O13" s="264">
        <f>+Anx16BReg!O13</f>
        <v>0</v>
      </c>
      <c r="P13" s="264">
        <f>+Anx16BReg!P13</f>
        <v>0</v>
      </c>
      <c r="Q13" s="264">
        <f>+Anx16BReg!Q13</f>
        <v>0</v>
      </c>
      <c r="R13" s="264">
        <f>+Anx16BReg!R13</f>
        <v>0</v>
      </c>
      <c r="S13" s="264">
        <f>+Anx16BReg!S13</f>
        <v>0</v>
      </c>
      <c r="T13" s="264">
        <f>+Anx16BReg!T13</f>
        <v>0</v>
      </c>
      <c r="U13" s="172">
        <f>C13+E13+G13+I13+K13+M13+O13+Q13+S13</f>
        <v>0</v>
      </c>
      <c r="V13" s="172">
        <f>D13+F13+H13+J13+L13+N13+P13+R13+T13</f>
        <v>0</v>
      </c>
      <c r="W13" s="781">
        <f>+Anx16AMN!N65</f>
        <v>0</v>
      </c>
      <c r="X13" s="781">
        <f>Anx16AME!N65</f>
        <v>0</v>
      </c>
      <c r="Y13" s="780">
        <f t="shared" ref="Y13:Z13" si="0">+W13-U13</f>
        <v>0</v>
      </c>
      <c r="Z13" s="780">
        <f t="shared" si="0"/>
        <v>0</v>
      </c>
      <c r="AA13" s="266" t="s">
        <v>435</v>
      </c>
      <c r="AB13" s="266"/>
      <c r="AC13" s="266"/>
      <c r="AD13" s="266"/>
      <c r="AE13" s="2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</row>
    <row r="14" spans="1:256" ht="19.5" customHeight="1">
      <c r="A14" s="40" t="s">
        <v>137</v>
      </c>
      <c r="B14" s="428" t="s">
        <v>25</v>
      </c>
      <c r="C14" s="264">
        <f>+Anx16BReg!C14</f>
        <v>9513673.9199999999</v>
      </c>
      <c r="D14" s="264">
        <f>+Anx16BReg!D14</f>
        <v>0</v>
      </c>
      <c r="E14" s="264">
        <f>+Anx16BReg!E14</f>
        <v>0</v>
      </c>
      <c r="F14" s="264">
        <f>+Anx16BReg!F14</f>
        <v>0</v>
      </c>
      <c r="G14" s="264">
        <f>+Anx16BReg!G14</f>
        <v>0</v>
      </c>
      <c r="H14" s="264">
        <f>+Anx16BReg!H14</f>
        <v>0</v>
      </c>
      <c r="I14" s="264">
        <f>+Anx16BReg!I14</f>
        <v>0</v>
      </c>
      <c r="J14" s="264">
        <f>+Anx16BReg!J14</f>
        <v>0</v>
      </c>
      <c r="K14" s="264">
        <f>+Anx16BReg!K14</f>
        <v>0</v>
      </c>
      <c r="L14" s="264">
        <f>+Anx16BReg!L14</f>
        <v>0</v>
      </c>
      <c r="M14" s="264">
        <f>+Anx16BReg!M14</f>
        <v>0</v>
      </c>
      <c r="N14" s="264">
        <f>+Anx16BReg!N14</f>
        <v>0</v>
      </c>
      <c r="O14" s="264">
        <f>+Anx16BReg!O14</f>
        <v>0</v>
      </c>
      <c r="P14" s="264">
        <f>+Anx16BReg!P14</f>
        <v>0</v>
      </c>
      <c r="Q14" s="264">
        <f>+Anx16BReg!Q14</f>
        <v>0</v>
      </c>
      <c r="R14" s="264">
        <f>+Anx16BReg!R14</f>
        <v>0</v>
      </c>
      <c r="S14" s="264">
        <f>+Anx16BReg!S14</f>
        <v>0</v>
      </c>
      <c r="T14" s="264">
        <f>+Anx16BReg!T14</f>
        <v>0</v>
      </c>
      <c r="U14" s="172">
        <f t="shared" ref="U14:V19" si="1">C14+E14+G14+I14+K14+M14+O14+Q14+S14</f>
        <v>9513673.9199999999</v>
      </c>
      <c r="V14" s="172">
        <f t="shared" si="1"/>
        <v>0</v>
      </c>
      <c r="W14" s="781">
        <f>Anx16AMN!N11</f>
        <v>12585031.15</v>
      </c>
      <c r="X14" s="781">
        <f>+Anx16AME!N11</f>
        <v>0</v>
      </c>
      <c r="Y14" s="780">
        <f t="shared" ref="Y14:Z19" si="2">+W14-U14</f>
        <v>3071357.2300000004</v>
      </c>
      <c r="Z14" s="780">
        <f t="shared" si="2"/>
        <v>0</v>
      </c>
      <c r="AA14" s="266" t="s">
        <v>368</v>
      </c>
      <c r="AB14" s="266"/>
      <c r="AC14" s="266"/>
      <c r="AD14" s="266"/>
      <c r="AE14" s="2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</row>
    <row r="15" spans="1:256" ht="16.5">
      <c r="A15" s="40" t="s">
        <v>138</v>
      </c>
      <c r="B15" s="171" t="s">
        <v>26</v>
      </c>
      <c r="C15" s="264">
        <f>+Anx16BReg!C15</f>
        <v>0</v>
      </c>
      <c r="D15" s="264">
        <f>+Anx16BReg!D15</f>
        <v>0</v>
      </c>
      <c r="E15" s="264">
        <f>+Anx16BReg!E15</f>
        <v>0</v>
      </c>
      <c r="F15" s="264">
        <f>+Anx16BReg!F15</f>
        <v>0</v>
      </c>
      <c r="G15" s="264">
        <f>+Anx16BReg!G15</f>
        <v>0</v>
      </c>
      <c r="H15" s="264">
        <f>+Anx16BReg!H15</f>
        <v>0</v>
      </c>
      <c r="I15" s="264">
        <f>+Anx16BReg!I15</f>
        <v>0</v>
      </c>
      <c r="J15" s="264">
        <f>+Anx16BReg!J15</f>
        <v>0</v>
      </c>
      <c r="K15" s="264">
        <f>+Anx16BReg!K15</f>
        <v>0</v>
      </c>
      <c r="L15" s="264">
        <f>+Anx16BReg!L15</f>
        <v>0</v>
      </c>
      <c r="M15" s="264">
        <f>+Anx16BReg!M15</f>
        <v>0</v>
      </c>
      <c r="N15" s="264">
        <f>+Anx16BReg!N15</f>
        <v>0</v>
      </c>
      <c r="O15" s="264">
        <f>+Anx16BReg!O15</f>
        <v>0</v>
      </c>
      <c r="P15" s="264">
        <f>+Anx16BReg!P15</f>
        <v>0</v>
      </c>
      <c r="Q15" s="264">
        <f>+Anx16BReg!Q15</f>
        <v>113349.12</v>
      </c>
      <c r="R15" s="264">
        <f>+Anx16BReg!R15</f>
        <v>0</v>
      </c>
      <c r="S15" s="264">
        <f>+Anx16BReg!S15</f>
        <v>0</v>
      </c>
      <c r="T15" s="264">
        <f>+Anx16BReg!T15</f>
        <v>0</v>
      </c>
      <c r="U15" s="172">
        <f t="shared" si="1"/>
        <v>113349.12</v>
      </c>
      <c r="V15" s="172">
        <f t="shared" si="1"/>
        <v>0</v>
      </c>
      <c r="W15" s="781">
        <f>+Anx16AMN!N12</f>
        <v>113349.12</v>
      </c>
      <c r="X15" s="781">
        <f>+Anx16AME!N12</f>
        <v>0</v>
      </c>
      <c r="Y15" s="780">
        <f t="shared" si="2"/>
        <v>0</v>
      </c>
      <c r="Z15" s="780">
        <f t="shared" si="2"/>
        <v>0</v>
      </c>
      <c r="AA15" s="266"/>
      <c r="AB15" s="266"/>
      <c r="AC15" s="266"/>
      <c r="AD15" s="266"/>
      <c r="AE15" s="2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</row>
    <row r="16" spans="1:256" ht="16.5" customHeight="1">
      <c r="A16" s="40" t="s">
        <v>272</v>
      </c>
      <c r="B16" s="429" t="s">
        <v>28</v>
      </c>
      <c r="C16" s="808">
        <f>+'Créditos-Esc Especifico'!B27+SUM(AnxRendInt!C16:'AnxRendInt'!C19)</f>
        <v>1136636.4616078855</v>
      </c>
      <c r="D16" s="808">
        <f>+'Créditos-Esc Especifico'!C27+SUM(AnxRendInt!D16:'AnxRendInt'!D19)</f>
        <v>2898.6379099702731</v>
      </c>
      <c r="E16" s="267">
        <f>+'Créditos-Esc Especifico'!D27</f>
        <v>860850.9827796024</v>
      </c>
      <c r="F16" s="267">
        <f>+'Créditos-Esc Especifico'!E27</f>
        <v>4832.083737332523</v>
      </c>
      <c r="G16" s="267">
        <f>+'Créditos-Esc Especifico'!F27</f>
        <v>1056194.3540238612</v>
      </c>
      <c r="H16" s="267">
        <f>+'Créditos-Esc Especifico'!G27</f>
        <v>4835.1065836019943</v>
      </c>
      <c r="I16" s="267">
        <f>+'Créditos-Esc Especifico'!H27</f>
        <v>1069080.8036492527</v>
      </c>
      <c r="J16" s="267">
        <f>+'Créditos-Esc Especifico'!I27</f>
        <v>4897.6107276289495</v>
      </c>
      <c r="K16" s="267">
        <f>+'Créditos-Esc Especifico'!J27</f>
        <v>642404.91714677063</v>
      </c>
      <c r="L16" s="267">
        <f>+'Créditos-Esc Especifico'!K27</f>
        <v>2481.0130710903904</v>
      </c>
      <c r="M16" s="267">
        <f>+'Créditos-Esc Especifico'!L27</f>
        <v>2540201.0088146743</v>
      </c>
      <c r="N16" s="267">
        <f>+'Créditos-Esc Especifico'!M27</f>
        <v>6460.838090231432</v>
      </c>
      <c r="O16" s="267">
        <f>+'Créditos-Esc Especifico'!N27</f>
        <v>2702894.7694443804</v>
      </c>
      <c r="P16" s="267">
        <f>+'Créditos-Esc Especifico'!O27</f>
        <v>19770.230291019121</v>
      </c>
      <c r="Q16" s="267">
        <f>+'Créditos-Esc Especifico'!P27</f>
        <v>3785866.0795004093</v>
      </c>
      <c r="R16" s="267">
        <f>+'Créditos-Esc Especifico'!Q27</f>
        <v>20267.280581704301</v>
      </c>
      <c r="S16" s="267">
        <f>+'Créditos-Esc Especifico'!R27</f>
        <v>37741734.553033166</v>
      </c>
      <c r="T16" s="267">
        <f>+'Créditos-Esc Especifico'!S27</f>
        <v>233953.85900742104</v>
      </c>
      <c r="U16" s="172">
        <f t="shared" si="1"/>
        <v>51535863.93</v>
      </c>
      <c r="V16" s="172">
        <f t="shared" si="1"/>
        <v>300396.66000000003</v>
      </c>
      <c r="W16" s="781">
        <f>SUM(AnxRendInt!Y12:'AnxRendInt'!Y15)+SUM(AnxRendInt!Y16:'AnxRendInt'!Y19)</f>
        <v>51535863.93</v>
      </c>
      <c r="X16" s="781">
        <f>SUM(AnxRendInt!Z12:'AnxRendInt'!Z15)+SUM(AnxRendInt!Z16:'AnxRendInt'!Z19)</f>
        <v>300396.65999999997</v>
      </c>
      <c r="Y16" s="780">
        <f t="shared" si="2"/>
        <v>0</v>
      </c>
      <c r="Z16" s="780">
        <f t="shared" si="2"/>
        <v>0</v>
      </c>
      <c r="AA16" s="263"/>
      <c r="AB16" s="263"/>
      <c r="AC16" s="263"/>
      <c r="AD16" s="263"/>
      <c r="AE16" s="263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  <c r="EB16" s="160"/>
      <c r="EC16" s="160"/>
      <c r="ED16" s="160"/>
      <c r="EE16" s="160"/>
      <c r="EF16" s="160"/>
      <c r="EG16" s="160"/>
      <c r="EH16" s="160"/>
      <c r="EI16" s="160"/>
      <c r="EJ16" s="160"/>
      <c r="EK16" s="160"/>
      <c r="EL16" s="160"/>
      <c r="EM16" s="160"/>
      <c r="EN16" s="160"/>
      <c r="EO16" s="160"/>
      <c r="EP16" s="160"/>
      <c r="EQ16" s="160"/>
      <c r="ER16" s="160"/>
      <c r="ES16" s="160"/>
      <c r="ET16" s="160"/>
      <c r="EU16" s="160"/>
      <c r="EV16" s="160"/>
      <c r="EW16" s="160"/>
      <c r="EX16" s="160"/>
      <c r="EY16" s="160"/>
      <c r="EZ16" s="160"/>
      <c r="FA16" s="160"/>
      <c r="FB16" s="160"/>
      <c r="FC16" s="160"/>
      <c r="FD16" s="160"/>
      <c r="FE16" s="160"/>
      <c r="FF16" s="160"/>
      <c r="FG16" s="160"/>
      <c r="FH16" s="160"/>
      <c r="FI16" s="160"/>
      <c r="FJ16" s="160"/>
      <c r="FK16" s="160"/>
      <c r="FL16" s="160"/>
      <c r="FM16" s="160"/>
      <c r="FN16" s="160"/>
      <c r="FO16" s="160"/>
      <c r="FP16" s="160"/>
      <c r="FQ16" s="160"/>
      <c r="FR16" s="160"/>
      <c r="FS16" s="160"/>
      <c r="FT16" s="160"/>
      <c r="FU16" s="160"/>
      <c r="FV16" s="160"/>
      <c r="FW16" s="160"/>
      <c r="FX16" s="160"/>
      <c r="FY16" s="160"/>
      <c r="FZ16" s="160"/>
      <c r="GA16" s="160"/>
      <c r="GB16" s="160"/>
      <c r="GC16" s="160"/>
      <c r="GD16" s="160"/>
      <c r="GE16" s="160"/>
      <c r="GF16" s="160"/>
      <c r="GG16" s="160"/>
      <c r="GH16" s="160"/>
      <c r="GI16" s="160"/>
      <c r="GJ16" s="160"/>
      <c r="GK16" s="160"/>
      <c r="GL16" s="160"/>
      <c r="GM16" s="160"/>
      <c r="GN16" s="160"/>
      <c r="GO16" s="160"/>
      <c r="GP16" s="160"/>
      <c r="GQ16" s="160"/>
      <c r="GR16" s="160"/>
      <c r="GS16" s="160"/>
      <c r="GT16" s="160"/>
      <c r="GU16" s="160"/>
      <c r="GV16" s="160"/>
      <c r="GW16" s="160"/>
      <c r="GX16" s="160"/>
      <c r="GY16" s="160"/>
      <c r="GZ16" s="160"/>
      <c r="HA16" s="160"/>
      <c r="HB16" s="160"/>
      <c r="HC16" s="160"/>
      <c r="HD16" s="160"/>
      <c r="HE16" s="160"/>
      <c r="HF16" s="160"/>
      <c r="HG16" s="160"/>
      <c r="HH16" s="160"/>
      <c r="HI16" s="160"/>
      <c r="HJ16" s="160"/>
      <c r="HK16" s="160"/>
      <c r="HL16" s="160"/>
      <c r="HM16" s="160"/>
      <c r="HN16" s="160"/>
      <c r="HO16" s="160"/>
      <c r="HP16" s="160"/>
      <c r="HQ16" s="160"/>
      <c r="HR16" s="160"/>
      <c r="HS16" s="160"/>
      <c r="HT16" s="160"/>
      <c r="HU16" s="160"/>
      <c r="HV16" s="160"/>
      <c r="HW16" s="160"/>
      <c r="HX16" s="160"/>
      <c r="HY16" s="160"/>
      <c r="HZ16" s="160"/>
      <c r="IA16" s="160"/>
      <c r="IB16" s="160"/>
      <c r="IC16" s="160"/>
      <c r="ID16" s="160"/>
      <c r="IE16" s="160"/>
      <c r="IF16" s="160"/>
      <c r="IG16" s="160"/>
      <c r="IH16" s="160"/>
      <c r="II16" s="160"/>
      <c r="IJ16" s="160"/>
      <c r="IK16" s="160"/>
      <c r="IL16" s="160"/>
      <c r="IM16" s="160"/>
      <c r="IN16" s="160"/>
      <c r="IO16" s="160"/>
      <c r="IP16" s="160"/>
      <c r="IQ16" s="160"/>
      <c r="IR16" s="160"/>
      <c r="IS16" s="160"/>
      <c r="IT16" s="160"/>
      <c r="IU16" s="160"/>
      <c r="IV16" s="160"/>
    </row>
    <row r="17" spans="1:256" ht="16.5" customHeight="1">
      <c r="A17" s="40" t="s">
        <v>271</v>
      </c>
      <c r="B17" s="429" t="s">
        <v>30</v>
      </c>
      <c r="C17" s="808">
        <f>+'Créditos-Esc Especifico'!B28+SUM(AnxRendInt!C35:'AnxRendInt'!C36)</f>
        <v>7856726.4297425309</v>
      </c>
      <c r="D17" s="808">
        <f>+'Créditos-Esc Especifico'!C28+SUM(AnxRendInt!D35:'AnxRendInt'!D36)</f>
        <v>1532.8910362545553</v>
      </c>
      <c r="E17" s="267">
        <f>+'Créditos-Esc Especifico'!D28</f>
        <v>8320160.8020443162</v>
      </c>
      <c r="F17" s="267">
        <f>+'Créditos-Esc Especifico'!E28</f>
        <v>1531.1036232784968</v>
      </c>
      <c r="G17" s="267">
        <f>+'Créditos-Esc Especifico'!F28</f>
        <v>8329613.0504022064</v>
      </c>
      <c r="H17" s="267">
        <f>+'Créditos-Esc Especifico'!G28</f>
        <v>1550.3922613789337</v>
      </c>
      <c r="I17" s="267">
        <f>+'Créditos-Esc Especifico'!H28</f>
        <v>8408118.3352695387</v>
      </c>
      <c r="J17" s="267">
        <f>+'Créditos-Esc Especifico'!I28</f>
        <v>1749.852133477232</v>
      </c>
      <c r="K17" s="267">
        <f>+'Créditos-Esc Especifico'!J28</f>
        <v>8286747.314978688</v>
      </c>
      <c r="L17" s="267">
        <f>+'Créditos-Esc Especifico'!K28</f>
        <v>1606.0670119822673</v>
      </c>
      <c r="M17" s="267">
        <f>+'Créditos-Esc Especifico'!L28</f>
        <v>7961643.7973235454</v>
      </c>
      <c r="N17" s="267">
        <f>+'Créditos-Esc Especifico'!M28</f>
        <v>173.22188635719817</v>
      </c>
      <c r="O17" s="267">
        <f>+'Créditos-Esc Especifico'!N28</f>
        <v>21083665.255951542</v>
      </c>
      <c r="P17" s="267">
        <f>+'Créditos-Esc Especifico'!O28</f>
        <v>542.51293894429273</v>
      </c>
      <c r="Q17" s="267">
        <f>+'Créditos-Esc Especifico'!P28</f>
        <v>16606147.463341897</v>
      </c>
      <c r="R17" s="267">
        <f>+'Créditos-Esc Especifico'!Q28</f>
        <v>564.86440805321513</v>
      </c>
      <c r="S17" s="267">
        <f>+'Créditos-Esc Especifico'!R28</f>
        <v>109981189.07094574</v>
      </c>
      <c r="T17" s="267">
        <f>+'Créditos-Esc Especifico'!S28</f>
        <v>22375.814700273808</v>
      </c>
      <c r="U17" s="172">
        <f t="shared" si="1"/>
        <v>196834011.51999998</v>
      </c>
      <c r="V17" s="172">
        <f t="shared" si="1"/>
        <v>31626.720000000001</v>
      </c>
      <c r="W17" s="781">
        <f>SUM(AnxRendInt!Y33:'AnxRendInt'!Y34)+SUM(AnxRendInt!Y35:'AnxRendInt'!Y36)</f>
        <v>196834011.51999998</v>
      </c>
      <c r="X17" s="781">
        <f>SUM(AnxRendInt!Z33:'AnxRendInt'!Z34)+SUM(AnxRendInt!Z35:'AnxRendInt'!Z36)</f>
        <v>31626.720000000005</v>
      </c>
      <c r="Y17" s="780">
        <f t="shared" si="2"/>
        <v>0</v>
      </c>
      <c r="Z17" s="780">
        <f t="shared" si="2"/>
        <v>0</v>
      </c>
      <c r="AA17" s="263"/>
      <c r="AB17" s="263"/>
      <c r="AC17" s="263"/>
      <c r="AD17" s="263"/>
      <c r="AE17" s="263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  <c r="DU17" s="160"/>
      <c r="DV17" s="160"/>
      <c r="DW17" s="160"/>
      <c r="DX17" s="160"/>
      <c r="DY17" s="160"/>
      <c r="DZ17" s="160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160"/>
      <c r="EL17" s="160"/>
      <c r="EM17" s="160"/>
      <c r="EN17" s="160"/>
      <c r="EO17" s="160"/>
      <c r="EP17" s="160"/>
      <c r="EQ17" s="160"/>
      <c r="ER17" s="160"/>
      <c r="ES17" s="160"/>
      <c r="ET17" s="160"/>
      <c r="EU17" s="160"/>
      <c r="EV17" s="160"/>
      <c r="EW17" s="160"/>
      <c r="EX17" s="160"/>
      <c r="EY17" s="160"/>
      <c r="EZ17" s="160"/>
      <c r="FA17" s="160"/>
      <c r="FB17" s="160"/>
      <c r="FC17" s="160"/>
      <c r="FD17" s="160"/>
      <c r="FE17" s="160"/>
      <c r="FF17" s="160"/>
      <c r="FG17" s="160"/>
      <c r="FH17" s="160"/>
      <c r="FI17" s="160"/>
      <c r="FJ17" s="160"/>
      <c r="FK17" s="160"/>
      <c r="FL17" s="160"/>
      <c r="FM17" s="160"/>
      <c r="FN17" s="160"/>
      <c r="FO17" s="160"/>
      <c r="FP17" s="160"/>
      <c r="FQ17" s="160"/>
      <c r="FR17" s="160"/>
      <c r="FS17" s="160"/>
      <c r="FT17" s="160"/>
      <c r="FU17" s="160"/>
      <c r="FV17" s="160"/>
      <c r="FW17" s="160"/>
      <c r="FX17" s="160"/>
      <c r="FY17" s="160"/>
      <c r="FZ17" s="160"/>
      <c r="GA17" s="160"/>
      <c r="GB17" s="160"/>
      <c r="GC17" s="160"/>
      <c r="GD17" s="160"/>
      <c r="GE17" s="160"/>
      <c r="GF17" s="160"/>
      <c r="GG17" s="160"/>
      <c r="GH17" s="160"/>
      <c r="GI17" s="160"/>
      <c r="GJ17" s="160"/>
      <c r="GK17" s="160"/>
      <c r="GL17" s="160"/>
      <c r="GM17" s="160"/>
      <c r="GN17" s="160"/>
      <c r="GO17" s="160"/>
      <c r="GP17" s="160"/>
      <c r="GQ17" s="160"/>
      <c r="GR17" s="160"/>
      <c r="GS17" s="160"/>
      <c r="GT17" s="160"/>
      <c r="GU17" s="160"/>
      <c r="GV17" s="160"/>
      <c r="GW17" s="160"/>
      <c r="GX17" s="160"/>
      <c r="GY17" s="160"/>
      <c r="GZ17" s="160"/>
      <c r="HA17" s="160"/>
      <c r="HB17" s="160"/>
      <c r="HC17" s="160"/>
      <c r="HD17" s="160"/>
      <c r="HE17" s="160"/>
      <c r="HF17" s="160"/>
      <c r="HG17" s="160"/>
      <c r="HH17" s="160"/>
      <c r="HI17" s="160"/>
      <c r="HJ17" s="160"/>
      <c r="HK17" s="160"/>
      <c r="HL17" s="160"/>
      <c r="HM17" s="160"/>
      <c r="HN17" s="160"/>
      <c r="HO17" s="160"/>
      <c r="HP17" s="160"/>
      <c r="HQ17" s="160"/>
      <c r="HR17" s="160"/>
      <c r="HS17" s="160"/>
      <c r="HT17" s="160"/>
      <c r="HU17" s="160"/>
      <c r="HV17" s="160"/>
      <c r="HW17" s="160"/>
      <c r="HX17" s="160"/>
      <c r="HY17" s="160"/>
      <c r="HZ17" s="160"/>
      <c r="IA17" s="160"/>
      <c r="IB17" s="160"/>
      <c r="IC17" s="160"/>
      <c r="ID17" s="160"/>
      <c r="IE17" s="160"/>
      <c r="IF17" s="160"/>
      <c r="IG17" s="160"/>
      <c r="IH17" s="160"/>
      <c r="II17" s="160"/>
      <c r="IJ17" s="160"/>
      <c r="IK17" s="160"/>
      <c r="IL17" s="160"/>
      <c r="IM17" s="160"/>
      <c r="IN17" s="160"/>
      <c r="IO17" s="160"/>
      <c r="IP17" s="160"/>
      <c r="IQ17" s="160"/>
      <c r="IR17" s="160"/>
      <c r="IS17" s="160"/>
      <c r="IT17" s="160"/>
      <c r="IU17" s="160"/>
      <c r="IV17" s="160"/>
    </row>
    <row r="18" spans="1:256" ht="16.5">
      <c r="A18" s="40" t="s">
        <v>270</v>
      </c>
      <c r="B18" s="429" t="s">
        <v>32</v>
      </c>
      <c r="C18" s="808">
        <f>+'Créditos-Esc Especifico'!B29+AnxRendInt!C47</f>
        <v>230965.8624265145</v>
      </c>
      <c r="D18" s="808">
        <f>+'Créditos-Esc Especifico'!C29+AnxRendInt!D47</f>
        <v>5378.3312509007392</v>
      </c>
      <c r="E18" s="267">
        <f>+'Créditos-Esc Especifico'!D29</f>
        <v>131543.86561830566</v>
      </c>
      <c r="F18" s="267">
        <f>+'Créditos-Esc Especifico'!E29</f>
        <v>665.86585880301493</v>
      </c>
      <c r="G18" s="267">
        <f>+'Créditos-Esc Especifico'!F29</f>
        <v>120511.17246919376</v>
      </c>
      <c r="H18" s="267">
        <f>+'Créditos-Esc Especifico'!G29</f>
        <v>0</v>
      </c>
      <c r="I18" s="267">
        <f>+'Créditos-Esc Especifico'!H29</f>
        <v>135680.75069229439</v>
      </c>
      <c r="J18" s="267">
        <f>+'Créditos-Esc Especifico'!I29</f>
        <v>0</v>
      </c>
      <c r="K18" s="267">
        <f>+'Créditos-Esc Especifico'!J29</f>
        <v>135526.77745929861</v>
      </c>
      <c r="L18" s="267">
        <f>+'Créditos-Esc Especifico'!K29</f>
        <v>0</v>
      </c>
      <c r="M18" s="267">
        <f>+'Créditos-Esc Especifico'!L29</f>
        <v>130166.55929517129</v>
      </c>
      <c r="N18" s="267">
        <f>+'Créditos-Esc Especifico'!M29</f>
        <v>0</v>
      </c>
      <c r="O18" s="267">
        <f>+'Créditos-Esc Especifico'!N29</f>
        <v>418822.34796459577</v>
      </c>
      <c r="P18" s="267">
        <f>+'Créditos-Esc Especifico'!O29</f>
        <v>0</v>
      </c>
      <c r="Q18" s="267">
        <f>+'Créditos-Esc Especifico'!P29</f>
        <v>410657.17636778089</v>
      </c>
      <c r="R18" s="267">
        <f>+'Créditos-Esc Especifico'!Q29</f>
        <v>0</v>
      </c>
      <c r="S18" s="267">
        <f>+'Créditos-Esc Especifico'!R29</f>
        <v>13308629.397706844</v>
      </c>
      <c r="T18" s="267">
        <f>+'Créditos-Esc Especifico'!S29</f>
        <v>1513.9328902962454</v>
      </c>
      <c r="U18" s="172">
        <f t="shared" si="1"/>
        <v>15022503.909999998</v>
      </c>
      <c r="V18" s="172">
        <f t="shared" si="1"/>
        <v>7558.1299999999992</v>
      </c>
      <c r="W18" s="781">
        <f>+AnxRendInt!Y45+AnxRendInt!Y47</f>
        <v>15022503.91</v>
      </c>
      <c r="X18" s="781">
        <f>+AnxRendInt!Z45+AnxRendInt!Z47</f>
        <v>7558.1299999999992</v>
      </c>
      <c r="Y18" s="780">
        <f t="shared" si="2"/>
        <v>0</v>
      </c>
      <c r="Z18" s="780">
        <f t="shared" si="2"/>
        <v>0</v>
      </c>
      <c r="AA18" s="263"/>
      <c r="AB18" s="263"/>
      <c r="AC18" s="263"/>
      <c r="AD18" s="263"/>
      <c r="AE18" s="263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  <c r="DC18" s="160"/>
      <c r="DD18" s="160"/>
      <c r="DE18" s="160"/>
      <c r="DF18" s="160"/>
      <c r="DG18" s="160"/>
      <c r="DH18" s="160"/>
      <c r="DI18" s="160"/>
      <c r="DJ18" s="160"/>
      <c r="DK18" s="160"/>
      <c r="DL18" s="160"/>
      <c r="DM18" s="160"/>
      <c r="DN18" s="160"/>
      <c r="DO18" s="160"/>
      <c r="DP18" s="160"/>
      <c r="DQ18" s="160"/>
      <c r="DR18" s="160"/>
      <c r="DS18" s="160"/>
      <c r="DT18" s="160"/>
      <c r="DU18" s="160"/>
      <c r="DV18" s="160"/>
      <c r="DW18" s="160"/>
      <c r="DX18" s="160"/>
      <c r="DY18" s="160"/>
      <c r="DZ18" s="160"/>
      <c r="EA18" s="160"/>
      <c r="EB18" s="160"/>
      <c r="EC18" s="160"/>
      <c r="ED18" s="160"/>
      <c r="EE18" s="160"/>
      <c r="EF18" s="160"/>
      <c r="EG18" s="160"/>
      <c r="EH18" s="160"/>
      <c r="EI18" s="160"/>
      <c r="EJ18" s="160"/>
      <c r="EK18" s="160"/>
      <c r="EL18" s="160"/>
      <c r="EM18" s="160"/>
      <c r="EN18" s="160"/>
      <c r="EO18" s="160"/>
      <c r="EP18" s="160"/>
      <c r="EQ18" s="160"/>
      <c r="ER18" s="160"/>
      <c r="ES18" s="160"/>
      <c r="ET18" s="160"/>
      <c r="EU18" s="160"/>
      <c r="EV18" s="160"/>
      <c r="EW18" s="160"/>
      <c r="EX18" s="160"/>
      <c r="EY18" s="160"/>
      <c r="EZ18" s="160"/>
      <c r="FA18" s="160"/>
      <c r="FB18" s="160"/>
      <c r="FC18" s="160"/>
      <c r="FD18" s="160"/>
      <c r="FE18" s="160"/>
      <c r="FF18" s="160"/>
      <c r="FG18" s="160"/>
      <c r="FH18" s="160"/>
      <c r="FI18" s="160"/>
      <c r="FJ18" s="160"/>
      <c r="FK18" s="160"/>
      <c r="FL18" s="160"/>
      <c r="FM18" s="160"/>
      <c r="FN18" s="160"/>
      <c r="FO18" s="160"/>
      <c r="FP18" s="160"/>
      <c r="FQ18" s="160"/>
      <c r="FR18" s="160"/>
      <c r="FS18" s="160"/>
      <c r="FT18" s="160"/>
      <c r="FU18" s="160"/>
      <c r="FV18" s="160"/>
      <c r="FW18" s="160"/>
      <c r="FX18" s="160"/>
      <c r="FY18" s="160"/>
      <c r="FZ18" s="160"/>
      <c r="GA18" s="160"/>
      <c r="GB18" s="160"/>
      <c r="GC18" s="160"/>
      <c r="GD18" s="160"/>
      <c r="GE18" s="160"/>
      <c r="GF18" s="160"/>
      <c r="GG18" s="160"/>
      <c r="GH18" s="160"/>
      <c r="GI18" s="160"/>
      <c r="GJ18" s="160"/>
      <c r="GK18" s="160"/>
      <c r="GL18" s="160"/>
      <c r="GM18" s="160"/>
      <c r="GN18" s="160"/>
      <c r="GO18" s="160"/>
      <c r="GP18" s="160"/>
      <c r="GQ18" s="160"/>
      <c r="GR18" s="160"/>
      <c r="GS18" s="160"/>
      <c r="GT18" s="160"/>
      <c r="GU18" s="160"/>
      <c r="GV18" s="160"/>
      <c r="GW18" s="160"/>
      <c r="GX18" s="160"/>
      <c r="GY18" s="160"/>
      <c r="GZ18" s="160"/>
      <c r="HA18" s="160"/>
      <c r="HB18" s="160"/>
      <c r="HC18" s="160"/>
      <c r="HD18" s="160"/>
      <c r="HE18" s="160"/>
      <c r="HF18" s="160"/>
      <c r="HG18" s="160"/>
      <c r="HH18" s="160"/>
      <c r="HI18" s="160"/>
      <c r="HJ18" s="160"/>
      <c r="HK18" s="160"/>
      <c r="HL18" s="160"/>
      <c r="HM18" s="160"/>
      <c r="HN18" s="160"/>
      <c r="HO18" s="160"/>
      <c r="HP18" s="160"/>
      <c r="HQ18" s="160"/>
      <c r="HR18" s="160"/>
      <c r="HS18" s="160"/>
      <c r="HT18" s="160"/>
      <c r="HU18" s="160"/>
      <c r="HV18" s="160"/>
      <c r="HW18" s="160"/>
      <c r="HX18" s="160"/>
      <c r="HY18" s="160"/>
      <c r="HZ18" s="160"/>
      <c r="IA18" s="160"/>
      <c r="IB18" s="160"/>
      <c r="IC18" s="160"/>
      <c r="ID18" s="160"/>
      <c r="IE18" s="160"/>
      <c r="IF18" s="160"/>
      <c r="IG18" s="160"/>
      <c r="IH18" s="160"/>
      <c r="II18" s="160"/>
      <c r="IJ18" s="160"/>
      <c r="IK18" s="160"/>
      <c r="IL18" s="160"/>
      <c r="IM18" s="160"/>
      <c r="IN18" s="160"/>
      <c r="IO18" s="160"/>
      <c r="IP18" s="160"/>
      <c r="IQ18" s="160"/>
      <c r="IR18" s="160"/>
      <c r="IS18" s="160"/>
      <c r="IT18" s="160"/>
      <c r="IU18" s="160"/>
      <c r="IV18" s="160"/>
    </row>
    <row r="19" spans="1:256" ht="16.5">
      <c r="A19" s="40" t="s">
        <v>269</v>
      </c>
      <c r="B19" s="429" t="s">
        <v>34</v>
      </c>
      <c r="C19" s="808">
        <f>+'Créditos-Esc Especifico'!B30+AnxRendInt!C53</f>
        <v>8555707.3148347661</v>
      </c>
      <c r="D19" s="808">
        <f>+'Créditos-Esc Especifico'!C30+AnxRendInt!D53</f>
        <v>1210.7430654304517</v>
      </c>
      <c r="E19" s="267">
        <f>+'Créditos-Esc Especifico'!D30</f>
        <v>2830608.6648484222</v>
      </c>
      <c r="F19" s="267">
        <f>+'Créditos-Esc Especifico'!E30</f>
        <v>1038.3077088244263</v>
      </c>
      <c r="G19" s="267">
        <f>+'Créditos-Esc Especifico'!F30</f>
        <v>2749334.604740262</v>
      </c>
      <c r="H19" s="267">
        <f>+'Créditos-Esc Especifico'!G30</f>
        <v>1040.874729069136</v>
      </c>
      <c r="I19" s="267">
        <f>+'Créditos-Esc Especifico'!H30</f>
        <v>2791449.1068871808</v>
      </c>
      <c r="J19" s="267">
        <f>+'Créditos-Esc Especifico'!I30</f>
        <v>1066.7928368981227</v>
      </c>
      <c r="K19" s="267">
        <f>+'Créditos-Esc Especifico'!J30</f>
        <v>2636975.7607697118</v>
      </c>
      <c r="L19" s="267">
        <f>+'Créditos-Esc Especifico'!K30</f>
        <v>1070.6633596346946</v>
      </c>
      <c r="M19" s="267">
        <f>+'Créditos-Esc Especifico'!L30</f>
        <v>2529513.8797740182</v>
      </c>
      <c r="N19" s="267">
        <f>+'Créditos-Esc Especifico'!M30</f>
        <v>1085.8015818254603</v>
      </c>
      <c r="O19" s="267">
        <f>+'Créditos-Esc Especifico'!N30</f>
        <v>7149751.3525259113</v>
      </c>
      <c r="P19" s="267">
        <f>+'Créditos-Esc Especifico'!O30</f>
        <v>3369.2740482902327</v>
      </c>
      <c r="Q19" s="267">
        <f>+'Créditos-Esc Especifico'!P30</f>
        <v>6196984.6032610126</v>
      </c>
      <c r="R19" s="267">
        <f>+'Créditos-Esc Especifico'!Q30</f>
        <v>3517.2335765382772</v>
      </c>
      <c r="S19" s="267">
        <f>+'Créditos-Esc Especifico'!R30</f>
        <v>65362505.982358716</v>
      </c>
      <c r="T19" s="267">
        <f>+'Créditos-Esc Especifico'!S30</f>
        <v>22786.779093489196</v>
      </c>
      <c r="U19" s="172">
        <f t="shared" si="1"/>
        <v>100802831.27000001</v>
      </c>
      <c r="V19" s="172">
        <f t="shared" si="1"/>
        <v>36186.47</v>
      </c>
      <c r="W19" s="781">
        <f>+AnxRendInt!Y51+AnxRendInt!Y53</f>
        <v>100802831.26999998</v>
      </c>
      <c r="X19" s="781">
        <f>+AnxRendInt!Z51+AnxRendInt!Z53</f>
        <v>36186.47</v>
      </c>
      <c r="Y19" s="780">
        <f t="shared" si="2"/>
        <v>0</v>
      </c>
      <c r="Z19" s="780">
        <f t="shared" si="2"/>
        <v>0</v>
      </c>
      <c r="AA19" s="263"/>
      <c r="AB19" s="263"/>
      <c r="AC19" s="263"/>
      <c r="AD19" s="263"/>
      <c r="AE19" s="263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160"/>
      <c r="CY19" s="160"/>
      <c r="CZ19" s="160"/>
      <c r="DA19" s="160"/>
      <c r="DB19" s="160"/>
      <c r="DC19" s="160"/>
      <c r="DD19" s="160"/>
      <c r="DE19" s="160"/>
      <c r="DF19" s="160"/>
      <c r="DG19" s="160"/>
      <c r="DH19" s="160"/>
      <c r="DI19" s="160"/>
      <c r="DJ19" s="160"/>
      <c r="DK19" s="160"/>
      <c r="DL19" s="160"/>
      <c r="DM19" s="160"/>
      <c r="DN19" s="160"/>
      <c r="DO19" s="160"/>
      <c r="DP19" s="160"/>
      <c r="DQ19" s="160"/>
      <c r="DR19" s="160"/>
      <c r="DS19" s="160"/>
      <c r="DT19" s="160"/>
      <c r="DU19" s="160"/>
      <c r="DV19" s="160"/>
      <c r="DW19" s="160"/>
      <c r="DX19" s="160"/>
      <c r="DY19" s="160"/>
      <c r="DZ19" s="160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160"/>
      <c r="EL19" s="160"/>
      <c r="EM19" s="160"/>
      <c r="EN19" s="160"/>
      <c r="EO19" s="160"/>
      <c r="EP19" s="160"/>
      <c r="EQ19" s="160"/>
      <c r="ER19" s="160"/>
      <c r="ES19" s="160"/>
      <c r="ET19" s="160"/>
      <c r="EU19" s="160"/>
      <c r="EV19" s="160"/>
      <c r="EW19" s="160"/>
      <c r="EX19" s="160"/>
      <c r="EY19" s="160"/>
      <c r="EZ19" s="160"/>
      <c r="FA19" s="160"/>
      <c r="FB19" s="160"/>
      <c r="FC19" s="160"/>
      <c r="FD19" s="160"/>
      <c r="FE19" s="160"/>
      <c r="FF19" s="160"/>
      <c r="FG19" s="160"/>
      <c r="FH19" s="160"/>
      <c r="FI19" s="160"/>
      <c r="FJ19" s="160"/>
      <c r="FK19" s="160"/>
      <c r="FL19" s="160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160"/>
      <c r="FX19" s="160"/>
      <c r="FY19" s="160"/>
      <c r="FZ19" s="160"/>
      <c r="GA19" s="160"/>
      <c r="GB19" s="160"/>
      <c r="GC19" s="160"/>
      <c r="GD19" s="160"/>
      <c r="GE19" s="160"/>
      <c r="GF19" s="160"/>
      <c r="GG19" s="160"/>
      <c r="GH19" s="160"/>
      <c r="GI19" s="160"/>
      <c r="GJ19" s="160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160"/>
      <c r="GV19" s="160"/>
      <c r="GW19" s="160"/>
      <c r="GX19" s="160"/>
      <c r="GY19" s="160"/>
      <c r="GZ19" s="160"/>
      <c r="HA19" s="160"/>
      <c r="HB19" s="160"/>
      <c r="HC19" s="160"/>
      <c r="HD19" s="160"/>
      <c r="HE19" s="160"/>
      <c r="HF19" s="160"/>
      <c r="HG19" s="160"/>
      <c r="HH19" s="160"/>
      <c r="HI19" s="160"/>
      <c r="HJ19" s="160"/>
      <c r="HK19" s="160"/>
      <c r="HL19" s="160"/>
      <c r="HM19" s="160"/>
      <c r="HN19" s="160"/>
      <c r="HO19" s="160"/>
      <c r="HP19" s="160"/>
      <c r="HQ19" s="160"/>
      <c r="HR19" s="160"/>
      <c r="HS19" s="160"/>
      <c r="HT19" s="160"/>
      <c r="HU19" s="160"/>
      <c r="HV19" s="160"/>
      <c r="HW19" s="160"/>
      <c r="HX19" s="160"/>
      <c r="HY19" s="160"/>
      <c r="HZ19" s="160"/>
      <c r="IA19" s="160"/>
      <c r="IB19" s="160"/>
      <c r="IC19" s="160"/>
      <c r="ID19" s="160"/>
      <c r="IE19" s="160"/>
      <c r="IF19" s="160"/>
      <c r="IG19" s="160"/>
      <c r="IH19" s="160"/>
      <c r="II19" s="160"/>
      <c r="IJ19" s="160"/>
      <c r="IK19" s="160"/>
      <c r="IL19" s="160"/>
      <c r="IM19" s="160"/>
      <c r="IN19" s="160"/>
      <c r="IO19" s="160"/>
      <c r="IP19" s="160"/>
      <c r="IQ19" s="160"/>
      <c r="IR19" s="160"/>
      <c r="IS19" s="160"/>
      <c r="IT19" s="160"/>
      <c r="IU19" s="160"/>
      <c r="IV19" s="160"/>
    </row>
    <row r="20" spans="1:256" ht="16.5">
      <c r="A20" s="40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781"/>
      <c r="X20" s="781"/>
      <c r="Y20" s="780"/>
      <c r="Z20" s="780"/>
      <c r="AA20" s="263"/>
      <c r="AB20" s="263"/>
      <c r="AC20" s="263"/>
      <c r="AD20" s="263"/>
      <c r="AE20" s="263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  <c r="DU20" s="160"/>
      <c r="DV20" s="160"/>
      <c r="DW20" s="160"/>
      <c r="DX20" s="160"/>
      <c r="DY20" s="160"/>
      <c r="DZ20" s="160"/>
      <c r="EA20" s="160"/>
      <c r="EB20" s="160"/>
      <c r="EC20" s="160"/>
      <c r="ED20" s="160"/>
      <c r="EE20" s="160"/>
      <c r="EF20" s="160"/>
      <c r="EG20" s="160"/>
      <c r="EH20" s="160"/>
      <c r="EI20" s="160"/>
      <c r="EJ20" s="160"/>
      <c r="EK20" s="160"/>
      <c r="EL20" s="160"/>
      <c r="EM20" s="160"/>
      <c r="EN20" s="160"/>
      <c r="EO20" s="160"/>
      <c r="EP20" s="160"/>
      <c r="EQ20" s="160"/>
      <c r="ER20" s="160"/>
      <c r="ES20" s="160"/>
      <c r="ET20" s="160"/>
      <c r="EU20" s="160"/>
      <c r="EV20" s="160"/>
      <c r="EW20" s="160"/>
      <c r="EX20" s="160"/>
      <c r="EY20" s="160"/>
      <c r="EZ20" s="160"/>
      <c r="FA20" s="160"/>
      <c r="FB20" s="160"/>
      <c r="FC20" s="160"/>
      <c r="FD20" s="160"/>
      <c r="FE20" s="160"/>
      <c r="FF20" s="160"/>
      <c r="FG20" s="160"/>
      <c r="FH20" s="160"/>
      <c r="FI20" s="160"/>
      <c r="FJ20" s="160"/>
      <c r="FK20" s="160"/>
      <c r="FL20" s="160"/>
      <c r="FM20" s="160"/>
      <c r="FN20" s="160"/>
      <c r="FO20" s="160"/>
      <c r="FP20" s="160"/>
      <c r="FQ20" s="160"/>
      <c r="FR20" s="160"/>
      <c r="FS20" s="160"/>
      <c r="FT20" s="160"/>
      <c r="FU20" s="160"/>
      <c r="FV20" s="160"/>
      <c r="FW20" s="160"/>
      <c r="FX20" s="160"/>
      <c r="FY20" s="160"/>
      <c r="FZ20" s="160"/>
      <c r="GA20" s="160"/>
      <c r="GB20" s="160"/>
      <c r="GC20" s="160"/>
      <c r="GD20" s="160"/>
      <c r="GE20" s="160"/>
      <c r="GF20" s="160"/>
      <c r="GG20" s="160"/>
      <c r="GH20" s="160"/>
      <c r="GI20" s="160"/>
      <c r="GJ20" s="160"/>
      <c r="GK20" s="160"/>
      <c r="GL20" s="160"/>
      <c r="GM20" s="160"/>
      <c r="GN20" s="160"/>
      <c r="GO20" s="160"/>
      <c r="GP20" s="160"/>
      <c r="GQ20" s="160"/>
      <c r="GR20" s="160"/>
      <c r="GS20" s="160"/>
      <c r="GT20" s="160"/>
      <c r="GU20" s="160"/>
      <c r="GV20" s="160"/>
      <c r="GW20" s="160"/>
      <c r="GX20" s="160"/>
      <c r="GY20" s="160"/>
      <c r="GZ20" s="160"/>
      <c r="HA20" s="160"/>
      <c r="HB20" s="160"/>
      <c r="HC20" s="160"/>
      <c r="HD20" s="160"/>
      <c r="HE20" s="160"/>
      <c r="HF20" s="160"/>
      <c r="HG20" s="160"/>
      <c r="HH20" s="160"/>
      <c r="HI20" s="160"/>
      <c r="HJ20" s="160"/>
      <c r="HK20" s="160"/>
      <c r="HL20" s="160"/>
      <c r="HM20" s="160"/>
      <c r="HN20" s="160"/>
      <c r="HO20" s="160"/>
      <c r="HP20" s="160"/>
      <c r="HQ20" s="160"/>
      <c r="HR20" s="160"/>
      <c r="HS20" s="160"/>
      <c r="HT20" s="160"/>
      <c r="HU20" s="160"/>
      <c r="HV20" s="160"/>
      <c r="HW20" s="160"/>
      <c r="HX20" s="160"/>
      <c r="HY20" s="160"/>
      <c r="HZ20" s="160"/>
      <c r="IA20" s="160"/>
      <c r="IB20" s="160"/>
      <c r="IC20" s="160"/>
      <c r="ID20" s="160"/>
      <c r="IE20" s="160"/>
      <c r="IF20" s="160"/>
      <c r="IG20" s="160"/>
      <c r="IH20" s="160"/>
      <c r="II20" s="160"/>
      <c r="IJ20" s="160"/>
      <c r="IK20" s="160"/>
      <c r="IL20" s="160"/>
      <c r="IM20" s="160"/>
      <c r="IN20" s="160"/>
      <c r="IO20" s="160"/>
      <c r="IP20" s="160"/>
      <c r="IQ20" s="160"/>
      <c r="IR20" s="160"/>
      <c r="IS20" s="160"/>
      <c r="IT20" s="160"/>
      <c r="IU20" s="160"/>
      <c r="IV20" s="160"/>
    </row>
    <row r="21" spans="1:256" ht="16.5">
      <c r="A21" s="430" t="s">
        <v>369</v>
      </c>
      <c r="B21" s="181" t="s">
        <v>38</v>
      </c>
      <c r="C21" s="264">
        <f>+Anx16BReg!C21</f>
        <v>1436052.3699999999</v>
      </c>
      <c r="D21" s="264">
        <f>+Anx16BReg!D21</f>
        <v>264.64</v>
      </c>
      <c r="E21" s="264">
        <f>+Anx16BReg!E21</f>
        <v>2110535.7799999998</v>
      </c>
      <c r="F21" s="264">
        <f>+Anx16BReg!F21</f>
        <v>0</v>
      </c>
      <c r="G21" s="264">
        <f>+Anx16BReg!G21</f>
        <v>932053.41999999993</v>
      </c>
      <c r="H21" s="264">
        <f>+Anx16BReg!H21</f>
        <v>336943.14</v>
      </c>
      <c r="I21" s="264">
        <f>+Anx16BReg!I21</f>
        <v>483710.98</v>
      </c>
      <c r="J21" s="264">
        <f>+Anx16BReg!J21</f>
        <v>0</v>
      </c>
      <c r="K21" s="264">
        <f>+Anx16BReg!K21</f>
        <v>0</v>
      </c>
      <c r="L21" s="264">
        <f>+Anx16BReg!L21</f>
        <v>433941.26</v>
      </c>
      <c r="M21" s="264">
        <f>+Anx16BReg!M21</f>
        <v>0</v>
      </c>
      <c r="N21" s="264">
        <f>+Anx16BReg!N21</f>
        <v>51703.91</v>
      </c>
      <c r="O21" s="264">
        <f>+Anx16BReg!O21</f>
        <v>0</v>
      </c>
      <c r="P21" s="264">
        <f>+Anx16BReg!P21</f>
        <v>0</v>
      </c>
      <c r="Q21" s="264">
        <f>+Anx16BReg!Q21</f>
        <v>73005.36</v>
      </c>
      <c r="R21" s="264">
        <f>+Anx16BReg!R21</f>
        <v>0</v>
      </c>
      <c r="S21" s="264">
        <f>+Anx16BReg!S21</f>
        <v>131846.82</v>
      </c>
      <c r="T21" s="264">
        <f>+Anx16BReg!T21</f>
        <v>5893.51</v>
      </c>
      <c r="U21" s="172">
        <f>C21+E21+G21+I21+K21+M21+O21+Q21+S21</f>
        <v>5167204.7299999995</v>
      </c>
      <c r="V21" s="172">
        <f>D21+F21+H21+J21+L21+N21+P21+R21+T21</f>
        <v>828746.46000000008</v>
      </c>
      <c r="W21" s="781">
        <f>+Anx16AMN!N72+Anx16AMN!Q45</f>
        <v>4173080.6500000004</v>
      </c>
      <c r="X21" s="781">
        <f>+Anx16AME!N72+Anx16AME!N45</f>
        <v>828746.46000000008</v>
      </c>
      <c r="Y21" s="780">
        <f>+W21-U21</f>
        <v>-994124.07999999914</v>
      </c>
      <c r="Z21" s="780">
        <f>+X21-V21</f>
        <v>0</v>
      </c>
      <c r="AA21" s="263"/>
      <c r="AB21" s="263"/>
      <c r="AC21" s="263"/>
      <c r="AD21" s="263"/>
      <c r="AE21" s="263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  <c r="EM21" s="160"/>
      <c r="EN21" s="160"/>
      <c r="EO21" s="160"/>
      <c r="EP21" s="160"/>
      <c r="EQ21" s="160"/>
      <c r="ER21" s="160"/>
      <c r="ES21" s="160"/>
      <c r="ET21" s="160"/>
      <c r="EU21" s="160"/>
      <c r="EV21" s="160"/>
      <c r="EW21" s="160"/>
      <c r="EX21" s="160"/>
      <c r="EY21" s="160"/>
      <c r="EZ21" s="160"/>
      <c r="FA21" s="160"/>
      <c r="FB21" s="160"/>
      <c r="FC21" s="160"/>
      <c r="FD21" s="160"/>
      <c r="FE21" s="160"/>
      <c r="FF21" s="160"/>
      <c r="FG21" s="160"/>
      <c r="FH21" s="160"/>
      <c r="FI21" s="160"/>
      <c r="FJ21" s="160"/>
      <c r="FK21" s="160"/>
      <c r="FL21" s="160"/>
      <c r="FM21" s="160"/>
      <c r="FN21" s="160"/>
      <c r="FO21" s="160"/>
      <c r="FP21" s="160"/>
      <c r="FQ21" s="160"/>
      <c r="FR21" s="160"/>
      <c r="FS21" s="160"/>
      <c r="FT21" s="160"/>
      <c r="FU21" s="160"/>
      <c r="FV21" s="160"/>
      <c r="FW21" s="160"/>
      <c r="FX21" s="160"/>
      <c r="FY21" s="160"/>
      <c r="FZ21" s="160"/>
      <c r="GA21" s="160"/>
      <c r="GB21" s="160"/>
      <c r="GC21" s="160"/>
      <c r="GD21" s="160"/>
      <c r="GE21" s="160"/>
      <c r="GF21" s="160"/>
      <c r="GG21" s="160"/>
      <c r="GH21" s="160"/>
      <c r="GI21" s="160"/>
      <c r="GJ21" s="160"/>
      <c r="GK21" s="160"/>
      <c r="GL21" s="160"/>
      <c r="GM21" s="160"/>
      <c r="GN21" s="160"/>
      <c r="GO21" s="160"/>
      <c r="GP21" s="160"/>
      <c r="GQ21" s="160"/>
      <c r="GR21" s="160"/>
      <c r="GS21" s="160"/>
      <c r="GT21" s="160"/>
      <c r="GU21" s="160"/>
      <c r="GV21" s="160"/>
      <c r="GW21" s="160"/>
      <c r="GX21" s="160"/>
      <c r="GY21" s="160"/>
      <c r="GZ21" s="160"/>
      <c r="HA21" s="160"/>
      <c r="HB21" s="160"/>
      <c r="HC21" s="160"/>
      <c r="HD21" s="160"/>
      <c r="HE21" s="160"/>
      <c r="HF21" s="160"/>
      <c r="HG21" s="160"/>
      <c r="HH21" s="160"/>
      <c r="HI21" s="160"/>
      <c r="HJ21" s="160"/>
      <c r="HK21" s="160"/>
      <c r="HL21" s="160"/>
      <c r="HM21" s="160"/>
      <c r="HN21" s="160"/>
      <c r="HO21" s="160"/>
      <c r="HP21" s="160"/>
      <c r="HQ21" s="160"/>
      <c r="HR21" s="160"/>
      <c r="HS21" s="160"/>
      <c r="HT21" s="160"/>
      <c r="HU21" s="160"/>
      <c r="HV21" s="160"/>
      <c r="HW21" s="160"/>
      <c r="HX21" s="160"/>
      <c r="HY21" s="160"/>
      <c r="HZ21" s="160"/>
      <c r="IA21" s="160"/>
      <c r="IB21" s="160"/>
      <c r="IC21" s="160"/>
      <c r="ID21" s="160"/>
      <c r="IE21" s="160"/>
      <c r="IF21" s="160"/>
      <c r="IG21" s="160"/>
      <c r="IH21" s="160"/>
      <c r="II21" s="160"/>
      <c r="IJ21" s="160"/>
      <c r="IK21" s="160"/>
      <c r="IL21" s="160"/>
      <c r="IM21" s="160"/>
      <c r="IN21" s="160"/>
      <c r="IO21" s="160"/>
      <c r="IP21" s="160"/>
      <c r="IQ21" s="160"/>
      <c r="IR21" s="160"/>
      <c r="IS21" s="160"/>
      <c r="IT21" s="160"/>
      <c r="IU21" s="160"/>
      <c r="IV21" s="160"/>
    </row>
    <row r="22" spans="1:256" ht="16.5">
      <c r="A22" s="426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781"/>
      <c r="X22" s="781"/>
      <c r="Y22" s="780"/>
      <c r="Z22" s="780"/>
      <c r="AA22" s="266"/>
      <c r="AB22" s="266"/>
      <c r="AC22" s="266"/>
      <c r="AD22" s="266"/>
      <c r="AE22" s="2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166"/>
      <c r="DA22" s="166"/>
      <c r="DB22" s="166"/>
      <c r="DC22" s="166"/>
      <c r="DD22" s="166"/>
      <c r="DE22" s="166"/>
      <c r="DF22" s="166"/>
      <c r="DG22" s="166"/>
      <c r="DH22" s="166"/>
      <c r="DI22" s="166"/>
      <c r="DJ22" s="166"/>
      <c r="DK22" s="166"/>
      <c r="DL22" s="166"/>
      <c r="DM22" s="166"/>
      <c r="DN22" s="166"/>
      <c r="DO22" s="166"/>
      <c r="DP22" s="166"/>
      <c r="DQ22" s="166"/>
      <c r="DR22" s="166"/>
      <c r="DS22" s="166"/>
      <c r="DT22" s="166"/>
      <c r="DU22" s="166"/>
      <c r="DV22" s="166"/>
      <c r="DW22" s="166"/>
      <c r="DX22" s="166"/>
      <c r="DY22" s="166"/>
      <c r="DZ22" s="166"/>
      <c r="EA22" s="166"/>
      <c r="EB22" s="166"/>
      <c r="EC22" s="166"/>
      <c r="ED22" s="166"/>
      <c r="EE22" s="166"/>
      <c r="EF22" s="166"/>
      <c r="EG22" s="166"/>
      <c r="EH22" s="166"/>
      <c r="EI22" s="166"/>
      <c r="EJ22" s="166"/>
      <c r="EK22" s="166"/>
      <c r="EL22" s="166"/>
      <c r="EM22" s="166"/>
      <c r="EN22" s="166"/>
      <c r="EO22" s="166"/>
      <c r="EP22" s="166"/>
      <c r="EQ22" s="166"/>
      <c r="ER22" s="166"/>
      <c r="ES22" s="166"/>
      <c r="ET22" s="166"/>
      <c r="EU22" s="166"/>
      <c r="EV22" s="166"/>
      <c r="EW22" s="166"/>
      <c r="EX22" s="166"/>
      <c r="EY22" s="166"/>
      <c r="EZ22" s="166"/>
      <c r="FA22" s="166"/>
      <c r="FB22" s="166"/>
      <c r="FC22" s="166"/>
      <c r="FD22" s="166"/>
      <c r="FE22" s="166"/>
      <c r="FF22" s="166"/>
      <c r="FG22" s="166"/>
      <c r="FH22" s="166"/>
      <c r="FI22" s="166"/>
      <c r="FJ22" s="166"/>
      <c r="FK22" s="166"/>
      <c r="FL22" s="166"/>
      <c r="FM22" s="166"/>
      <c r="FN22" s="166"/>
      <c r="FO22" s="166"/>
      <c r="FP22" s="166"/>
      <c r="FQ22" s="166"/>
      <c r="FR22" s="166"/>
      <c r="FS22" s="166"/>
      <c r="FT22" s="166"/>
      <c r="FU22" s="166"/>
      <c r="FV22" s="166"/>
      <c r="FW22" s="166"/>
      <c r="FX22" s="166"/>
      <c r="FY22" s="166"/>
      <c r="FZ22" s="166"/>
      <c r="GA22" s="166"/>
      <c r="GB22" s="166"/>
      <c r="GC22" s="166"/>
      <c r="GD22" s="166"/>
      <c r="GE22" s="166"/>
      <c r="GF22" s="166"/>
      <c r="GG22" s="166"/>
      <c r="GH22" s="166"/>
      <c r="GI22" s="166"/>
      <c r="GJ22" s="166"/>
      <c r="GK22" s="166"/>
      <c r="GL22" s="166"/>
      <c r="GM22" s="166"/>
      <c r="GN22" s="166"/>
      <c r="GO22" s="166"/>
      <c r="GP22" s="166"/>
      <c r="GQ22" s="166"/>
      <c r="GR22" s="166"/>
      <c r="GS22" s="166"/>
      <c r="GT22" s="166"/>
      <c r="GU22" s="166"/>
      <c r="GV22" s="166"/>
      <c r="GW22" s="166"/>
      <c r="GX22" s="166"/>
      <c r="GY22" s="166"/>
      <c r="GZ22" s="166"/>
      <c r="HA22" s="166"/>
      <c r="HB22" s="166"/>
      <c r="HC22" s="166"/>
      <c r="HD22" s="166"/>
      <c r="HE22" s="166"/>
      <c r="HF22" s="166"/>
      <c r="HG22" s="166"/>
      <c r="HH22" s="166"/>
      <c r="HI22" s="166"/>
      <c r="HJ22" s="166"/>
      <c r="HK22" s="166"/>
      <c r="HL22" s="166"/>
      <c r="HM22" s="166"/>
      <c r="HN22" s="166"/>
      <c r="HO22" s="166"/>
      <c r="HP22" s="166"/>
      <c r="HQ22" s="166"/>
      <c r="HR22" s="166"/>
      <c r="HS22" s="166"/>
      <c r="HT22" s="166"/>
      <c r="HU22" s="166"/>
      <c r="HV22" s="166"/>
      <c r="HW22" s="166"/>
      <c r="HX22" s="166"/>
      <c r="HY22" s="166"/>
      <c r="HZ22" s="166"/>
      <c r="IA22" s="166"/>
      <c r="IB22" s="166"/>
      <c r="IC22" s="166"/>
      <c r="ID22" s="166"/>
      <c r="IE22" s="166"/>
      <c r="IF22" s="166"/>
      <c r="IG22" s="166"/>
      <c r="IH22" s="166"/>
      <c r="II22" s="166"/>
      <c r="IJ22" s="166"/>
      <c r="IK22" s="166"/>
      <c r="IL22" s="166"/>
      <c r="IM22" s="166"/>
      <c r="IN22" s="166"/>
      <c r="IO22" s="166"/>
      <c r="IP22" s="166"/>
      <c r="IQ22" s="166"/>
      <c r="IR22" s="166"/>
      <c r="IS22" s="166"/>
      <c r="IT22" s="166"/>
      <c r="IU22" s="166"/>
      <c r="IV22" s="166"/>
    </row>
    <row r="23" spans="1:256" ht="16.5">
      <c r="A23" s="426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781"/>
      <c r="X23" s="781"/>
      <c r="Y23" s="780"/>
      <c r="Z23" s="780"/>
      <c r="AA23" s="266"/>
      <c r="AB23" s="266"/>
      <c r="AC23" s="266"/>
      <c r="AD23" s="266"/>
      <c r="AE23" s="2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6"/>
      <c r="CY23" s="166"/>
      <c r="CZ23" s="166"/>
      <c r="DA23" s="166"/>
      <c r="DB23" s="166"/>
      <c r="DC23" s="166"/>
      <c r="DD23" s="166"/>
      <c r="DE23" s="166"/>
      <c r="DF23" s="166"/>
      <c r="DG23" s="166"/>
      <c r="DH23" s="166"/>
      <c r="DI23" s="166"/>
      <c r="DJ23" s="166"/>
      <c r="DK23" s="166"/>
      <c r="DL23" s="166"/>
      <c r="DM23" s="166"/>
      <c r="DN23" s="166"/>
      <c r="DO23" s="166"/>
      <c r="DP23" s="166"/>
      <c r="DQ23" s="166"/>
      <c r="DR23" s="166"/>
      <c r="DS23" s="166"/>
      <c r="DT23" s="166"/>
      <c r="DU23" s="166"/>
      <c r="DV23" s="166"/>
      <c r="DW23" s="166"/>
      <c r="DX23" s="166"/>
      <c r="DY23" s="166"/>
      <c r="DZ23" s="166"/>
      <c r="EA23" s="166"/>
      <c r="EB23" s="166"/>
      <c r="EC23" s="166"/>
      <c r="ED23" s="166"/>
      <c r="EE23" s="166"/>
      <c r="EF23" s="166"/>
      <c r="EG23" s="166"/>
      <c r="EH23" s="166"/>
      <c r="EI23" s="166"/>
      <c r="EJ23" s="166"/>
      <c r="EK23" s="166"/>
      <c r="EL23" s="166"/>
      <c r="EM23" s="166"/>
      <c r="EN23" s="166"/>
      <c r="EO23" s="166"/>
      <c r="EP23" s="166"/>
      <c r="EQ23" s="166"/>
      <c r="ER23" s="166"/>
      <c r="ES23" s="166"/>
      <c r="ET23" s="166"/>
      <c r="EU23" s="166"/>
      <c r="EV23" s="166"/>
      <c r="EW23" s="166"/>
      <c r="EX23" s="166"/>
      <c r="EY23" s="166"/>
      <c r="EZ23" s="166"/>
      <c r="FA23" s="166"/>
      <c r="FB23" s="166"/>
      <c r="FC23" s="166"/>
      <c r="FD23" s="166"/>
      <c r="FE23" s="166"/>
      <c r="FF23" s="166"/>
      <c r="FG23" s="166"/>
      <c r="FH23" s="166"/>
      <c r="FI23" s="166"/>
      <c r="FJ23" s="166"/>
      <c r="FK23" s="166"/>
      <c r="FL23" s="166"/>
      <c r="FM23" s="166"/>
      <c r="FN23" s="166"/>
      <c r="FO23" s="166"/>
      <c r="FP23" s="166"/>
      <c r="FQ23" s="166"/>
      <c r="FR23" s="166"/>
      <c r="FS23" s="166"/>
      <c r="FT23" s="166"/>
      <c r="FU23" s="166"/>
      <c r="FV23" s="166"/>
      <c r="FW23" s="166"/>
      <c r="FX23" s="166"/>
      <c r="FY23" s="166"/>
      <c r="FZ23" s="166"/>
      <c r="GA23" s="166"/>
      <c r="GB23" s="166"/>
      <c r="GC23" s="166"/>
      <c r="GD23" s="166"/>
      <c r="GE23" s="166"/>
      <c r="GF23" s="166"/>
      <c r="GG23" s="166"/>
      <c r="GH23" s="166"/>
      <c r="GI23" s="166"/>
      <c r="GJ23" s="166"/>
      <c r="GK23" s="166"/>
      <c r="GL23" s="166"/>
      <c r="GM23" s="166"/>
      <c r="GN23" s="166"/>
      <c r="GO23" s="166"/>
      <c r="GP23" s="166"/>
      <c r="GQ23" s="166"/>
      <c r="GR23" s="166"/>
      <c r="GS23" s="166"/>
      <c r="GT23" s="166"/>
      <c r="GU23" s="166"/>
      <c r="GV23" s="166"/>
      <c r="GW23" s="166"/>
      <c r="GX23" s="166"/>
      <c r="GY23" s="166"/>
      <c r="GZ23" s="166"/>
      <c r="HA23" s="166"/>
      <c r="HB23" s="166"/>
      <c r="HC23" s="166"/>
      <c r="HD23" s="166"/>
      <c r="HE23" s="166"/>
      <c r="HF23" s="166"/>
      <c r="HG23" s="166"/>
      <c r="HH23" s="166"/>
      <c r="HI23" s="166"/>
      <c r="HJ23" s="166"/>
      <c r="HK23" s="166"/>
      <c r="HL23" s="166"/>
      <c r="HM23" s="166"/>
      <c r="HN23" s="166"/>
      <c r="HO23" s="166"/>
      <c r="HP23" s="166"/>
      <c r="HQ23" s="166"/>
      <c r="HR23" s="166"/>
      <c r="HS23" s="166"/>
      <c r="HT23" s="166"/>
      <c r="HU23" s="166"/>
      <c r="HV23" s="166"/>
      <c r="HW23" s="166"/>
      <c r="HX23" s="166"/>
      <c r="HY23" s="166"/>
      <c r="HZ23" s="166"/>
      <c r="IA23" s="166"/>
      <c r="IB23" s="166"/>
      <c r="IC23" s="166"/>
      <c r="ID23" s="166"/>
      <c r="IE23" s="166"/>
      <c r="IF23" s="166"/>
      <c r="IG23" s="166"/>
      <c r="IH23" s="166"/>
      <c r="II23" s="166"/>
      <c r="IJ23" s="166"/>
      <c r="IK23" s="166"/>
      <c r="IL23" s="166"/>
      <c r="IM23" s="166"/>
      <c r="IN23" s="166"/>
      <c r="IO23" s="166"/>
      <c r="IP23" s="166"/>
      <c r="IQ23" s="166"/>
      <c r="IR23" s="166"/>
      <c r="IS23" s="166"/>
      <c r="IT23" s="166"/>
      <c r="IU23" s="166"/>
      <c r="IV23" s="166"/>
    </row>
    <row r="24" spans="1:256" ht="16.5">
      <c r="A24" s="426"/>
      <c r="B24" s="180" t="s">
        <v>0</v>
      </c>
      <c r="C24" s="268">
        <f>SUM(C11:C23)-0.01</f>
        <v>60813380.998611696</v>
      </c>
      <c r="D24" s="268">
        <f>SUM(D11:D23)</f>
        <v>2234439.553262556</v>
      </c>
      <c r="E24" s="268">
        <f>SUM(E11:E23)-0.01</f>
        <v>26509600.365290646</v>
      </c>
      <c r="F24" s="268">
        <f>SUM(F11:F23)</f>
        <v>520384.51092823851</v>
      </c>
      <c r="G24" s="268">
        <f>SUM(G11:G23)+0.01</f>
        <v>19992656.501635525</v>
      </c>
      <c r="H24" s="268">
        <f>SUM(H11:H23)</f>
        <v>703324.26357405004</v>
      </c>
      <c r="I24" s="268">
        <f>SUM(I11:I23)</f>
        <v>13592822.366498267</v>
      </c>
      <c r="J24" s="268">
        <f>SUM(J11:J23)</f>
        <v>60112.765698004303</v>
      </c>
      <c r="K24" s="268">
        <f>SUM(K11:K23)</f>
        <v>16447705.85035447</v>
      </c>
      <c r="L24" s="268">
        <f>SUM(L11:L23)+0.01</f>
        <v>496605.50344270736</v>
      </c>
      <c r="M24" s="431">
        <f>SUM(M11:M23)+0.01</f>
        <v>13780903.375207411</v>
      </c>
      <c r="N24" s="268">
        <f>SUM(N11:N23)+0.01</f>
        <v>92155.211558414085</v>
      </c>
      <c r="O24" s="268">
        <f>SUM(O11:O23)</f>
        <v>36792537.375886425</v>
      </c>
      <c r="P24" s="268">
        <f>SUM(P11:P23)-0.01</f>
        <v>66865.897278253658</v>
      </c>
      <c r="Q24" s="268">
        <f>SUM(Q11:Q23)</f>
        <v>29054907.912471101</v>
      </c>
      <c r="R24" s="268">
        <f>SUM(R11:R23)</f>
        <v>90369.108566295778</v>
      </c>
      <c r="S24" s="268">
        <f>SUM(S11:S23)</f>
        <v>236462253.68404445</v>
      </c>
      <c r="T24" s="268">
        <f>SUM(T11:T23)+0.01</f>
        <v>1053889.5956914802</v>
      </c>
      <c r="U24" s="268">
        <f>SUM(U11:U23)+0.01</f>
        <v>453446768.44000006</v>
      </c>
      <c r="V24" s="268">
        <f>SUM(V11:V23)+0.01</f>
        <v>5318146.3999999994</v>
      </c>
      <c r="W24" s="781">
        <f>+Anx16AMN!N47+Anx16AMN!N75</f>
        <v>467670672.17000002</v>
      </c>
      <c r="X24" s="781">
        <f>+Anx16AME!N47+Anx16AME!N75</f>
        <v>5480321.1299999999</v>
      </c>
      <c r="Y24" s="780">
        <f>+W24-U24</f>
        <v>14223903.729999959</v>
      </c>
      <c r="Z24" s="780">
        <f>+X24-V24</f>
        <v>162174.73000000045</v>
      </c>
      <c r="AA24" s="266" t="s">
        <v>370</v>
      </c>
      <c r="AB24" s="266"/>
      <c r="AC24" s="266"/>
      <c r="AD24" s="266"/>
      <c r="AE24" s="2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66"/>
      <c r="DH24" s="166"/>
      <c r="DI24" s="166"/>
      <c r="DJ24" s="166"/>
      <c r="DK24" s="166"/>
      <c r="DL24" s="166"/>
      <c r="DM24" s="166"/>
      <c r="DN24" s="166"/>
      <c r="DO24" s="166"/>
      <c r="DP24" s="166"/>
      <c r="DQ24" s="166"/>
      <c r="DR24" s="166"/>
      <c r="DS24" s="166"/>
      <c r="DT24" s="166"/>
      <c r="DU24" s="166"/>
      <c r="DV24" s="166"/>
      <c r="DW24" s="166"/>
      <c r="DX24" s="166"/>
      <c r="DY24" s="166"/>
      <c r="DZ24" s="166"/>
      <c r="EA24" s="166"/>
      <c r="EB24" s="166"/>
      <c r="EC24" s="166"/>
      <c r="ED24" s="166"/>
      <c r="EE24" s="166"/>
      <c r="EF24" s="166"/>
      <c r="EG24" s="166"/>
      <c r="EH24" s="166"/>
      <c r="EI24" s="166"/>
      <c r="EJ24" s="166"/>
      <c r="EK24" s="166"/>
      <c r="EL24" s="166"/>
      <c r="EM24" s="166"/>
      <c r="EN24" s="166"/>
      <c r="EO24" s="166"/>
      <c r="EP24" s="166"/>
      <c r="EQ24" s="166"/>
      <c r="ER24" s="166"/>
      <c r="ES24" s="166"/>
      <c r="ET24" s="166"/>
      <c r="EU24" s="166"/>
      <c r="EV24" s="166"/>
      <c r="EW24" s="166"/>
      <c r="EX24" s="166"/>
      <c r="EY24" s="166"/>
      <c r="EZ24" s="166"/>
      <c r="FA24" s="166"/>
      <c r="FB24" s="166"/>
      <c r="FC24" s="166"/>
      <c r="FD24" s="166"/>
      <c r="FE24" s="166"/>
      <c r="FF24" s="166"/>
      <c r="FG24" s="166"/>
      <c r="FH24" s="166"/>
      <c r="FI24" s="166"/>
      <c r="FJ24" s="166"/>
      <c r="FK24" s="166"/>
      <c r="FL24" s="166"/>
      <c r="FM24" s="166"/>
      <c r="FN24" s="166"/>
      <c r="FO24" s="166"/>
      <c r="FP24" s="166"/>
      <c r="FQ24" s="166"/>
      <c r="FR24" s="166"/>
      <c r="FS24" s="166"/>
      <c r="FT24" s="166"/>
      <c r="FU24" s="166"/>
      <c r="FV24" s="166"/>
      <c r="FW24" s="166"/>
      <c r="FX24" s="166"/>
      <c r="FY24" s="166"/>
      <c r="FZ24" s="166"/>
      <c r="GA24" s="166"/>
      <c r="GB24" s="166"/>
      <c r="GC24" s="166"/>
      <c r="GD24" s="166"/>
      <c r="GE24" s="166"/>
      <c r="GF24" s="166"/>
      <c r="GG24" s="166"/>
      <c r="GH24" s="166"/>
      <c r="GI24" s="166"/>
      <c r="GJ24" s="166"/>
      <c r="GK24" s="166"/>
      <c r="GL24" s="166"/>
      <c r="GM24" s="166"/>
      <c r="GN24" s="166"/>
      <c r="GO24" s="166"/>
      <c r="GP24" s="166"/>
      <c r="GQ24" s="166"/>
      <c r="GR24" s="166"/>
      <c r="GS24" s="166"/>
      <c r="GT24" s="166"/>
      <c r="GU24" s="166"/>
      <c r="GV24" s="166"/>
      <c r="GW24" s="166"/>
      <c r="GX24" s="166"/>
      <c r="GY24" s="166"/>
      <c r="GZ24" s="166"/>
      <c r="HA24" s="166"/>
      <c r="HB24" s="166"/>
      <c r="HC24" s="166"/>
      <c r="HD24" s="166"/>
      <c r="HE24" s="166"/>
      <c r="HF24" s="166"/>
      <c r="HG24" s="166"/>
      <c r="HH24" s="166"/>
      <c r="HI24" s="166"/>
      <c r="HJ24" s="166"/>
      <c r="HK24" s="166"/>
      <c r="HL24" s="166"/>
      <c r="HM24" s="166"/>
      <c r="HN24" s="166"/>
      <c r="HO24" s="166"/>
      <c r="HP24" s="166"/>
      <c r="HQ24" s="166"/>
      <c r="HR24" s="166"/>
      <c r="HS24" s="166"/>
      <c r="HT24" s="166"/>
      <c r="HU24" s="166"/>
      <c r="HV24" s="166"/>
      <c r="HW24" s="166"/>
      <c r="HX24" s="166"/>
      <c r="HY24" s="166"/>
      <c r="HZ24" s="166"/>
      <c r="IA24" s="166"/>
      <c r="IB24" s="166"/>
      <c r="IC24" s="166"/>
      <c r="ID24" s="166"/>
      <c r="IE24" s="166"/>
      <c r="IF24" s="166"/>
      <c r="IG24" s="166"/>
      <c r="IH24" s="166"/>
      <c r="II24" s="166"/>
      <c r="IJ24" s="166"/>
      <c r="IK24" s="166"/>
      <c r="IL24" s="166"/>
      <c r="IM24" s="166"/>
      <c r="IN24" s="166"/>
      <c r="IO24" s="166"/>
      <c r="IP24" s="166"/>
      <c r="IQ24" s="166"/>
      <c r="IR24" s="166"/>
      <c r="IS24" s="166"/>
      <c r="IT24" s="166"/>
      <c r="IU24" s="166"/>
      <c r="IV24" s="166"/>
    </row>
    <row r="25" spans="1:256" ht="16.5">
      <c r="A25" s="426"/>
      <c r="B25" s="179" t="s">
        <v>40</v>
      </c>
      <c r="C25" s="268"/>
      <c r="D25" s="268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8"/>
      <c r="S25" s="269"/>
      <c r="T25" s="269"/>
      <c r="U25" s="269"/>
      <c r="V25" s="269"/>
      <c r="W25" s="781"/>
      <c r="X25" s="781"/>
      <c r="Y25" s="781">
        <f>Anx16AMN!N23+Anx16AMN!N33+Anx16AMN!N38+Anx16AMN!N42</f>
        <v>11152546.51</v>
      </c>
      <c r="Z25" s="781">
        <f>+Anx16AME!N23+Anx16AME!N33+Anx16AME!N38+Anx16AME!N42</f>
        <v>162174.74</v>
      </c>
      <c r="AA25" s="266">
        <f>+Y24-Y25-Y14</f>
        <v>-1.0000040754675865E-2</v>
      </c>
      <c r="AB25" s="266">
        <f>+Z24-Z25-Z14-Z13</f>
        <v>-9.9999995436519384E-3</v>
      </c>
      <c r="AC25" s="266"/>
      <c r="AD25" s="266"/>
      <c r="AE25" s="2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66"/>
      <c r="DH25" s="166"/>
      <c r="DI25" s="166"/>
      <c r="DJ25" s="166"/>
      <c r="DK25" s="166"/>
      <c r="DL25" s="166"/>
      <c r="DM25" s="166"/>
      <c r="DN25" s="166"/>
      <c r="DO25" s="166"/>
      <c r="DP25" s="166"/>
      <c r="DQ25" s="166"/>
      <c r="DR25" s="166"/>
      <c r="DS25" s="166"/>
      <c r="DT25" s="166"/>
      <c r="DU25" s="166"/>
      <c r="DV25" s="166"/>
      <c r="DW25" s="166"/>
      <c r="DX25" s="166"/>
      <c r="DY25" s="166"/>
      <c r="DZ25" s="166"/>
      <c r="EA25" s="166"/>
      <c r="EB25" s="166"/>
      <c r="EC25" s="166"/>
      <c r="ED25" s="166"/>
      <c r="EE25" s="166"/>
      <c r="EF25" s="166"/>
      <c r="EG25" s="166"/>
      <c r="EH25" s="166"/>
      <c r="EI25" s="166"/>
      <c r="EJ25" s="166"/>
      <c r="EK25" s="166"/>
      <c r="EL25" s="166"/>
      <c r="EM25" s="166"/>
      <c r="EN25" s="166"/>
      <c r="EO25" s="166"/>
      <c r="EP25" s="166"/>
      <c r="EQ25" s="166"/>
      <c r="ER25" s="166"/>
      <c r="ES25" s="166"/>
      <c r="ET25" s="166"/>
      <c r="EU25" s="166"/>
      <c r="EV25" s="166"/>
      <c r="EW25" s="166"/>
      <c r="EX25" s="166"/>
      <c r="EY25" s="166"/>
      <c r="EZ25" s="166"/>
      <c r="FA25" s="166"/>
      <c r="FB25" s="166"/>
      <c r="FC25" s="166"/>
      <c r="FD25" s="166"/>
      <c r="FE25" s="166"/>
      <c r="FF25" s="166"/>
      <c r="FG25" s="166"/>
      <c r="FH25" s="166"/>
      <c r="FI25" s="166"/>
      <c r="FJ25" s="166"/>
      <c r="FK25" s="166"/>
      <c r="FL25" s="166"/>
      <c r="FM25" s="166"/>
      <c r="FN25" s="166"/>
      <c r="FO25" s="166"/>
      <c r="FP25" s="166"/>
      <c r="FQ25" s="166"/>
      <c r="FR25" s="166"/>
      <c r="FS25" s="166"/>
      <c r="FT25" s="166"/>
      <c r="FU25" s="166"/>
      <c r="FV25" s="166"/>
      <c r="FW25" s="166"/>
      <c r="FX25" s="166"/>
      <c r="FY25" s="166"/>
      <c r="FZ25" s="166"/>
      <c r="GA25" s="166"/>
      <c r="GB25" s="166"/>
      <c r="GC25" s="166"/>
      <c r="GD25" s="166"/>
      <c r="GE25" s="166"/>
      <c r="GF25" s="166"/>
      <c r="GG25" s="166"/>
      <c r="GH25" s="166"/>
      <c r="GI25" s="166"/>
      <c r="GJ25" s="166"/>
      <c r="GK25" s="166"/>
      <c r="GL25" s="166"/>
      <c r="GM25" s="166"/>
      <c r="GN25" s="166"/>
      <c r="GO25" s="166"/>
      <c r="GP25" s="166"/>
      <c r="GQ25" s="166"/>
      <c r="GR25" s="166"/>
      <c r="GS25" s="166"/>
      <c r="GT25" s="166"/>
      <c r="GU25" s="166"/>
      <c r="GV25" s="166"/>
      <c r="GW25" s="166"/>
      <c r="GX25" s="166"/>
      <c r="GY25" s="166"/>
      <c r="GZ25" s="166"/>
      <c r="HA25" s="166"/>
      <c r="HB25" s="166"/>
      <c r="HC25" s="166"/>
      <c r="HD25" s="166"/>
      <c r="HE25" s="166"/>
      <c r="HF25" s="166"/>
      <c r="HG25" s="166"/>
      <c r="HH25" s="166"/>
      <c r="HI25" s="166"/>
      <c r="HJ25" s="166"/>
      <c r="HK25" s="166"/>
      <c r="HL25" s="166"/>
      <c r="HM25" s="166"/>
      <c r="HN25" s="166"/>
      <c r="HO25" s="166"/>
      <c r="HP25" s="166"/>
      <c r="HQ25" s="166"/>
      <c r="HR25" s="166"/>
      <c r="HS25" s="166"/>
      <c r="HT25" s="166"/>
      <c r="HU25" s="166"/>
      <c r="HV25" s="166"/>
      <c r="HW25" s="166"/>
      <c r="HX25" s="166"/>
      <c r="HY25" s="166"/>
      <c r="HZ25" s="166"/>
      <c r="IA25" s="166"/>
      <c r="IB25" s="166"/>
      <c r="IC25" s="166"/>
      <c r="ID25" s="166"/>
      <c r="IE25" s="166"/>
      <c r="IF25" s="166"/>
      <c r="IG25" s="166"/>
      <c r="IH25" s="166"/>
      <c r="II25" s="166"/>
      <c r="IJ25" s="166"/>
      <c r="IK25" s="166"/>
      <c r="IL25" s="166"/>
      <c r="IM25" s="166"/>
      <c r="IN25" s="166"/>
      <c r="IO25" s="166"/>
      <c r="IP25" s="166"/>
      <c r="IQ25" s="166"/>
      <c r="IR25" s="166"/>
      <c r="IS25" s="166"/>
      <c r="IT25" s="166"/>
      <c r="IU25" s="166"/>
      <c r="IV25" s="166"/>
    </row>
    <row r="26" spans="1:256" ht="16.5">
      <c r="A26" s="40" t="s">
        <v>115</v>
      </c>
      <c r="B26" s="169" t="s">
        <v>59</v>
      </c>
      <c r="C26" s="178">
        <f>+'Créditos-Esc Especifico'!B173</f>
        <v>137544.45000000001</v>
      </c>
      <c r="D26" s="178">
        <f>+'Créditos-Esc Especifico'!C173</f>
        <v>83.736000000000004</v>
      </c>
      <c r="E26" s="178">
        <f>+'Créditos-Esc Especifico'!D173</f>
        <v>0</v>
      </c>
      <c r="F26" s="178">
        <f>+'Créditos-Esc Especifico'!E173</f>
        <v>29.623999999999999</v>
      </c>
      <c r="G26" s="178">
        <f>+'Créditos-Esc Especifico'!F173</f>
        <v>0</v>
      </c>
      <c r="H26" s="178">
        <f>+'Créditos-Esc Especifico'!G173</f>
        <v>0</v>
      </c>
      <c r="I26" s="178">
        <f>+'Créditos-Esc Especifico'!H173</f>
        <v>0</v>
      </c>
      <c r="J26" s="178">
        <f>+'Créditos-Esc Especifico'!I173</f>
        <v>0</v>
      </c>
      <c r="K26" s="178">
        <f>+'Créditos-Esc Especifico'!J173</f>
        <v>0</v>
      </c>
      <c r="L26" s="178">
        <f>+'Créditos-Esc Especifico'!K173</f>
        <v>0</v>
      </c>
      <c r="M26" s="178">
        <f>+'Créditos-Esc Especifico'!L173</f>
        <v>0</v>
      </c>
      <c r="N26" s="178">
        <f>+'Créditos-Esc Especifico'!M173</f>
        <v>0</v>
      </c>
      <c r="O26" s="178">
        <f>+'Créditos-Esc Especifico'!N173</f>
        <v>0</v>
      </c>
      <c r="P26" s="178">
        <f>+'Créditos-Esc Especifico'!O173</f>
        <v>0</v>
      </c>
      <c r="Q26" s="178">
        <f>+'Créditos-Esc Especifico'!P173</f>
        <v>0</v>
      </c>
      <c r="R26" s="178">
        <f>+'Créditos-Esc Especifico'!Q173</f>
        <v>0</v>
      </c>
      <c r="S26" s="178">
        <f>+'Créditos-Esc Especifico'!R173</f>
        <v>0</v>
      </c>
      <c r="T26" s="178">
        <f>+'Créditos-Esc Especifico'!S173</f>
        <v>0</v>
      </c>
      <c r="U26" s="172">
        <f>C26+E26+G26+I26+K26+M26+O26+Q26+S26</f>
        <v>137544.45000000001</v>
      </c>
      <c r="V26" s="172">
        <f>D26+F26+H26+J26+L26+N26+P26+R26+T26</f>
        <v>113.36</v>
      </c>
      <c r="W26" s="781">
        <f>+Anx16AMN!N77</f>
        <v>137544.45000000001</v>
      </c>
      <c r="X26" s="781">
        <f>+Anx16AME!N77</f>
        <v>113.36000000000001</v>
      </c>
      <c r="Y26" s="780">
        <f>+W26-U26</f>
        <v>0</v>
      </c>
      <c r="Z26" s="780">
        <f>+X26-V26</f>
        <v>0</v>
      </c>
      <c r="AA26" s="266"/>
      <c r="AB26" s="266"/>
      <c r="AC26" s="266"/>
      <c r="AD26" s="266"/>
      <c r="AE26" s="2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  <c r="DS26" s="166"/>
      <c r="DT26" s="166"/>
      <c r="DU26" s="166"/>
      <c r="DV26" s="166"/>
      <c r="DW26" s="166"/>
      <c r="DX26" s="166"/>
      <c r="DY26" s="166"/>
      <c r="DZ26" s="166"/>
      <c r="EA26" s="166"/>
      <c r="EB26" s="166"/>
      <c r="EC26" s="166"/>
      <c r="ED26" s="166"/>
      <c r="EE26" s="166"/>
      <c r="EF26" s="166"/>
      <c r="EG26" s="166"/>
      <c r="EH26" s="166"/>
      <c r="EI26" s="166"/>
      <c r="EJ26" s="166"/>
      <c r="EK26" s="166"/>
      <c r="EL26" s="166"/>
      <c r="EM26" s="166"/>
      <c r="EN26" s="166"/>
      <c r="EO26" s="166"/>
      <c r="EP26" s="166"/>
      <c r="EQ26" s="166"/>
      <c r="ER26" s="166"/>
      <c r="ES26" s="166"/>
      <c r="ET26" s="166"/>
      <c r="EU26" s="166"/>
      <c r="EV26" s="166"/>
      <c r="EW26" s="166"/>
      <c r="EX26" s="166"/>
      <c r="EY26" s="166"/>
      <c r="EZ26" s="166"/>
      <c r="FA26" s="166"/>
      <c r="FB26" s="166"/>
      <c r="FC26" s="166"/>
      <c r="FD26" s="166"/>
      <c r="FE26" s="166"/>
      <c r="FF26" s="166"/>
      <c r="FG26" s="166"/>
      <c r="FH26" s="166"/>
      <c r="FI26" s="166"/>
      <c r="FJ26" s="166"/>
      <c r="FK26" s="166"/>
      <c r="FL26" s="166"/>
      <c r="FM26" s="166"/>
      <c r="FN26" s="166"/>
      <c r="FO26" s="166"/>
      <c r="FP26" s="166"/>
      <c r="FQ26" s="166"/>
      <c r="FR26" s="166"/>
      <c r="FS26" s="166"/>
      <c r="FT26" s="166"/>
      <c r="FU26" s="166"/>
      <c r="FV26" s="166"/>
      <c r="FW26" s="166"/>
      <c r="FX26" s="166"/>
      <c r="FY26" s="166"/>
      <c r="FZ26" s="166"/>
      <c r="GA26" s="166"/>
      <c r="GB26" s="166"/>
      <c r="GC26" s="166"/>
      <c r="GD26" s="166"/>
      <c r="GE26" s="166"/>
      <c r="GF26" s="166"/>
      <c r="GG26" s="166"/>
      <c r="GH26" s="166"/>
      <c r="GI26" s="166"/>
      <c r="GJ26" s="166"/>
      <c r="GK26" s="166"/>
      <c r="GL26" s="166"/>
      <c r="GM26" s="166"/>
      <c r="GN26" s="166"/>
      <c r="GO26" s="166"/>
      <c r="GP26" s="166"/>
      <c r="GQ26" s="166"/>
      <c r="GR26" s="166"/>
      <c r="GS26" s="166"/>
      <c r="GT26" s="166"/>
      <c r="GU26" s="166"/>
      <c r="GV26" s="166"/>
      <c r="GW26" s="166"/>
      <c r="GX26" s="166"/>
      <c r="GY26" s="166"/>
      <c r="GZ26" s="166"/>
      <c r="HA26" s="166"/>
      <c r="HB26" s="166"/>
      <c r="HC26" s="166"/>
      <c r="HD26" s="166"/>
      <c r="HE26" s="166"/>
      <c r="HF26" s="166"/>
      <c r="HG26" s="166"/>
      <c r="HH26" s="166"/>
      <c r="HI26" s="166"/>
      <c r="HJ26" s="166"/>
      <c r="HK26" s="166"/>
      <c r="HL26" s="166"/>
      <c r="HM26" s="166"/>
      <c r="HN26" s="166"/>
      <c r="HO26" s="166"/>
      <c r="HP26" s="166"/>
      <c r="HQ26" s="166"/>
      <c r="HR26" s="166"/>
      <c r="HS26" s="166"/>
      <c r="HT26" s="166"/>
      <c r="HU26" s="166"/>
      <c r="HV26" s="166"/>
      <c r="HW26" s="166"/>
      <c r="HX26" s="166"/>
      <c r="HY26" s="166"/>
      <c r="HZ26" s="166"/>
      <c r="IA26" s="166"/>
      <c r="IB26" s="166"/>
      <c r="IC26" s="166"/>
      <c r="ID26" s="166"/>
      <c r="IE26" s="166"/>
      <c r="IF26" s="166"/>
      <c r="IG26" s="166"/>
      <c r="IH26" s="166"/>
      <c r="II26" s="166"/>
      <c r="IJ26" s="166"/>
      <c r="IK26" s="166"/>
      <c r="IL26" s="166"/>
      <c r="IM26" s="166"/>
      <c r="IN26" s="166"/>
      <c r="IO26" s="166"/>
      <c r="IP26" s="166"/>
      <c r="IQ26" s="166"/>
      <c r="IR26" s="166"/>
      <c r="IS26" s="166"/>
      <c r="IT26" s="166"/>
      <c r="IU26" s="166"/>
      <c r="IV26" s="166"/>
    </row>
    <row r="27" spans="1:256" ht="16.5">
      <c r="A27" s="40" t="s">
        <v>115</v>
      </c>
      <c r="B27" s="169" t="s">
        <v>60</v>
      </c>
      <c r="C27" s="178">
        <f>+'Créditos-Esc Especifico'!B174</f>
        <v>0</v>
      </c>
      <c r="D27" s="178">
        <f>+'Créditos-Esc Especifico'!C174</f>
        <v>0</v>
      </c>
      <c r="E27" s="178">
        <f>+'Créditos-Esc Especifico'!D174</f>
        <v>0</v>
      </c>
      <c r="F27" s="178">
        <f>+'Créditos-Esc Especifico'!E174</f>
        <v>0</v>
      </c>
      <c r="G27" s="178">
        <f>+'Créditos-Esc Especifico'!F174</f>
        <v>0</v>
      </c>
      <c r="H27" s="178">
        <f>+'Créditos-Esc Especifico'!G174</f>
        <v>0</v>
      </c>
      <c r="I27" s="178">
        <f>+'Créditos-Esc Especifico'!H174</f>
        <v>0</v>
      </c>
      <c r="J27" s="178">
        <f>+'Créditos-Esc Especifico'!I174</f>
        <v>0</v>
      </c>
      <c r="K27" s="178">
        <f>+'Créditos-Esc Especifico'!J174</f>
        <v>0</v>
      </c>
      <c r="L27" s="178">
        <f>+'Créditos-Esc Especifico'!K174</f>
        <v>0</v>
      </c>
      <c r="M27" s="178">
        <f>+'Créditos-Esc Especifico'!L174</f>
        <v>0</v>
      </c>
      <c r="N27" s="178">
        <f>+'Créditos-Esc Especifico'!M174</f>
        <v>0</v>
      </c>
      <c r="O27" s="178">
        <f>+'Créditos-Esc Especifico'!N174</f>
        <v>0</v>
      </c>
      <c r="P27" s="178">
        <f>+'Créditos-Esc Especifico'!O174</f>
        <v>0</v>
      </c>
      <c r="Q27" s="178">
        <f>+'Créditos-Esc Especifico'!P174</f>
        <v>0</v>
      </c>
      <c r="R27" s="178">
        <f>+'Créditos-Esc Especifico'!Q174</f>
        <v>0</v>
      </c>
      <c r="S27" s="178">
        <f>+'Créditos-Esc Especifico'!R174</f>
        <v>0</v>
      </c>
      <c r="T27" s="178">
        <f>+'Créditos-Esc Especifico'!S174</f>
        <v>0</v>
      </c>
      <c r="U27" s="172">
        <f t="shared" ref="U27:V42" si="3">C27+E27+G27+I27+K27+M27+O27+Q27+S27</f>
        <v>0</v>
      </c>
      <c r="V27" s="172">
        <f t="shared" si="3"/>
        <v>0</v>
      </c>
      <c r="W27" s="781">
        <f>+Anx16AMN!N78</f>
        <v>0</v>
      </c>
      <c r="X27" s="781">
        <f>+Anx16AME!N78</f>
        <v>0</v>
      </c>
      <c r="Y27" s="780">
        <f t="shared" ref="Y27:Z45" si="4">+W27-U27</f>
        <v>0</v>
      </c>
      <c r="Z27" s="780">
        <f t="shared" si="4"/>
        <v>0</v>
      </c>
      <c r="AA27" s="266"/>
      <c r="AB27" s="266"/>
      <c r="AC27" s="266"/>
      <c r="AD27" s="266"/>
      <c r="AE27" s="2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  <c r="DQ27" s="166"/>
      <c r="DR27" s="166"/>
      <c r="DS27" s="166"/>
      <c r="DT27" s="166"/>
      <c r="DU27" s="166"/>
      <c r="DV27" s="166"/>
      <c r="DW27" s="166"/>
      <c r="DX27" s="166"/>
      <c r="DY27" s="166"/>
      <c r="DZ27" s="166"/>
      <c r="EA27" s="166"/>
      <c r="EB27" s="166"/>
      <c r="EC27" s="166"/>
      <c r="ED27" s="166"/>
      <c r="EE27" s="166"/>
      <c r="EF27" s="166"/>
      <c r="EG27" s="166"/>
      <c r="EH27" s="166"/>
      <c r="EI27" s="166"/>
      <c r="EJ27" s="166"/>
      <c r="EK27" s="166"/>
      <c r="EL27" s="166"/>
      <c r="EM27" s="166"/>
      <c r="EN27" s="166"/>
      <c r="EO27" s="166"/>
      <c r="EP27" s="166"/>
      <c r="EQ27" s="166"/>
      <c r="ER27" s="166"/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66"/>
      <c r="FJ27" s="166"/>
      <c r="FK27" s="166"/>
      <c r="FL27" s="166"/>
      <c r="FM27" s="166"/>
      <c r="FN27" s="166"/>
      <c r="FO27" s="166"/>
      <c r="FP27" s="166"/>
      <c r="FQ27" s="166"/>
      <c r="FR27" s="166"/>
      <c r="FS27" s="166"/>
      <c r="FT27" s="166"/>
      <c r="FU27" s="166"/>
      <c r="FV27" s="166"/>
      <c r="FW27" s="166"/>
      <c r="FX27" s="166"/>
      <c r="FY27" s="166"/>
      <c r="FZ27" s="166"/>
      <c r="GA27" s="166"/>
      <c r="GB27" s="166"/>
      <c r="GC27" s="166"/>
      <c r="GD27" s="166"/>
      <c r="GE27" s="166"/>
      <c r="GF27" s="166"/>
      <c r="GG27" s="166"/>
      <c r="GH27" s="166"/>
      <c r="GI27" s="166"/>
      <c r="GJ27" s="166"/>
      <c r="GK27" s="166"/>
      <c r="GL27" s="166"/>
      <c r="GM27" s="166"/>
      <c r="GN27" s="166"/>
      <c r="GO27" s="166"/>
      <c r="GP27" s="166"/>
      <c r="GQ27" s="166"/>
      <c r="GR27" s="166"/>
      <c r="GS27" s="166"/>
      <c r="GT27" s="166"/>
      <c r="GU27" s="166"/>
      <c r="GV27" s="166"/>
      <c r="GW27" s="166"/>
      <c r="GX27" s="166"/>
      <c r="GY27" s="166"/>
      <c r="GZ27" s="166"/>
      <c r="HA27" s="166"/>
      <c r="HB27" s="166"/>
      <c r="HC27" s="166"/>
      <c r="HD27" s="166"/>
      <c r="HE27" s="166"/>
      <c r="HF27" s="166"/>
      <c r="HG27" s="166"/>
      <c r="HH27" s="166"/>
      <c r="HI27" s="166"/>
      <c r="HJ27" s="166"/>
      <c r="HK27" s="166"/>
      <c r="HL27" s="166"/>
      <c r="HM27" s="166"/>
      <c r="HN27" s="166"/>
      <c r="HO27" s="166"/>
      <c r="HP27" s="166"/>
      <c r="HQ27" s="166"/>
      <c r="HR27" s="166"/>
      <c r="HS27" s="166"/>
      <c r="HT27" s="166"/>
      <c r="HU27" s="166"/>
      <c r="HV27" s="166"/>
      <c r="HW27" s="166"/>
      <c r="HX27" s="166"/>
      <c r="HY27" s="166"/>
      <c r="HZ27" s="166"/>
      <c r="IA27" s="166"/>
      <c r="IB27" s="166"/>
      <c r="IC27" s="166"/>
      <c r="ID27" s="166"/>
      <c r="IE27" s="166"/>
      <c r="IF27" s="166"/>
      <c r="IG27" s="166"/>
      <c r="IH27" s="166"/>
      <c r="II27" s="166"/>
      <c r="IJ27" s="166"/>
      <c r="IK27" s="166"/>
      <c r="IL27" s="166"/>
      <c r="IM27" s="166"/>
      <c r="IN27" s="166"/>
      <c r="IO27" s="166"/>
      <c r="IP27" s="166"/>
      <c r="IQ27" s="166"/>
      <c r="IR27" s="166"/>
      <c r="IS27" s="166"/>
      <c r="IT27" s="166"/>
      <c r="IU27" s="166"/>
      <c r="IV27" s="166"/>
    </row>
    <row r="28" spans="1:256" ht="16.5">
      <c r="A28" s="40" t="s">
        <v>115</v>
      </c>
      <c r="B28" s="169" t="s">
        <v>61</v>
      </c>
      <c r="C28" s="178">
        <f>+'Créditos-Esc Especifico'!B175</f>
        <v>0</v>
      </c>
      <c r="D28" s="178">
        <f>+'Créditos-Esc Especifico'!C175</f>
        <v>0</v>
      </c>
      <c r="E28" s="178">
        <f>+'Créditos-Esc Especifico'!D175</f>
        <v>0</v>
      </c>
      <c r="F28" s="178">
        <f>+'Créditos-Esc Especifico'!E175</f>
        <v>0</v>
      </c>
      <c r="G28" s="178">
        <f>+'Créditos-Esc Especifico'!F175</f>
        <v>0</v>
      </c>
      <c r="H28" s="178">
        <f>+'Créditos-Esc Especifico'!G175</f>
        <v>0</v>
      </c>
      <c r="I28" s="178">
        <f>+'Créditos-Esc Especifico'!H175</f>
        <v>0</v>
      </c>
      <c r="J28" s="178">
        <f>+'Créditos-Esc Especifico'!I175</f>
        <v>0</v>
      </c>
      <c r="K28" s="178">
        <f>+'Créditos-Esc Especifico'!J175</f>
        <v>0</v>
      </c>
      <c r="L28" s="178">
        <f>+'Créditos-Esc Especifico'!K175</f>
        <v>0</v>
      </c>
      <c r="M28" s="178">
        <f>+'Créditos-Esc Especifico'!L175</f>
        <v>0</v>
      </c>
      <c r="N28" s="178">
        <f>+'Créditos-Esc Especifico'!M175</f>
        <v>0</v>
      </c>
      <c r="O28" s="178">
        <f>+'Créditos-Esc Especifico'!N175</f>
        <v>0</v>
      </c>
      <c r="P28" s="178">
        <f>+'Créditos-Esc Especifico'!O175</f>
        <v>0</v>
      </c>
      <c r="Q28" s="178">
        <f>+'Créditos-Esc Especifico'!P175</f>
        <v>0</v>
      </c>
      <c r="R28" s="178">
        <f>+'Créditos-Esc Especifico'!Q175</f>
        <v>0</v>
      </c>
      <c r="S28" s="178">
        <f>+'Créditos-Esc Especifico'!R175</f>
        <v>0</v>
      </c>
      <c r="T28" s="178">
        <f>+'Créditos-Esc Especifico'!S175</f>
        <v>0</v>
      </c>
      <c r="U28" s="172">
        <f t="shared" si="3"/>
        <v>0</v>
      </c>
      <c r="V28" s="172">
        <f t="shared" si="3"/>
        <v>0</v>
      </c>
      <c r="W28" s="781">
        <f>+Anx16AMN!N79</f>
        <v>0</v>
      </c>
      <c r="X28" s="781">
        <f>+Anx16AME!N79</f>
        <v>0</v>
      </c>
      <c r="Y28" s="780">
        <f t="shared" si="4"/>
        <v>0</v>
      </c>
      <c r="Z28" s="780">
        <f t="shared" si="4"/>
        <v>0</v>
      </c>
      <c r="AA28" s="266"/>
      <c r="AB28" s="266"/>
      <c r="AC28" s="266"/>
      <c r="AD28" s="266"/>
      <c r="AE28" s="2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66"/>
      <c r="GN28" s="166"/>
      <c r="GO28" s="166"/>
      <c r="GP28" s="166"/>
      <c r="GQ28" s="166"/>
      <c r="GR28" s="166"/>
      <c r="GS28" s="166"/>
      <c r="GT28" s="166"/>
      <c r="GU28" s="166"/>
      <c r="GV28" s="166"/>
      <c r="GW28" s="166"/>
      <c r="GX28" s="166"/>
      <c r="GY28" s="166"/>
      <c r="GZ28" s="166"/>
      <c r="HA28" s="166"/>
      <c r="HB28" s="166"/>
      <c r="HC28" s="166"/>
      <c r="HD28" s="166"/>
      <c r="HE28" s="166"/>
      <c r="HF28" s="166"/>
      <c r="HG28" s="166"/>
      <c r="HH28" s="166"/>
      <c r="HI28" s="166"/>
      <c r="HJ28" s="166"/>
      <c r="HK28" s="166"/>
      <c r="HL28" s="166"/>
      <c r="HM28" s="166"/>
      <c r="HN28" s="166"/>
      <c r="HO28" s="166"/>
      <c r="HP28" s="166"/>
      <c r="HQ28" s="166"/>
      <c r="HR28" s="166"/>
      <c r="HS28" s="166"/>
      <c r="HT28" s="166"/>
      <c r="HU28" s="166"/>
      <c r="HV28" s="166"/>
      <c r="HW28" s="166"/>
      <c r="HX28" s="166"/>
      <c r="HY28" s="166"/>
      <c r="HZ28" s="166"/>
      <c r="IA28" s="166"/>
      <c r="IB28" s="166"/>
      <c r="IC28" s="166"/>
      <c r="ID28" s="166"/>
      <c r="IE28" s="166"/>
      <c r="IF28" s="166"/>
      <c r="IG28" s="166"/>
      <c r="IH28" s="166"/>
      <c r="II28" s="166"/>
      <c r="IJ28" s="166"/>
      <c r="IK28" s="166"/>
      <c r="IL28" s="166"/>
      <c r="IM28" s="166"/>
      <c r="IN28" s="166"/>
      <c r="IO28" s="166"/>
      <c r="IP28" s="166"/>
      <c r="IQ28" s="166"/>
      <c r="IR28" s="166"/>
      <c r="IS28" s="166"/>
      <c r="IT28" s="166"/>
      <c r="IU28" s="166"/>
      <c r="IV28" s="166"/>
    </row>
    <row r="29" spans="1:256" ht="16.5">
      <c r="A29" s="40" t="s">
        <v>116</v>
      </c>
      <c r="B29" s="432" t="s">
        <v>63</v>
      </c>
      <c r="C29" s="178">
        <f>+'Créditos-Esc Especifico'!B166</f>
        <v>5443996.8833619971</v>
      </c>
      <c r="D29" s="178">
        <f>+'Créditos-Esc Especifico'!C166</f>
        <v>57234.317000000003</v>
      </c>
      <c r="E29" s="178">
        <f>+'Créditos-Esc Especifico'!D166</f>
        <v>1865732.1605653362</v>
      </c>
      <c r="F29" s="178">
        <f>+'Créditos-Esc Especifico'!E166</f>
        <v>19614.985000000001</v>
      </c>
      <c r="G29" s="178">
        <f>+'Créditos-Esc Especifico'!F166</f>
        <v>1077338.9574593562</v>
      </c>
      <c r="H29" s="178">
        <f>+'Créditos-Esc Especifico'!G166</f>
        <v>11326.378000000001</v>
      </c>
      <c r="I29" s="178">
        <f>+'Créditos-Esc Especifico'!H166</f>
        <v>0</v>
      </c>
      <c r="J29" s="178">
        <f>+'Créditos-Esc Especifico'!I166</f>
        <v>0</v>
      </c>
      <c r="K29" s="178">
        <f>+'Créditos-Esc Especifico'!J166</f>
        <v>0</v>
      </c>
      <c r="L29" s="178">
        <f>+'Créditos-Esc Especifico'!K166</f>
        <v>0</v>
      </c>
      <c r="M29" s="178">
        <f>+'Créditos-Esc Especifico'!L166</f>
        <v>0</v>
      </c>
      <c r="N29" s="178">
        <f>+'Créditos-Esc Especifico'!M166</f>
        <v>0</v>
      </c>
      <c r="O29" s="178">
        <f>+'Créditos-Esc Especifico'!N166</f>
        <v>0</v>
      </c>
      <c r="P29" s="178">
        <f>+'Créditos-Esc Especifico'!O166</f>
        <v>0</v>
      </c>
      <c r="Q29" s="178">
        <f>+'Créditos-Esc Especifico'!P166</f>
        <v>10453152.708000001</v>
      </c>
      <c r="R29" s="178">
        <f>+'Créditos-Esc Especifico'!Q166</f>
        <v>112567.12200000002</v>
      </c>
      <c r="S29" s="178">
        <f>+'Créditos-Esc Especifico'!R166</f>
        <v>24390689.651999999</v>
      </c>
      <c r="T29" s="178">
        <f>+'Créditos-Esc Especifico'!S166</f>
        <v>262656.61799999996</v>
      </c>
      <c r="U29" s="172">
        <f t="shared" si="3"/>
        <v>43230910.361386687</v>
      </c>
      <c r="V29" s="172">
        <f t="shared" si="3"/>
        <v>463399.42</v>
      </c>
      <c r="W29" s="781">
        <f>+Anx16AMN!N80</f>
        <v>43230910.361386687</v>
      </c>
      <c r="X29" s="781">
        <f>+Anx16AME!N80</f>
        <v>463399.42</v>
      </c>
      <c r="Y29" s="780">
        <f t="shared" si="4"/>
        <v>0</v>
      </c>
      <c r="Z29" s="780">
        <f t="shared" si="4"/>
        <v>0</v>
      </c>
      <c r="AA29" s="266"/>
      <c r="AB29" s="266"/>
      <c r="AC29" s="266"/>
      <c r="AD29" s="266"/>
      <c r="AE29" s="2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6"/>
      <c r="CY29" s="166"/>
      <c r="CZ29" s="166"/>
      <c r="DA29" s="166"/>
      <c r="DB29" s="166"/>
      <c r="DC29" s="166"/>
      <c r="DD29" s="166"/>
      <c r="DE29" s="166"/>
      <c r="DF29" s="166"/>
      <c r="DG29" s="166"/>
      <c r="DH29" s="166"/>
      <c r="DI29" s="166"/>
      <c r="DJ29" s="166"/>
      <c r="DK29" s="166"/>
      <c r="DL29" s="166"/>
      <c r="DM29" s="166"/>
      <c r="DN29" s="166"/>
      <c r="DO29" s="166"/>
      <c r="DP29" s="166"/>
      <c r="DQ29" s="166"/>
      <c r="DR29" s="166"/>
      <c r="DS29" s="166"/>
      <c r="DT29" s="166"/>
      <c r="DU29" s="166"/>
      <c r="DV29" s="166"/>
      <c r="DW29" s="166"/>
      <c r="DX29" s="166"/>
      <c r="DY29" s="166"/>
      <c r="DZ29" s="166"/>
      <c r="EA29" s="166"/>
      <c r="EB29" s="166"/>
      <c r="EC29" s="166"/>
      <c r="ED29" s="166"/>
      <c r="EE29" s="166"/>
      <c r="EF29" s="166"/>
      <c r="EG29" s="166"/>
      <c r="EH29" s="166"/>
      <c r="EI29" s="166"/>
      <c r="EJ29" s="166"/>
      <c r="EK29" s="166"/>
      <c r="EL29" s="166"/>
      <c r="EM29" s="166"/>
      <c r="EN29" s="166"/>
      <c r="EO29" s="166"/>
      <c r="EP29" s="166"/>
      <c r="EQ29" s="166"/>
      <c r="ER29" s="166"/>
      <c r="ES29" s="166"/>
      <c r="ET29" s="166"/>
      <c r="EU29" s="166"/>
      <c r="EV29" s="166"/>
      <c r="EW29" s="166"/>
      <c r="EX29" s="166"/>
      <c r="EY29" s="166"/>
      <c r="EZ29" s="166"/>
      <c r="FA29" s="166"/>
      <c r="FB29" s="166"/>
      <c r="FC29" s="166"/>
      <c r="FD29" s="166"/>
      <c r="FE29" s="166"/>
      <c r="FF29" s="166"/>
      <c r="FG29" s="166"/>
      <c r="FH29" s="166"/>
      <c r="FI29" s="166"/>
      <c r="FJ29" s="166"/>
      <c r="FK29" s="166"/>
      <c r="FL29" s="166"/>
      <c r="FM29" s="166"/>
      <c r="FN29" s="166"/>
      <c r="FO29" s="166"/>
      <c r="FP29" s="166"/>
      <c r="FQ29" s="166"/>
      <c r="FR29" s="166"/>
      <c r="FS29" s="166"/>
      <c r="FT29" s="166"/>
      <c r="FU29" s="166"/>
      <c r="FV29" s="166"/>
      <c r="FW29" s="166"/>
      <c r="FX29" s="166"/>
      <c r="FY29" s="166"/>
      <c r="FZ29" s="166"/>
      <c r="GA29" s="166"/>
      <c r="GB29" s="166"/>
      <c r="GC29" s="166"/>
      <c r="GD29" s="166"/>
      <c r="GE29" s="166"/>
      <c r="GF29" s="166"/>
      <c r="GG29" s="166"/>
      <c r="GH29" s="166"/>
      <c r="GI29" s="166"/>
      <c r="GJ29" s="166"/>
      <c r="GK29" s="166"/>
      <c r="GL29" s="166"/>
      <c r="GM29" s="166"/>
      <c r="GN29" s="166"/>
      <c r="GO29" s="166"/>
      <c r="GP29" s="166"/>
      <c r="GQ29" s="166"/>
      <c r="GR29" s="166"/>
      <c r="GS29" s="166"/>
      <c r="GT29" s="166"/>
      <c r="GU29" s="166"/>
      <c r="GV29" s="166"/>
      <c r="GW29" s="166"/>
      <c r="GX29" s="166"/>
      <c r="GY29" s="166"/>
      <c r="GZ29" s="166"/>
      <c r="HA29" s="166"/>
      <c r="HB29" s="166"/>
      <c r="HC29" s="166"/>
      <c r="HD29" s="166"/>
      <c r="HE29" s="166"/>
      <c r="HF29" s="166"/>
      <c r="HG29" s="166"/>
      <c r="HH29" s="166"/>
      <c r="HI29" s="166"/>
      <c r="HJ29" s="166"/>
      <c r="HK29" s="166"/>
      <c r="HL29" s="166"/>
      <c r="HM29" s="166"/>
      <c r="HN29" s="166"/>
      <c r="HO29" s="166"/>
      <c r="HP29" s="166"/>
      <c r="HQ29" s="166"/>
      <c r="HR29" s="166"/>
      <c r="HS29" s="166"/>
      <c r="HT29" s="166"/>
      <c r="HU29" s="166"/>
      <c r="HV29" s="166"/>
      <c r="HW29" s="166"/>
      <c r="HX29" s="166"/>
      <c r="HY29" s="166"/>
      <c r="HZ29" s="166"/>
      <c r="IA29" s="166"/>
      <c r="IB29" s="166"/>
      <c r="IC29" s="166"/>
      <c r="ID29" s="166"/>
      <c r="IE29" s="166"/>
      <c r="IF29" s="166"/>
      <c r="IG29" s="166"/>
      <c r="IH29" s="166"/>
      <c r="II29" s="166"/>
      <c r="IJ29" s="166"/>
      <c r="IK29" s="166"/>
      <c r="IL29" s="166"/>
      <c r="IM29" s="166"/>
      <c r="IN29" s="166"/>
      <c r="IO29" s="166"/>
      <c r="IP29" s="166"/>
      <c r="IQ29" s="166"/>
      <c r="IR29" s="166"/>
      <c r="IS29" s="166"/>
      <c r="IT29" s="166"/>
      <c r="IU29" s="166"/>
      <c r="IV29" s="166"/>
    </row>
    <row r="30" spans="1:256" ht="16.5">
      <c r="A30" s="40" t="s">
        <v>116</v>
      </c>
      <c r="B30" s="432" t="s">
        <v>64</v>
      </c>
      <c r="C30" s="178">
        <f>+'Créditos-Esc Especifico'!B167</f>
        <v>2338138.2412238466</v>
      </c>
      <c r="D30" s="178">
        <f>+'Créditos-Esc Especifico'!C167</f>
        <v>18325.86</v>
      </c>
      <c r="E30" s="178">
        <f>+'Créditos-Esc Especifico'!D167</f>
        <v>708982.84072026343</v>
      </c>
      <c r="F30" s="178">
        <f>+'Créditos-Esc Especifico'!E167</f>
        <v>5556.8649999999998</v>
      </c>
      <c r="G30" s="178">
        <f>+'Créditos-Esc Especifico'!F167</f>
        <v>307821.73949641682</v>
      </c>
      <c r="H30" s="178">
        <f>+'Créditos-Esc Especifico'!G167</f>
        <v>2412.645</v>
      </c>
      <c r="I30" s="178">
        <f>+'Créditos-Esc Especifico'!H167</f>
        <v>0</v>
      </c>
      <c r="J30" s="178">
        <f>+'Créditos-Esc Especifico'!I167</f>
        <v>0</v>
      </c>
      <c r="K30" s="178">
        <f>+'Créditos-Esc Especifico'!J167</f>
        <v>0</v>
      </c>
      <c r="L30" s="178">
        <f>+'Créditos-Esc Especifico'!K167</f>
        <v>0</v>
      </c>
      <c r="M30" s="178">
        <f>+'Créditos-Esc Especifico'!L167</f>
        <v>0</v>
      </c>
      <c r="N30" s="178">
        <f>+'Créditos-Esc Especifico'!M167</f>
        <v>0</v>
      </c>
      <c r="O30" s="178">
        <f>+'Créditos-Esc Especifico'!N167</f>
        <v>0</v>
      </c>
      <c r="P30" s="178">
        <f>+'Créditos-Esc Especifico'!O167</f>
        <v>0</v>
      </c>
      <c r="Q30" s="178">
        <f>+'Créditos-Esc Especifico'!P167</f>
        <v>6969008.6550000003</v>
      </c>
      <c r="R30" s="178">
        <f>+'Créditos-Esc Especifico'!Q167</f>
        <v>55948.824999999997</v>
      </c>
      <c r="S30" s="178">
        <f>+'Créditos-Esc Especifico'!R167</f>
        <v>6969008.6550000003</v>
      </c>
      <c r="T30" s="178">
        <f>+'Créditos-Esc Especifico'!S167</f>
        <v>55948.824999999997</v>
      </c>
      <c r="U30" s="172">
        <f t="shared" si="3"/>
        <v>17292960.131440528</v>
      </c>
      <c r="V30" s="172">
        <f t="shared" si="3"/>
        <v>138193.01999999999</v>
      </c>
      <c r="W30" s="781">
        <f>+Anx16AMN!N81</f>
        <v>17292960.131440528</v>
      </c>
      <c r="X30" s="781">
        <f>+Anx16AME!N81</f>
        <v>138193.01999999999</v>
      </c>
      <c r="Y30" s="780">
        <f t="shared" si="4"/>
        <v>0</v>
      </c>
      <c r="Z30" s="780">
        <f t="shared" si="4"/>
        <v>0</v>
      </c>
      <c r="AA30" s="266"/>
      <c r="AB30" s="266"/>
      <c r="AC30" s="266"/>
      <c r="AD30" s="266"/>
      <c r="AE30" s="2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6"/>
      <c r="CY30" s="166"/>
      <c r="CZ30" s="166"/>
      <c r="DA30" s="166"/>
      <c r="DB30" s="166"/>
      <c r="DC30" s="166"/>
      <c r="DD30" s="166"/>
      <c r="DE30" s="166"/>
      <c r="DF30" s="166"/>
      <c r="DG30" s="166"/>
      <c r="DH30" s="166"/>
      <c r="DI30" s="166"/>
      <c r="DJ30" s="166"/>
      <c r="DK30" s="166"/>
      <c r="DL30" s="166"/>
      <c r="DM30" s="166"/>
      <c r="DN30" s="166"/>
      <c r="DO30" s="166"/>
      <c r="DP30" s="166"/>
      <c r="DQ30" s="166"/>
      <c r="DR30" s="166"/>
      <c r="DS30" s="166"/>
      <c r="DT30" s="166"/>
      <c r="DU30" s="166"/>
      <c r="DV30" s="166"/>
      <c r="DW30" s="166"/>
      <c r="DX30" s="166"/>
      <c r="DY30" s="166"/>
      <c r="DZ30" s="166"/>
      <c r="EA30" s="166"/>
      <c r="EB30" s="166"/>
      <c r="EC30" s="166"/>
      <c r="ED30" s="166"/>
      <c r="EE30" s="166"/>
      <c r="EF30" s="166"/>
      <c r="EG30" s="166"/>
      <c r="EH30" s="166"/>
      <c r="EI30" s="166"/>
      <c r="EJ30" s="166"/>
      <c r="EK30" s="166"/>
      <c r="EL30" s="166"/>
      <c r="EM30" s="166"/>
      <c r="EN30" s="166"/>
      <c r="EO30" s="166"/>
      <c r="EP30" s="166"/>
      <c r="EQ30" s="166"/>
      <c r="ER30" s="166"/>
      <c r="ES30" s="166"/>
      <c r="ET30" s="166"/>
      <c r="EU30" s="166"/>
      <c r="EV30" s="166"/>
      <c r="EW30" s="166"/>
      <c r="EX30" s="166"/>
      <c r="EY30" s="166"/>
      <c r="EZ30" s="166"/>
      <c r="FA30" s="166"/>
      <c r="FB30" s="166"/>
      <c r="FC30" s="166"/>
      <c r="FD30" s="166"/>
      <c r="FE30" s="166"/>
      <c r="FF30" s="166"/>
      <c r="FG30" s="166"/>
      <c r="FH30" s="166"/>
      <c r="FI30" s="166"/>
      <c r="FJ30" s="166"/>
      <c r="FK30" s="166"/>
      <c r="FL30" s="166"/>
      <c r="FM30" s="166"/>
      <c r="FN30" s="166"/>
      <c r="FO30" s="166"/>
      <c r="FP30" s="166"/>
      <c r="FQ30" s="166"/>
      <c r="FR30" s="166"/>
      <c r="FS30" s="166"/>
      <c r="FT30" s="166"/>
      <c r="FU30" s="166"/>
      <c r="FV30" s="166"/>
      <c r="FW30" s="166"/>
      <c r="FX30" s="166"/>
      <c r="FY30" s="166"/>
      <c r="FZ30" s="166"/>
      <c r="GA30" s="166"/>
      <c r="GB30" s="166"/>
      <c r="GC30" s="166"/>
      <c r="GD30" s="166"/>
      <c r="GE30" s="166"/>
      <c r="GF30" s="166"/>
      <c r="GG30" s="166"/>
      <c r="GH30" s="166"/>
      <c r="GI30" s="166"/>
      <c r="GJ30" s="166"/>
      <c r="GK30" s="166"/>
      <c r="GL30" s="166"/>
      <c r="GM30" s="166"/>
      <c r="GN30" s="166"/>
      <c r="GO30" s="166"/>
      <c r="GP30" s="166"/>
      <c r="GQ30" s="166"/>
      <c r="GR30" s="166"/>
      <c r="GS30" s="166"/>
      <c r="GT30" s="166"/>
      <c r="GU30" s="166"/>
      <c r="GV30" s="166"/>
      <c r="GW30" s="166"/>
      <c r="GX30" s="166"/>
      <c r="GY30" s="166"/>
      <c r="GZ30" s="166"/>
      <c r="HA30" s="166"/>
      <c r="HB30" s="166"/>
      <c r="HC30" s="166"/>
      <c r="HD30" s="166"/>
      <c r="HE30" s="166"/>
      <c r="HF30" s="166"/>
      <c r="HG30" s="166"/>
      <c r="HH30" s="166"/>
      <c r="HI30" s="166"/>
      <c r="HJ30" s="166"/>
      <c r="HK30" s="166"/>
      <c r="HL30" s="166"/>
      <c r="HM30" s="166"/>
      <c r="HN30" s="166"/>
      <c r="HO30" s="166"/>
      <c r="HP30" s="166"/>
      <c r="HQ30" s="166"/>
      <c r="HR30" s="166"/>
      <c r="HS30" s="166"/>
      <c r="HT30" s="166"/>
      <c r="HU30" s="166"/>
      <c r="HV30" s="166"/>
      <c r="HW30" s="166"/>
      <c r="HX30" s="166"/>
      <c r="HY30" s="166"/>
      <c r="HZ30" s="166"/>
      <c r="IA30" s="166"/>
      <c r="IB30" s="166"/>
      <c r="IC30" s="166"/>
      <c r="ID30" s="166"/>
      <c r="IE30" s="166"/>
      <c r="IF30" s="166"/>
      <c r="IG30" s="166"/>
      <c r="IH30" s="166"/>
      <c r="II30" s="166"/>
      <c r="IJ30" s="166"/>
      <c r="IK30" s="166"/>
      <c r="IL30" s="166"/>
      <c r="IM30" s="166"/>
      <c r="IN30" s="166"/>
      <c r="IO30" s="166"/>
      <c r="IP30" s="166"/>
      <c r="IQ30" s="166"/>
      <c r="IR30" s="166"/>
      <c r="IS30" s="166"/>
      <c r="IT30" s="166"/>
      <c r="IU30" s="166"/>
      <c r="IV30" s="166"/>
    </row>
    <row r="31" spans="1:256" ht="16.5">
      <c r="A31" s="40" t="s">
        <v>116</v>
      </c>
      <c r="B31" s="432" t="s">
        <v>65</v>
      </c>
      <c r="C31" s="178">
        <f>+'Créditos-Esc Especifico'!B168</f>
        <v>541428.8556751631</v>
      </c>
      <c r="D31" s="178">
        <f>+'Créditos-Esc Especifico'!C168</f>
        <v>49233.855000000003</v>
      </c>
      <c r="E31" s="178">
        <f>+'Créditos-Esc Especifico'!D168</f>
        <v>164174.9669146805</v>
      </c>
      <c r="F31" s="178">
        <f>+'Créditos-Esc Especifico'!E168</f>
        <v>14928.955</v>
      </c>
      <c r="G31" s="178">
        <f>+'Créditos-Esc Especifico'!F168</f>
        <v>71280.461239517346</v>
      </c>
      <c r="H31" s="178">
        <f>+'Créditos-Esc Especifico'!G168</f>
        <v>6481.76</v>
      </c>
      <c r="I31" s="178">
        <f>+'Créditos-Esc Especifico'!H168</f>
        <v>0</v>
      </c>
      <c r="J31" s="178">
        <f>+'Créditos-Esc Especifico'!I168</f>
        <v>0</v>
      </c>
      <c r="K31" s="178">
        <f>+'Créditos-Esc Especifico'!J168</f>
        <v>0</v>
      </c>
      <c r="L31" s="178">
        <f>+'Créditos-Esc Especifico'!K168</f>
        <v>0</v>
      </c>
      <c r="M31" s="178">
        <f>+'Créditos-Esc Especifico'!L168</f>
        <v>0</v>
      </c>
      <c r="N31" s="178">
        <f>+'Créditos-Esc Especifico'!M168</f>
        <v>0</v>
      </c>
      <c r="O31" s="178">
        <f>+'Créditos-Esc Especifico'!N168</f>
        <v>0</v>
      </c>
      <c r="P31" s="178">
        <f>+'Créditos-Esc Especifico'!O168</f>
        <v>0</v>
      </c>
      <c r="Q31" s="178">
        <f>+'Créditos-Esc Especifico'!P168</f>
        <v>1613772.155</v>
      </c>
      <c r="R31" s="178">
        <f>+'Créditos-Esc Especifico'!Q168</f>
        <v>150310.83499999999</v>
      </c>
      <c r="S31" s="178">
        <f>+'Créditos-Esc Especifico'!R168</f>
        <v>1613772.155</v>
      </c>
      <c r="T31" s="178">
        <f>+'Créditos-Esc Especifico'!S168</f>
        <v>150310.83499999999</v>
      </c>
      <c r="U31" s="172">
        <f t="shared" si="3"/>
        <v>4004428.5938293608</v>
      </c>
      <c r="V31" s="172">
        <f t="shared" si="3"/>
        <v>371266.24</v>
      </c>
      <c r="W31" s="781">
        <f>+Anx16AMN!N82</f>
        <v>4004428.5938293608</v>
      </c>
      <c r="X31" s="781">
        <f>+Anx16AME!N82</f>
        <v>371266.24</v>
      </c>
      <c r="Y31" s="780">
        <f t="shared" si="4"/>
        <v>0</v>
      </c>
      <c r="Z31" s="780">
        <f t="shared" si="4"/>
        <v>0</v>
      </c>
      <c r="AA31" s="266"/>
      <c r="AB31" s="266"/>
      <c r="AC31" s="266"/>
      <c r="AD31" s="266"/>
      <c r="AE31" s="2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166"/>
      <c r="DE31" s="166"/>
      <c r="DF31" s="166"/>
      <c r="DG31" s="166"/>
      <c r="DH31" s="166"/>
      <c r="DI31" s="166"/>
      <c r="DJ31" s="166"/>
      <c r="DK31" s="166"/>
      <c r="DL31" s="166"/>
      <c r="DM31" s="166"/>
      <c r="DN31" s="166"/>
      <c r="DO31" s="166"/>
      <c r="DP31" s="166"/>
      <c r="DQ31" s="166"/>
      <c r="DR31" s="166"/>
      <c r="DS31" s="166"/>
      <c r="DT31" s="166"/>
      <c r="DU31" s="166"/>
      <c r="DV31" s="166"/>
      <c r="DW31" s="166"/>
      <c r="DX31" s="166"/>
      <c r="DY31" s="166"/>
      <c r="DZ31" s="166"/>
      <c r="EA31" s="166"/>
      <c r="EB31" s="166"/>
      <c r="EC31" s="166"/>
      <c r="ED31" s="166"/>
      <c r="EE31" s="166"/>
      <c r="EF31" s="166"/>
      <c r="EG31" s="166"/>
      <c r="EH31" s="166"/>
      <c r="EI31" s="166"/>
      <c r="EJ31" s="166"/>
      <c r="EK31" s="166"/>
      <c r="EL31" s="166"/>
      <c r="EM31" s="166"/>
      <c r="EN31" s="166"/>
      <c r="EO31" s="166"/>
      <c r="EP31" s="166"/>
      <c r="EQ31" s="166"/>
      <c r="ER31" s="166"/>
      <c r="ES31" s="166"/>
      <c r="ET31" s="166"/>
      <c r="EU31" s="166"/>
      <c r="EV31" s="166"/>
      <c r="EW31" s="166"/>
      <c r="EX31" s="166"/>
      <c r="EY31" s="166"/>
      <c r="EZ31" s="166"/>
      <c r="FA31" s="166"/>
      <c r="FB31" s="166"/>
      <c r="FC31" s="166"/>
      <c r="FD31" s="166"/>
      <c r="FE31" s="166"/>
      <c r="FF31" s="166"/>
      <c r="FG31" s="166"/>
      <c r="FH31" s="166"/>
      <c r="FI31" s="166"/>
      <c r="FJ31" s="166"/>
      <c r="FK31" s="166"/>
      <c r="FL31" s="166"/>
      <c r="FM31" s="166"/>
      <c r="FN31" s="166"/>
      <c r="FO31" s="166"/>
      <c r="FP31" s="166"/>
      <c r="FQ31" s="166"/>
      <c r="FR31" s="166"/>
      <c r="FS31" s="166"/>
      <c r="FT31" s="166"/>
      <c r="FU31" s="166"/>
      <c r="FV31" s="166"/>
      <c r="FW31" s="166"/>
      <c r="FX31" s="166"/>
      <c r="FY31" s="166"/>
      <c r="FZ31" s="166"/>
      <c r="GA31" s="166"/>
      <c r="GB31" s="166"/>
      <c r="GC31" s="166"/>
      <c r="GD31" s="166"/>
      <c r="GE31" s="166"/>
      <c r="GF31" s="166"/>
      <c r="GG31" s="166"/>
      <c r="GH31" s="166"/>
      <c r="GI31" s="166"/>
      <c r="GJ31" s="166"/>
      <c r="GK31" s="166"/>
      <c r="GL31" s="166"/>
      <c r="GM31" s="166"/>
      <c r="GN31" s="166"/>
      <c r="GO31" s="166"/>
      <c r="GP31" s="166"/>
      <c r="GQ31" s="166"/>
      <c r="GR31" s="166"/>
      <c r="GS31" s="166"/>
      <c r="GT31" s="166"/>
      <c r="GU31" s="166"/>
      <c r="GV31" s="166"/>
      <c r="GW31" s="166"/>
      <c r="GX31" s="166"/>
      <c r="GY31" s="166"/>
      <c r="GZ31" s="166"/>
      <c r="HA31" s="166"/>
      <c r="HB31" s="166"/>
      <c r="HC31" s="166"/>
      <c r="HD31" s="166"/>
      <c r="HE31" s="166"/>
      <c r="HF31" s="166"/>
      <c r="HG31" s="166"/>
      <c r="HH31" s="166"/>
      <c r="HI31" s="166"/>
      <c r="HJ31" s="166"/>
      <c r="HK31" s="166"/>
      <c r="HL31" s="166"/>
      <c r="HM31" s="166"/>
      <c r="HN31" s="166"/>
      <c r="HO31" s="166"/>
      <c r="HP31" s="166"/>
      <c r="HQ31" s="166"/>
      <c r="HR31" s="166"/>
      <c r="HS31" s="166"/>
      <c r="HT31" s="166"/>
      <c r="HU31" s="166"/>
      <c r="HV31" s="166"/>
      <c r="HW31" s="166"/>
      <c r="HX31" s="166"/>
      <c r="HY31" s="166"/>
      <c r="HZ31" s="166"/>
      <c r="IA31" s="166"/>
      <c r="IB31" s="166"/>
      <c r="IC31" s="166"/>
      <c r="ID31" s="166"/>
      <c r="IE31" s="166"/>
      <c r="IF31" s="166"/>
      <c r="IG31" s="166"/>
      <c r="IH31" s="166"/>
      <c r="II31" s="166"/>
      <c r="IJ31" s="166"/>
      <c r="IK31" s="166"/>
      <c r="IL31" s="166"/>
      <c r="IM31" s="166"/>
      <c r="IN31" s="166"/>
      <c r="IO31" s="166"/>
      <c r="IP31" s="166"/>
      <c r="IQ31" s="166"/>
      <c r="IR31" s="166"/>
      <c r="IS31" s="166"/>
      <c r="IT31" s="166"/>
      <c r="IU31" s="166"/>
      <c r="IV31" s="166"/>
    </row>
    <row r="32" spans="1:256" ht="16.5">
      <c r="A32" s="40" t="s">
        <v>117</v>
      </c>
      <c r="B32" s="432" t="s">
        <v>42</v>
      </c>
      <c r="C32" s="178">
        <f>+'Créditos-Esc Especifico'!B159</f>
        <v>11242711.024735129</v>
      </c>
      <c r="D32" s="178">
        <f>+'Créditos-Esc Especifico'!C159</f>
        <v>114737.98299999999</v>
      </c>
      <c r="E32" s="178">
        <f>+'Créditos-Esc Especifico'!D159</f>
        <v>6477572.4512022724</v>
      </c>
      <c r="F32" s="178">
        <f>+'Créditos-Esc Especifico'!E159</f>
        <v>49973.504000000001</v>
      </c>
      <c r="G32" s="178">
        <f>+'Créditos-Esc Especifico'!F159</f>
        <v>6751509.8653584896</v>
      </c>
      <c r="H32" s="178">
        <f>+'Créditos-Esc Especifico'!G159</f>
        <v>62120.220999999998</v>
      </c>
      <c r="I32" s="178">
        <f>+'Créditos-Esc Especifico'!H159</f>
        <v>6229738.904000001</v>
      </c>
      <c r="J32" s="178">
        <f>+'Créditos-Esc Especifico'!I159</f>
        <v>77020.864000000001</v>
      </c>
      <c r="K32" s="178">
        <f>+'Créditos-Esc Especifico'!J159</f>
        <v>5296995.4910000004</v>
      </c>
      <c r="L32" s="178">
        <f>+'Créditos-Esc Especifico'!K159</f>
        <v>55679.610999999997</v>
      </c>
      <c r="M32" s="178">
        <f>+'Créditos-Esc Especifico'!L159</f>
        <v>6669763.7100000009</v>
      </c>
      <c r="N32" s="178">
        <f>+'Créditos-Esc Especifico'!M159</f>
        <v>25847.433000000005</v>
      </c>
      <c r="O32" s="178">
        <f>+'Créditos-Esc Especifico'!N159</f>
        <v>11270420.976</v>
      </c>
      <c r="P32" s="178">
        <f>+'Créditos-Esc Especifico'!O159</f>
        <v>94657.766000000003</v>
      </c>
      <c r="Q32" s="178">
        <f>+'Créditos-Esc Especifico'!P159</f>
        <v>30507642.364</v>
      </c>
      <c r="R32" s="178">
        <f>+'Créditos-Esc Especifico'!Q159</f>
        <v>358190.72000000003</v>
      </c>
      <c r="S32" s="178">
        <f>+'Créditos-Esc Especifico'!R159</f>
        <v>50356214.509999998</v>
      </c>
      <c r="T32" s="178">
        <f>+'Créditos-Esc Especifico'!S159</f>
        <v>549990.51799999992</v>
      </c>
      <c r="U32" s="172">
        <f t="shared" si="3"/>
        <v>134802569.29629588</v>
      </c>
      <c r="V32" s="172">
        <f t="shared" si="3"/>
        <v>1388218.6199999999</v>
      </c>
      <c r="W32" s="781">
        <f>+Anx16AMN!N49+Anx16AMN!N83</f>
        <v>134802569.29629588</v>
      </c>
      <c r="X32" s="781">
        <f>+Anx16AME!N49+Anx16AME!N83</f>
        <v>1388218.62</v>
      </c>
      <c r="Y32" s="780">
        <f t="shared" si="4"/>
        <v>0</v>
      </c>
      <c r="Z32" s="780">
        <f t="shared" si="4"/>
        <v>0</v>
      </c>
      <c r="AA32" s="266"/>
      <c r="AB32" s="266"/>
      <c r="AC32" s="266"/>
      <c r="AD32" s="266"/>
      <c r="AE32" s="2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  <c r="DS32" s="166"/>
      <c r="DT32" s="166"/>
      <c r="DU32" s="166"/>
      <c r="DV32" s="166"/>
      <c r="DW32" s="166"/>
      <c r="DX32" s="166"/>
      <c r="DY32" s="166"/>
      <c r="DZ32" s="166"/>
      <c r="EA32" s="166"/>
      <c r="EB32" s="166"/>
      <c r="EC32" s="166"/>
      <c r="ED32" s="166"/>
      <c r="EE32" s="166"/>
      <c r="EF32" s="166"/>
      <c r="EG32" s="166"/>
      <c r="EH32" s="166"/>
      <c r="EI32" s="166"/>
      <c r="EJ32" s="166"/>
      <c r="EK32" s="166"/>
      <c r="EL32" s="166"/>
      <c r="EM32" s="166"/>
      <c r="EN32" s="166"/>
      <c r="EO32" s="166"/>
      <c r="EP32" s="166"/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66"/>
      <c r="FJ32" s="166"/>
      <c r="FK32" s="166"/>
      <c r="FL32" s="166"/>
      <c r="FM32" s="166"/>
      <c r="FN32" s="166"/>
      <c r="FO32" s="166"/>
      <c r="FP32" s="166"/>
      <c r="FQ32" s="166"/>
      <c r="FR32" s="166"/>
      <c r="FS32" s="166"/>
      <c r="FT32" s="166"/>
      <c r="FU32" s="166"/>
      <c r="FV32" s="166"/>
      <c r="FW32" s="166"/>
      <c r="FX32" s="166"/>
      <c r="FY32" s="166"/>
      <c r="FZ32" s="166"/>
      <c r="GA32" s="166"/>
      <c r="GB32" s="166"/>
      <c r="GC32" s="166"/>
      <c r="GD32" s="166"/>
      <c r="GE32" s="166"/>
      <c r="GF32" s="166"/>
      <c r="GG32" s="166"/>
      <c r="GH32" s="166"/>
      <c r="GI32" s="166"/>
      <c r="GJ32" s="166"/>
      <c r="GK32" s="166"/>
      <c r="GL32" s="166"/>
      <c r="GM32" s="166"/>
      <c r="GN32" s="166"/>
      <c r="GO32" s="166"/>
      <c r="GP32" s="166"/>
      <c r="GQ32" s="166"/>
      <c r="GR32" s="166"/>
      <c r="GS32" s="166"/>
      <c r="GT32" s="166"/>
      <c r="GU32" s="166"/>
      <c r="GV32" s="166"/>
      <c r="GW32" s="166"/>
      <c r="GX32" s="166"/>
      <c r="GY32" s="166"/>
      <c r="GZ32" s="166"/>
      <c r="HA32" s="166"/>
      <c r="HB32" s="166"/>
      <c r="HC32" s="166"/>
      <c r="HD32" s="166"/>
      <c r="HE32" s="166"/>
      <c r="HF32" s="166"/>
      <c r="HG32" s="166"/>
      <c r="HH32" s="166"/>
      <c r="HI32" s="166"/>
      <c r="HJ32" s="166"/>
      <c r="HK32" s="166"/>
      <c r="HL32" s="166"/>
      <c r="HM32" s="166"/>
      <c r="HN32" s="166"/>
      <c r="HO32" s="166"/>
      <c r="HP32" s="166"/>
      <c r="HQ32" s="166"/>
      <c r="HR32" s="166"/>
      <c r="HS32" s="166"/>
      <c r="HT32" s="166"/>
      <c r="HU32" s="166"/>
      <c r="HV32" s="166"/>
      <c r="HW32" s="166"/>
      <c r="HX32" s="166"/>
      <c r="HY32" s="166"/>
      <c r="HZ32" s="166"/>
      <c r="IA32" s="166"/>
      <c r="IB32" s="166"/>
      <c r="IC32" s="166"/>
      <c r="ID32" s="166"/>
      <c r="IE32" s="166"/>
      <c r="IF32" s="166"/>
      <c r="IG32" s="166"/>
      <c r="IH32" s="166"/>
      <c r="II32" s="166"/>
      <c r="IJ32" s="166"/>
      <c r="IK32" s="166"/>
      <c r="IL32" s="166"/>
      <c r="IM32" s="166"/>
      <c r="IN32" s="166"/>
      <c r="IO32" s="166"/>
      <c r="IP32" s="166"/>
      <c r="IQ32" s="166"/>
      <c r="IR32" s="166"/>
      <c r="IS32" s="166"/>
      <c r="IT32" s="166"/>
      <c r="IU32" s="166"/>
      <c r="IV32" s="166"/>
    </row>
    <row r="33" spans="1:256" ht="16.5">
      <c r="A33" s="40" t="s">
        <v>117</v>
      </c>
      <c r="B33" s="432" t="s">
        <v>43</v>
      </c>
      <c r="C33" s="178">
        <f>+'Créditos-Esc Especifico'!B160</f>
        <v>4877920.9853903595</v>
      </c>
      <c r="D33" s="178">
        <f>+'Créditos-Esc Especifico'!C160</f>
        <v>111569.61</v>
      </c>
      <c r="E33" s="178">
        <f>+'Créditos-Esc Especifico'!D160</f>
        <v>3541237.1846619165</v>
      </c>
      <c r="F33" s="178">
        <f>+'Créditos-Esc Especifico'!E160</f>
        <v>37690.434999999998</v>
      </c>
      <c r="G33" s="178">
        <f>+'Créditos-Esc Especifico'!F160</f>
        <v>3924463.7242715564</v>
      </c>
      <c r="H33" s="178">
        <f>+'Créditos-Esc Especifico'!G160</f>
        <v>31892.915000000001</v>
      </c>
      <c r="I33" s="178">
        <f>+'Créditos-Esc Especifico'!H160</f>
        <v>4243426.37</v>
      </c>
      <c r="J33" s="178">
        <f>+'Créditos-Esc Especifico'!I160</f>
        <v>6604.6049999999996</v>
      </c>
      <c r="K33" s="178">
        <f>+'Créditos-Esc Especifico'!J160</f>
        <v>4085776.6150000002</v>
      </c>
      <c r="L33" s="178">
        <f>+'Créditos-Esc Especifico'!K160</f>
        <v>22427.97</v>
      </c>
      <c r="M33" s="178">
        <f>+'Créditos-Esc Especifico'!L160</f>
        <v>7445640.6300000008</v>
      </c>
      <c r="N33" s="178">
        <f>+'Créditos-Esc Especifico'!M160</f>
        <v>17622.505000000001</v>
      </c>
      <c r="O33" s="178">
        <f>+'Créditos-Esc Especifico'!N160</f>
        <v>10515974.08</v>
      </c>
      <c r="P33" s="178">
        <f>+'Créditos-Esc Especifico'!O160</f>
        <v>6851.6750000000002</v>
      </c>
      <c r="Q33" s="178">
        <f>+'Créditos-Esc Especifico'!P160</f>
        <v>19354281.370000001</v>
      </c>
      <c r="R33" s="178">
        <f>+'Créditos-Esc Especifico'!Q160</f>
        <v>70345.625</v>
      </c>
      <c r="S33" s="178">
        <f>+'Créditos-Esc Especifico'!R160</f>
        <v>14189977.98</v>
      </c>
      <c r="T33" s="178">
        <f>+'Créditos-Esc Especifico'!S160</f>
        <v>65293.09</v>
      </c>
      <c r="U33" s="172">
        <f t="shared" si="3"/>
        <v>72178698.939323843</v>
      </c>
      <c r="V33" s="172">
        <f t="shared" si="3"/>
        <v>370298.42999999993</v>
      </c>
      <c r="W33" s="781">
        <f>+Anx16AMN!N50+Anx16AMN!N84</f>
        <v>72178698.939323843</v>
      </c>
      <c r="X33" s="781">
        <f>+Anx16AME!N50+Anx16AME!N84</f>
        <v>370298.43</v>
      </c>
      <c r="Y33" s="780">
        <f t="shared" si="4"/>
        <v>0</v>
      </c>
      <c r="Z33" s="780">
        <f t="shared" si="4"/>
        <v>0</v>
      </c>
      <c r="AA33" s="266"/>
      <c r="AB33" s="266"/>
      <c r="AC33" s="266"/>
      <c r="AD33" s="266"/>
      <c r="AE33" s="2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6"/>
      <c r="CY33" s="166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  <c r="EE33" s="166"/>
      <c r="EF33" s="166"/>
      <c r="EG33" s="166"/>
      <c r="EH33" s="166"/>
      <c r="EI33" s="166"/>
      <c r="EJ33" s="166"/>
      <c r="EK33" s="166"/>
      <c r="EL33" s="166"/>
      <c r="EM33" s="166"/>
      <c r="EN33" s="166"/>
      <c r="EO33" s="166"/>
      <c r="EP33" s="166"/>
      <c r="EQ33" s="166"/>
      <c r="ER33" s="166"/>
      <c r="ES33" s="166"/>
      <c r="ET33" s="166"/>
      <c r="EU33" s="166"/>
      <c r="EV33" s="166"/>
      <c r="EW33" s="166"/>
      <c r="EX33" s="166"/>
      <c r="EY33" s="166"/>
      <c r="EZ33" s="166"/>
      <c r="FA33" s="166"/>
      <c r="FB33" s="166"/>
      <c r="FC33" s="166"/>
      <c r="FD33" s="166"/>
      <c r="FE33" s="166"/>
      <c r="FF33" s="166"/>
      <c r="FG33" s="166"/>
      <c r="FH33" s="166"/>
      <c r="FI33" s="166"/>
      <c r="FJ33" s="166"/>
      <c r="FK33" s="166"/>
      <c r="FL33" s="166"/>
      <c r="FM33" s="166"/>
      <c r="FN33" s="166"/>
      <c r="FO33" s="166"/>
      <c r="FP33" s="166"/>
      <c r="FQ33" s="166"/>
      <c r="FR33" s="166"/>
      <c r="FS33" s="166"/>
      <c r="FT33" s="166"/>
      <c r="FU33" s="166"/>
      <c r="FV33" s="166"/>
      <c r="FW33" s="166"/>
      <c r="FX33" s="166"/>
      <c r="FY33" s="166"/>
      <c r="FZ33" s="166"/>
      <c r="GA33" s="166"/>
      <c r="GB33" s="166"/>
      <c r="GC33" s="166"/>
      <c r="GD33" s="166"/>
      <c r="GE33" s="166"/>
      <c r="GF33" s="166"/>
      <c r="GG33" s="166"/>
      <c r="GH33" s="166"/>
      <c r="GI33" s="166"/>
      <c r="GJ33" s="166"/>
      <c r="GK33" s="166"/>
      <c r="GL33" s="166"/>
      <c r="GM33" s="166"/>
      <c r="GN33" s="166"/>
      <c r="GO33" s="166"/>
      <c r="GP33" s="166"/>
      <c r="GQ33" s="166"/>
      <c r="GR33" s="166"/>
      <c r="GS33" s="166"/>
      <c r="GT33" s="166"/>
      <c r="GU33" s="166"/>
      <c r="GV33" s="166"/>
      <c r="GW33" s="166"/>
      <c r="GX33" s="166"/>
      <c r="GY33" s="166"/>
      <c r="GZ33" s="166"/>
      <c r="HA33" s="166"/>
      <c r="HB33" s="166"/>
      <c r="HC33" s="166"/>
      <c r="HD33" s="166"/>
      <c r="HE33" s="166"/>
      <c r="HF33" s="166"/>
      <c r="HG33" s="166"/>
      <c r="HH33" s="166"/>
      <c r="HI33" s="166"/>
      <c r="HJ33" s="166"/>
      <c r="HK33" s="166"/>
      <c r="HL33" s="166"/>
      <c r="HM33" s="166"/>
      <c r="HN33" s="166"/>
      <c r="HO33" s="166"/>
      <c r="HP33" s="166"/>
      <c r="HQ33" s="166"/>
      <c r="HR33" s="166"/>
      <c r="HS33" s="166"/>
      <c r="HT33" s="166"/>
      <c r="HU33" s="166"/>
      <c r="HV33" s="166"/>
      <c r="HW33" s="166"/>
      <c r="HX33" s="166"/>
      <c r="HY33" s="166"/>
      <c r="HZ33" s="166"/>
      <c r="IA33" s="166"/>
      <c r="IB33" s="166"/>
      <c r="IC33" s="166"/>
      <c r="ID33" s="166"/>
      <c r="IE33" s="166"/>
      <c r="IF33" s="166"/>
      <c r="IG33" s="166"/>
      <c r="IH33" s="166"/>
      <c r="II33" s="166"/>
      <c r="IJ33" s="166"/>
      <c r="IK33" s="166"/>
      <c r="IL33" s="166"/>
      <c r="IM33" s="166"/>
      <c r="IN33" s="166"/>
      <c r="IO33" s="166"/>
      <c r="IP33" s="166"/>
      <c r="IQ33" s="166"/>
      <c r="IR33" s="166"/>
      <c r="IS33" s="166"/>
      <c r="IT33" s="166"/>
      <c r="IU33" s="166"/>
      <c r="IV33" s="166"/>
    </row>
    <row r="34" spans="1:256" ht="16.5">
      <c r="A34" s="40" t="s">
        <v>117</v>
      </c>
      <c r="B34" s="432" t="s">
        <v>68</v>
      </c>
      <c r="C34" s="178">
        <f>+'Créditos-Esc Especifico'!B161</f>
        <v>2805448.7303142878</v>
      </c>
      <c r="D34" s="178">
        <f>+'Créditos-Esc Especifico'!C161</f>
        <v>59144.284999999989</v>
      </c>
      <c r="E34" s="178">
        <f>+'Créditos-Esc Especifico'!D161</f>
        <v>1068980.871560181</v>
      </c>
      <c r="F34" s="178">
        <f>+'Créditos-Esc Especifico'!E161</f>
        <v>52025.329999999994</v>
      </c>
      <c r="G34" s="178">
        <f>+'Créditos-Esc Especifico'!F161</f>
        <v>1585206.006245893</v>
      </c>
      <c r="H34" s="178">
        <f>+'Créditos-Esc Especifico'!G161</f>
        <v>1345.095</v>
      </c>
      <c r="I34" s="178">
        <f>+'Créditos-Esc Especifico'!H161</f>
        <v>3832208.9350000001</v>
      </c>
      <c r="J34" s="178">
        <f>+'Créditos-Esc Especifico'!I161</f>
        <v>0</v>
      </c>
      <c r="K34" s="178">
        <f>+'Créditos-Esc Especifico'!J161</f>
        <v>3554900.49</v>
      </c>
      <c r="L34" s="178">
        <f>+'Créditos-Esc Especifico'!K161</f>
        <v>6656.2849999999999</v>
      </c>
      <c r="M34" s="178">
        <f>+'Créditos-Esc Especifico'!L161</f>
        <v>1149209.0899999999</v>
      </c>
      <c r="N34" s="178">
        <f>+'Créditos-Esc Especifico'!M161</f>
        <v>11287.575000000001</v>
      </c>
      <c r="O34" s="178">
        <f>+'Créditos-Esc Especifico'!N161</f>
        <v>5260004.9399999995</v>
      </c>
      <c r="P34" s="178">
        <f>+'Créditos-Esc Especifico'!O161</f>
        <v>47125.590000000004</v>
      </c>
      <c r="Q34" s="178">
        <f>+'Créditos-Esc Especifico'!P161</f>
        <v>9689654.5150000006</v>
      </c>
      <c r="R34" s="178">
        <f>+'Créditos-Esc Especifico'!Q161</f>
        <v>422067.25499999995</v>
      </c>
      <c r="S34" s="178">
        <f>+'Créditos-Esc Especifico'!R161</f>
        <v>5078858.665</v>
      </c>
      <c r="T34" s="178">
        <f>+'Créditos-Esc Especifico'!S161</f>
        <v>379572.95499999996</v>
      </c>
      <c r="U34" s="172">
        <f t="shared" si="3"/>
        <v>34024472.243120365</v>
      </c>
      <c r="V34" s="172">
        <f t="shared" si="3"/>
        <v>979224.36999999988</v>
      </c>
      <c r="W34" s="781">
        <f>+Anx16AMN!N51+Anx16AMN!N85</f>
        <v>34024472.243120357</v>
      </c>
      <c r="X34" s="781">
        <f>+Anx16AME!N51+Anx16AME!N85</f>
        <v>979224.36999999988</v>
      </c>
      <c r="Y34" s="780">
        <f t="shared" si="4"/>
        <v>0</v>
      </c>
      <c r="Z34" s="780">
        <f t="shared" si="4"/>
        <v>0</v>
      </c>
      <c r="AA34" s="266"/>
      <c r="AB34" s="266"/>
      <c r="AC34" s="266"/>
      <c r="AD34" s="266"/>
      <c r="AE34" s="2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  <c r="DS34" s="166"/>
      <c r="DT34" s="166"/>
      <c r="DU34" s="166"/>
      <c r="DV34" s="166"/>
      <c r="DW34" s="166"/>
      <c r="DX34" s="166"/>
      <c r="DY34" s="166"/>
      <c r="DZ34" s="166"/>
      <c r="EA34" s="166"/>
      <c r="EB34" s="166"/>
      <c r="EC34" s="166"/>
      <c r="ED34" s="166"/>
      <c r="EE34" s="166"/>
      <c r="EF34" s="166"/>
      <c r="EG34" s="166"/>
      <c r="EH34" s="166"/>
      <c r="EI34" s="166"/>
      <c r="EJ34" s="166"/>
      <c r="EK34" s="166"/>
      <c r="EL34" s="166"/>
      <c r="EM34" s="166"/>
      <c r="EN34" s="166"/>
      <c r="EO34" s="166"/>
      <c r="EP34" s="166"/>
      <c r="EQ34" s="166"/>
      <c r="ER34" s="166"/>
      <c r="ES34" s="166"/>
      <c r="ET34" s="166"/>
      <c r="EU34" s="166"/>
      <c r="EV34" s="166"/>
      <c r="EW34" s="166"/>
      <c r="EX34" s="166"/>
      <c r="EY34" s="166"/>
      <c r="EZ34" s="166"/>
      <c r="FA34" s="166"/>
      <c r="FB34" s="166"/>
      <c r="FC34" s="166"/>
      <c r="FD34" s="166"/>
      <c r="FE34" s="166"/>
      <c r="FF34" s="166"/>
      <c r="FG34" s="166"/>
      <c r="FH34" s="166"/>
      <c r="FI34" s="166"/>
      <c r="FJ34" s="166"/>
      <c r="FK34" s="166"/>
      <c r="FL34" s="166"/>
      <c r="FM34" s="166"/>
      <c r="FN34" s="166"/>
      <c r="FO34" s="166"/>
      <c r="FP34" s="166"/>
      <c r="FQ34" s="166"/>
      <c r="FR34" s="166"/>
      <c r="FS34" s="166"/>
      <c r="FT34" s="166"/>
      <c r="FU34" s="166"/>
      <c r="FV34" s="166"/>
      <c r="FW34" s="166"/>
      <c r="FX34" s="166"/>
      <c r="FY34" s="166"/>
      <c r="FZ34" s="166"/>
      <c r="GA34" s="166"/>
      <c r="GB34" s="166"/>
      <c r="GC34" s="166"/>
      <c r="GD34" s="166"/>
      <c r="GE34" s="166"/>
      <c r="GF34" s="166"/>
      <c r="GG34" s="166"/>
      <c r="GH34" s="166"/>
      <c r="GI34" s="166"/>
      <c r="GJ34" s="166"/>
      <c r="GK34" s="166"/>
      <c r="GL34" s="166"/>
      <c r="GM34" s="166"/>
      <c r="GN34" s="166"/>
      <c r="GO34" s="166"/>
      <c r="GP34" s="166"/>
      <c r="GQ34" s="166"/>
      <c r="GR34" s="166"/>
      <c r="GS34" s="166"/>
      <c r="GT34" s="166"/>
      <c r="GU34" s="166"/>
      <c r="GV34" s="166"/>
      <c r="GW34" s="166"/>
      <c r="GX34" s="166"/>
      <c r="GY34" s="166"/>
      <c r="GZ34" s="166"/>
      <c r="HA34" s="166"/>
      <c r="HB34" s="166"/>
      <c r="HC34" s="166"/>
      <c r="HD34" s="166"/>
      <c r="HE34" s="166"/>
      <c r="HF34" s="166"/>
      <c r="HG34" s="166"/>
      <c r="HH34" s="166"/>
      <c r="HI34" s="166"/>
      <c r="HJ34" s="166"/>
      <c r="HK34" s="166"/>
      <c r="HL34" s="166"/>
      <c r="HM34" s="166"/>
      <c r="HN34" s="166"/>
      <c r="HO34" s="166"/>
      <c r="HP34" s="166"/>
      <c r="HQ34" s="166"/>
      <c r="HR34" s="166"/>
      <c r="HS34" s="166"/>
      <c r="HT34" s="166"/>
      <c r="HU34" s="166"/>
      <c r="HV34" s="166"/>
      <c r="HW34" s="166"/>
      <c r="HX34" s="166"/>
      <c r="HY34" s="166"/>
      <c r="HZ34" s="166"/>
      <c r="IA34" s="166"/>
      <c r="IB34" s="166"/>
      <c r="IC34" s="166"/>
      <c r="ID34" s="166"/>
      <c r="IE34" s="166"/>
      <c r="IF34" s="166"/>
      <c r="IG34" s="166"/>
      <c r="IH34" s="166"/>
      <c r="II34" s="166"/>
      <c r="IJ34" s="166"/>
      <c r="IK34" s="166"/>
      <c r="IL34" s="166"/>
      <c r="IM34" s="166"/>
      <c r="IN34" s="166"/>
      <c r="IO34" s="166"/>
      <c r="IP34" s="166"/>
      <c r="IQ34" s="166"/>
      <c r="IR34" s="166"/>
      <c r="IS34" s="166"/>
      <c r="IT34" s="166"/>
      <c r="IU34" s="166"/>
      <c r="IV34" s="166"/>
    </row>
    <row r="35" spans="1:256" ht="19.5" customHeight="1">
      <c r="A35" s="40" t="s">
        <v>267</v>
      </c>
      <c r="B35" s="428" t="s">
        <v>131</v>
      </c>
      <c r="C35" s="178">
        <f>+Anx16BReg!C35</f>
        <v>3245952.3387039616</v>
      </c>
      <c r="D35" s="178">
        <f>+Anx16BReg!D35</f>
        <v>121347.55621397782</v>
      </c>
      <c r="E35" s="178">
        <f>+Anx16BReg!E35</f>
        <v>3438928.406292418</v>
      </c>
      <c r="F35" s="178">
        <f>+Anx16BReg!F35</f>
        <v>92572.100335909359</v>
      </c>
      <c r="G35" s="178">
        <f>+Anx16BReg!G35</f>
        <v>6300716.7388887992</v>
      </c>
      <c r="H35" s="178">
        <f>+Anx16BReg!H35</f>
        <v>8150.09</v>
      </c>
      <c r="I35" s="178">
        <f>+Anx16BReg!I35</f>
        <v>3542577.49</v>
      </c>
      <c r="J35" s="178">
        <f>+Anx16BReg!J35</f>
        <v>1907.11</v>
      </c>
      <c r="K35" s="178">
        <f>+Anx16BReg!K35</f>
        <v>3141042.76</v>
      </c>
      <c r="L35" s="178">
        <f>+Anx16BReg!L35</f>
        <v>10937.87</v>
      </c>
      <c r="M35" s="178">
        <f>+Anx16BReg!M35</f>
        <v>3048392.33</v>
      </c>
      <c r="N35" s="178">
        <f>+Anx16BReg!N35</f>
        <v>34024.54</v>
      </c>
      <c r="O35" s="178">
        <f>+Anx16BReg!O35</f>
        <v>6863561.3600000003</v>
      </c>
      <c r="P35" s="178">
        <f>+Anx16BReg!P35</f>
        <v>31102.78</v>
      </c>
      <c r="Q35" s="178">
        <f>+Anx16BReg!Q35</f>
        <v>6912571.7000000002</v>
      </c>
      <c r="R35" s="178">
        <f>+Anx16BReg!R35</f>
        <v>35254.089999999997</v>
      </c>
      <c r="S35" s="178">
        <f>+Anx16BReg!S35</f>
        <v>22495116.306114823</v>
      </c>
      <c r="T35" s="178">
        <f>+Anx16BReg!T35</f>
        <v>143692.8675501128</v>
      </c>
      <c r="U35" s="172">
        <f t="shared" si="3"/>
        <v>58988859.430000007</v>
      </c>
      <c r="V35" s="172">
        <f t="shared" si="3"/>
        <v>478989.0040999999</v>
      </c>
      <c r="W35" s="773">
        <f>+Anx16AMN!N52+Anx16AMN!N86</f>
        <v>58988859.430000007</v>
      </c>
      <c r="X35" s="781">
        <f>+Anx16AME!N52+Anx16AME!N86</f>
        <v>478989.00409999996</v>
      </c>
      <c r="Y35" s="780">
        <f t="shared" si="4"/>
        <v>0</v>
      </c>
      <c r="Z35" s="780">
        <f t="shared" si="4"/>
        <v>0</v>
      </c>
      <c r="AA35" s="266"/>
      <c r="AB35" s="266"/>
      <c r="AC35" s="266"/>
      <c r="AD35" s="266"/>
      <c r="AE35" s="2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6"/>
      <c r="CY35" s="166"/>
      <c r="CZ35" s="166"/>
      <c r="DA35" s="166"/>
      <c r="DB35" s="166"/>
      <c r="DC35" s="166"/>
      <c r="DD35" s="166"/>
      <c r="DE35" s="166"/>
      <c r="DF35" s="166"/>
      <c r="DG35" s="166"/>
      <c r="DH35" s="166"/>
      <c r="DI35" s="166"/>
      <c r="DJ35" s="166"/>
      <c r="DK35" s="166"/>
      <c r="DL35" s="166"/>
      <c r="DM35" s="166"/>
      <c r="DN35" s="166"/>
      <c r="DO35" s="166"/>
      <c r="DP35" s="166"/>
      <c r="DQ35" s="166"/>
      <c r="DR35" s="166"/>
      <c r="DS35" s="166"/>
      <c r="DT35" s="166"/>
      <c r="DU35" s="166"/>
      <c r="DV35" s="166"/>
      <c r="DW35" s="166"/>
      <c r="DX35" s="166"/>
      <c r="DY35" s="166"/>
      <c r="DZ35" s="166"/>
      <c r="EA35" s="166"/>
      <c r="EB35" s="166"/>
      <c r="EC35" s="166"/>
      <c r="ED35" s="166"/>
      <c r="EE35" s="166"/>
      <c r="EF35" s="166"/>
      <c r="EG35" s="166"/>
      <c r="EH35" s="166"/>
      <c r="EI35" s="166"/>
      <c r="EJ35" s="166"/>
      <c r="EK35" s="166"/>
      <c r="EL35" s="166"/>
      <c r="EM35" s="166"/>
      <c r="EN35" s="166"/>
      <c r="EO35" s="166"/>
      <c r="EP35" s="166"/>
      <c r="EQ35" s="166"/>
      <c r="ER35" s="166"/>
      <c r="ES35" s="166"/>
      <c r="ET35" s="166"/>
      <c r="EU35" s="166"/>
      <c r="EV35" s="166"/>
      <c r="EW35" s="166"/>
      <c r="EX35" s="166"/>
      <c r="EY35" s="166"/>
      <c r="EZ35" s="166"/>
      <c r="FA35" s="166"/>
      <c r="FB35" s="166"/>
      <c r="FC35" s="166"/>
      <c r="FD35" s="166"/>
      <c r="FE35" s="166"/>
      <c r="FF35" s="166"/>
      <c r="FG35" s="166"/>
      <c r="FH35" s="166"/>
      <c r="FI35" s="166"/>
      <c r="FJ35" s="166"/>
      <c r="FK35" s="166"/>
      <c r="FL35" s="166"/>
      <c r="FM35" s="166"/>
      <c r="FN35" s="166"/>
      <c r="FO35" s="166"/>
      <c r="FP35" s="166"/>
      <c r="FQ35" s="166"/>
      <c r="FR35" s="166"/>
      <c r="FS35" s="166"/>
      <c r="FT35" s="166"/>
      <c r="FU35" s="166"/>
      <c r="FV35" s="166"/>
      <c r="FW35" s="166"/>
      <c r="FX35" s="166"/>
      <c r="FY35" s="166"/>
      <c r="FZ35" s="166"/>
      <c r="GA35" s="166"/>
      <c r="GB35" s="166"/>
      <c r="GC35" s="166"/>
      <c r="GD35" s="166"/>
      <c r="GE35" s="166"/>
      <c r="GF35" s="166"/>
      <c r="GG35" s="166"/>
      <c r="GH35" s="166"/>
      <c r="GI35" s="166"/>
      <c r="GJ35" s="166"/>
      <c r="GK35" s="166"/>
      <c r="GL35" s="166"/>
      <c r="GM35" s="166"/>
      <c r="GN35" s="166"/>
      <c r="GO35" s="166"/>
      <c r="GP35" s="166"/>
      <c r="GQ35" s="166"/>
      <c r="GR35" s="166"/>
      <c r="GS35" s="166"/>
      <c r="GT35" s="166"/>
      <c r="GU35" s="166"/>
      <c r="GV35" s="166"/>
      <c r="GW35" s="166"/>
      <c r="GX35" s="166"/>
      <c r="GY35" s="166"/>
      <c r="GZ35" s="166"/>
      <c r="HA35" s="166"/>
      <c r="HB35" s="166"/>
      <c r="HC35" s="166"/>
      <c r="HD35" s="166"/>
      <c r="HE35" s="166"/>
      <c r="HF35" s="166"/>
      <c r="HG35" s="166"/>
      <c r="HH35" s="166"/>
      <c r="HI35" s="166"/>
      <c r="HJ35" s="166"/>
      <c r="HK35" s="166"/>
      <c r="HL35" s="166"/>
      <c r="HM35" s="166"/>
      <c r="HN35" s="166"/>
      <c r="HO35" s="166"/>
      <c r="HP35" s="166"/>
      <c r="HQ35" s="166"/>
      <c r="HR35" s="166"/>
      <c r="HS35" s="166"/>
      <c r="HT35" s="166"/>
      <c r="HU35" s="166"/>
      <c r="HV35" s="166"/>
      <c r="HW35" s="166"/>
      <c r="HX35" s="166"/>
      <c r="HY35" s="166"/>
      <c r="HZ35" s="166"/>
      <c r="IA35" s="166"/>
      <c r="IB35" s="166"/>
      <c r="IC35" s="166"/>
      <c r="ID35" s="166"/>
      <c r="IE35" s="166"/>
      <c r="IF35" s="166"/>
      <c r="IG35" s="166"/>
      <c r="IH35" s="166"/>
      <c r="II35" s="166"/>
      <c r="IJ35" s="166"/>
      <c r="IK35" s="166"/>
      <c r="IL35" s="166"/>
      <c r="IM35" s="166"/>
      <c r="IN35" s="166"/>
      <c r="IO35" s="166"/>
      <c r="IP35" s="166"/>
      <c r="IQ35" s="166"/>
      <c r="IR35" s="166"/>
      <c r="IS35" s="166"/>
      <c r="IT35" s="166"/>
      <c r="IU35" s="166"/>
      <c r="IV35" s="166"/>
    </row>
    <row r="36" spans="1:256" ht="16.5">
      <c r="A36" s="40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/>
      <c r="W36" s="781"/>
      <c r="X36" s="781"/>
      <c r="Y36" s="780">
        <f t="shared" si="4"/>
        <v>0</v>
      </c>
      <c r="Z36" s="780">
        <f t="shared" si="4"/>
        <v>0</v>
      </c>
      <c r="AA36" s="266"/>
      <c r="AB36" s="266"/>
      <c r="AC36" s="266"/>
      <c r="AD36" s="266"/>
      <c r="AE36" s="2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6"/>
      <c r="CY36" s="166"/>
      <c r="CZ36" s="166"/>
      <c r="DA36" s="166"/>
      <c r="DB36" s="166"/>
      <c r="DC36" s="166"/>
      <c r="DD36" s="166"/>
      <c r="DE36" s="166"/>
      <c r="DF36" s="166"/>
      <c r="DG36" s="166"/>
      <c r="DH36" s="166"/>
      <c r="DI36" s="166"/>
      <c r="DJ36" s="166"/>
      <c r="DK36" s="166"/>
      <c r="DL36" s="166"/>
      <c r="DM36" s="166"/>
      <c r="DN36" s="166"/>
      <c r="DO36" s="166"/>
      <c r="DP36" s="166"/>
      <c r="DQ36" s="166"/>
      <c r="DR36" s="166"/>
      <c r="DS36" s="166"/>
      <c r="DT36" s="166"/>
      <c r="DU36" s="166"/>
      <c r="DV36" s="166"/>
      <c r="DW36" s="166"/>
      <c r="DX36" s="166"/>
      <c r="DY36" s="166"/>
      <c r="DZ36" s="166"/>
      <c r="EA36" s="166"/>
      <c r="EB36" s="166"/>
      <c r="EC36" s="166"/>
      <c r="ED36" s="166"/>
      <c r="EE36" s="166"/>
      <c r="EF36" s="166"/>
      <c r="EG36" s="166"/>
      <c r="EH36" s="166"/>
      <c r="EI36" s="166"/>
      <c r="EJ36" s="166"/>
      <c r="EK36" s="166"/>
      <c r="EL36" s="166"/>
      <c r="EM36" s="166"/>
      <c r="EN36" s="166"/>
      <c r="EO36" s="166"/>
      <c r="EP36" s="166"/>
      <c r="EQ36" s="166"/>
      <c r="ER36" s="166"/>
      <c r="ES36" s="166"/>
      <c r="ET36" s="166"/>
      <c r="EU36" s="166"/>
      <c r="EV36" s="166"/>
      <c r="EW36" s="166"/>
      <c r="EX36" s="166"/>
      <c r="EY36" s="166"/>
      <c r="EZ36" s="166"/>
      <c r="FA36" s="166"/>
      <c r="FB36" s="166"/>
      <c r="FC36" s="166"/>
      <c r="FD36" s="166"/>
      <c r="FE36" s="166"/>
      <c r="FF36" s="166"/>
      <c r="FG36" s="166"/>
      <c r="FH36" s="166"/>
      <c r="FI36" s="166"/>
      <c r="FJ36" s="166"/>
      <c r="FK36" s="166"/>
      <c r="FL36" s="166"/>
      <c r="FM36" s="166"/>
      <c r="FN36" s="166"/>
      <c r="FO36" s="166"/>
      <c r="FP36" s="166"/>
      <c r="FQ36" s="166"/>
      <c r="FR36" s="166"/>
      <c r="FS36" s="166"/>
      <c r="FT36" s="166"/>
      <c r="FU36" s="166"/>
      <c r="FV36" s="166"/>
      <c r="FW36" s="166"/>
      <c r="FX36" s="166"/>
      <c r="FY36" s="166"/>
      <c r="FZ36" s="166"/>
      <c r="GA36" s="166"/>
      <c r="GB36" s="166"/>
      <c r="GC36" s="166"/>
      <c r="GD36" s="166"/>
      <c r="GE36" s="166"/>
      <c r="GF36" s="166"/>
      <c r="GG36" s="166"/>
      <c r="GH36" s="166"/>
      <c r="GI36" s="166"/>
      <c r="GJ36" s="166"/>
      <c r="GK36" s="166"/>
      <c r="GL36" s="166"/>
      <c r="GM36" s="166"/>
      <c r="GN36" s="166"/>
      <c r="GO36" s="166"/>
      <c r="GP36" s="166"/>
      <c r="GQ36" s="166"/>
      <c r="GR36" s="166"/>
      <c r="GS36" s="166"/>
      <c r="GT36" s="166"/>
      <c r="GU36" s="166"/>
      <c r="GV36" s="166"/>
      <c r="GW36" s="166"/>
      <c r="GX36" s="166"/>
      <c r="GY36" s="166"/>
      <c r="GZ36" s="166"/>
      <c r="HA36" s="166"/>
      <c r="HB36" s="166"/>
      <c r="HC36" s="166"/>
      <c r="HD36" s="166"/>
      <c r="HE36" s="166"/>
      <c r="HF36" s="166"/>
      <c r="HG36" s="166"/>
      <c r="HH36" s="166"/>
      <c r="HI36" s="166"/>
      <c r="HJ36" s="166"/>
      <c r="HK36" s="166"/>
      <c r="HL36" s="166"/>
      <c r="HM36" s="166"/>
      <c r="HN36" s="166"/>
      <c r="HO36" s="166"/>
      <c r="HP36" s="166"/>
      <c r="HQ36" s="166"/>
      <c r="HR36" s="166"/>
      <c r="HS36" s="166"/>
      <c r="HT36" s="166"/>
      <c r="HU36" s="166"/>
      <c r="HV36" s="166"/>
      <c r="HW36" s="166"/>
      <c r="HX36" s="166"/>
      <c r="HY36" s="166"/>
      <c r="HZ36" s="166"/>
      <c r="IA36" s="166"/>
      <c r="IB36" s="166"/>
      <c r="IC36" s="166"/>
      <c r="ID36" s="166"/>
      <c r="IE36" s="166"/>
      <c r="IF36" s="166"/>
      <c r="IG36" s="166"/>
      <c r="IH36" s="166"/>
      <c r="II36" s="166"/>
      <c r="IJ36" s="166"/>
      <c r="IK36" s="166"/>
      <c r="IL36" s="166"/>
      <c r="IM36" s="166"/>
      <c r="IN36" s="166"/>
      <c r="IO36" s="166"/>
      <c r="IP36" s="166"/>
      <c r="IQ36" s="166"/>
      <c r="IR36" s="166"/>
      <c r="IS36" s="166"/>
      <c r="IT36" s="166"/>
      <c r="IU36" s="166"/>
      <c r="IV36" s="166"/>
    </row>
    <row r="37" spans="1:256" ht="16.5">
      <c r="A37" s="40">
        <v>2300</v>
      </c>
      <c r="B37" s="428" t="s">
        <v>265</v>
      </c>
      <c r="C37" s="178">
        <f>+Anx16AMN!N87+Anx16AMN!N54</f>
        <v>1007251.49</v>
      </c>
      <c r="D37" s="172">
        <f>Anx16AME!N54+Anx16AME!N87</f>
        <v>1748.47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3"/>
        <v>1007251.49</v>
      </c>
      <c r="V37" s="172">
        <f t="shared" si="3"/>
        <v>1748.47</v>
      </c>
      <c r="W37" s="781">
        <f>+Anx16AMN!N54+Anx16AMN!N87</f>
        <v>1007251.49</v>
      </c>
      <c r="X37" s="781">
        <f>+Anx16AME!N54+Anx16AME!N87</f>
        <v>1748.47</v>
      </c>
      <c r="Y37" s="780">
        <f t="shared" si="4"/>
        <v>0</v>
      </c>
      <c r="Z37" s="780">
        <f t="shared" si="4"/>
        <v>0</v>
      </c>
      <c r="AA37" s="266"/>
      <c r="AB37" s="266"/>
      <c r="AC37" s="266"/>
      <c r="AD37" s="266"/>
      <c r="AE37" s="2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6"/>
      <c r="CY37" s="166"/>
      <c r="CZ37" s="166"/>
      <c r="DA37" s="166"/>
      <c r="DB37" s="166"/>
      <c r="DC37" s="166"/>
      <c r="DD37" s="166"/>
      <c r="DE37" s="166"/>
      <c r="DF37" s="166"/>
      <c r="DG37" s="166"/>
      <c r="DH37" s="166"/>
      <c r="DI37" s="166"/>
      <c r="DJ37" s="166"/>
      <c r="DK37" s="166"/>
      <c r="DL37" s="166"/>
      <c r="DM37" s="166"/>
      <c r="DN37" s="166"/>
      <c r="DO37" s="166"/>
      <c r="DP37" s="166"/>
      <c r="DQ37" s="166"/>
      <c r="DR37" s="166"/>
      <c r="DS37" s="166"/>
      <c r="DT37" s="166"/>
      <c r="DU37" s="166"/>
      <c r="DV37" s="166"/>
      <c r="DW37" s="166"/>
      <c r="DX37" s="166"/>
      <c r="DY37" s="166"/>
      <c r="DZ37" s="166"/>
      <c r="EA37" s="166"/>
      <c r="EB37" s="166"/>
      <c r="EC37" s="166"/>
      <c r="ED37" s="166"/>
      <c r="EE37" s="166"/>
      <c r="EF37" s="166"/>
      <c r="EG37" s="166"/>
      <c r="EH37" s="166"/>
      <c r="EI37" s="166"/>
      <c r="EJ37" s="166"/>
      <c r="EK37" s="166"/>
      <c r="EL37" s="166"/>
      <c r="EM37" s="166"/>
      <c r="EN37" s="166"/>
      <c r="EO37" s="166"/>
      <c r="EP37" s="166"/>
      <c r="EQ37" s="166"/>
      <c r="ER37" s="166"/>
      <c r="ES37" s="166"/>
      <c r="ET37" s="166"/>
      <c r="EU37" s="166"/>
      <c r="EV37" s="166"/>
      <c r="EW37" s="166"/>
      <c r="EX37" s="166"/>
      <c r="EY37" s="166"/>
      <c r="EZ37" s="166"/>
      <c r="FA37" s="166"/>
      <c r="FB37" s="166"/>
      <c r="FC37" s="166"/>
      <c r="FD37" s="166"/>
      <c r="FE37" s="166"/>
      <c r="FF37" s="166"/>
      <c r="FG37" s="166"/>
      <c r="FH37" s="166"/>
      <c r="FI37" s="166"/>
      <c r="FJ37" s="166"/>
      <c r="FK37" s="166"/>
      <c r="FL37" s="166"/>
      <c r="FM37" s="166"/>
      <c r="FN37" s="166"/>
      <c r="FO37" s="166"/>
      <c r="FP37" s="166"/>
      <c r="FQ37" s="166"/>
      <c r="FR37" s="166"/>
      <c r="FS37" s="166"/>
      <c r="FT37" s="166"/>
      <c r="FU37" s="166"/>
      <c r="FV37" s="166"/>
      <c r="FW37" s="166"/>
      <c r="FX37" s="166"/>
      <c r="FY37" s="166"/>
      <c r="FZ37" s="166"/>
      <c r="GA37" s="166"/>
      <c r="GB37" s="166"/>
      <c r="GC37" s="166"/>
      <c r="GD37" s="166"/>
      <c r="GE37" s="166"/>
      <c r="GF37" s="166"/>
      <c r="GG37" s="166"/>
      <c r="GH37" s="166"/>
      <c r="GI37" s="166"/>
      <c r="GJ37" s="166"/>
      <c r="GK37" s="166"/>
      <c r="GL37" s="166"/>
      <c r="GM37" s="166"/>
      <c r="GN37" s="166"/>
      <c r="GO37" s="166"/>
      <c r="GP37" s="166"/>
      <c r="GQ37" s="166"/>
      <c r="GR37" s="166"/>
      <c r="GS37" s="166"/>
      <c r="GT37" s="166"/>
      <c r="GU37" s="166"/>
      <c r="GV37" s="166"/>
      <c r="GW37" s="166"/>
      <c r="GX37" s="166"/>
      <c r="GY37" s="166"/>
      <c r="GZ37" s="166"/>
      <c r="HA37" s="166"/>
      <c r="HB37" s="166"/>
      <c r="HC37" s="166"/>
      <c r="HD37" s="166"/>
      <c r="HE37" s="166"/>
      <c r="HF37" s="166"/>
      <c r="HG37" s="166"/>
      <c r="HH37" s="166"/>
      <c r="HI37" s="166"/>
      <c r="HJ37" s="166"/>
      <c r="HK37" s="166"/>
      <c r="HL37" s="166"/>
      <c r="HM37" s="166"/>
      <c r="HN37" s="166"/>
      <c r="HO37" s="166"/>
      <c r="HP37" s="166"/>
      <c r="HQ37" s="166"/>
      <c r="HR37" s="166"/>
      <c r="HS37" s="166"/>
      <c r="HT37" s="166"/>
      <c r="HU37" s="166"/>
      <c r="HV37" s="166"/>
      <c r="HW37" s="166"/>
      <c r="HX37" s="166"/>
      <c r="HY37" s="166"/>
      <c r="HZ37" s="166"/>
      <c r="IA37" s="166"/>
      <c r="IB37" s="166"/>
      <c r="IC37" s="166"/>
      <c r="ID37" s="166"/>
      <c r="IE37" s="166"/>
      <c r="IF37" s="166"/>
      <c r="IG37" s="166"/>
      <c r="IH37" s="166"/>
      <c r="II37" s="166"/>
      <c r="IJ37" s="166"/>
      <c r="IK37" s="166"/>
      <c r="IL37" s="166"/>
      <c r="IM37" s="166"/>
      <c r="IN37" s="166"/>
      <c r="IO37" s="166"/>
      <c r="IP37" s="166"/>
      <c r="IQ37" s="166"/>
      <c r="IR37" s="166"/>
      <c r="IS37" s="166"/>
      <c r="IT37" s="166"/>
      <c r="IU37" s="166"/>
      <c r="IV37" s="166"/>
    </row>
    <row r="38" spans="1:256" ht="18.75" customHeight="1">
      <c r="A38" s="40" t="s">
        <v>371</v>
      </c>
      <c r="B38" s="175" t="s">
        <v>264</v>
      </c>
      <c r="C38" s="264">
        <f>Anx16AMN!C55</f>
        <v>575234.64</v>
      </c>
      <c r="D38" s="264">
        <f>ROUND(Anx16AME!C55,2)</f>
        <v>0</v>
      </c>
      <c r="E38" s="264">
        <f>Anx16AMN!D55</f>
        <v>505437.66</v>
      </c>
      <c r="F38" s="265">
        <f>Anx16AME!D55</f>
        <v>0</v>
      </c>
      <c r="G38" s="264">
        <f>Anx16AMN!E55</f>
        <v>495504.77</v>
      </c>
      <c r="H38" s="265">
        <f>Anx16AME!E55</f>
        <v>0</v>
      </c>
      <c r="I38" s="264">
        <f>Anx16AMN!F55</f>
        <v>548051.68000000005</v>
      </c>
      <c r="J38" s="265">
        <f>Anx16AME!F55</f>
        <v>0</v>
      </c>
      <c r="K38" s="264">
        <f>Anx16AMN!G55</f>
        <v>833960.64</v>
      </c>
      <c r="L38" s="265">
        <f>Anx16AME!G55</f>
        <v>0</v>
      </c>
      <c r="M38" s="264">
        <f>Anx16AMN!H55</f>
        <v>819825.8</v>
      </c>
      <c r="N38" s="265">
        <f>Anx16AME!H55</f>
        <v>0</v>
      </c>
      <c r="O38" s="264">
        <f>Anx16AMN!I55</f>
        <v>2270106.56</v>
      </c>
      <c r="P38" s="265">
        <f>Anx16AME!I55</f>
        <v>0</v>
      </c>
      <c r="Q38" s="264">
        <f>Anx16AMN!J55</f>
        <v>2007408.19</v>
      </c>
      <c r="R38" s="265">
        <f>Anx16AME!J55</f>
        <v>0</v>
      </c>
      <c r="S38" s="264">
        <f>SUM(Anx16AMN!K55:M55)</f>
        <v>11598387.770000001</v>
      </c>
      <c r="T38" s="264">
        <f>SUM(Anx16AME!K55:M55)</f>
        <v>0</v>
      </c>
      <c r="U38" s="172">
        <f t="shared" si="3"/>
        <v>19653917.710000001</v>
      </c>
      <c r="V38" s="172">
        <f t="shared" si="3"/>
        <v>0</v>
      </c>
      <c r="W38" s="779">
        <f>+Anx16AMN!N55</f>
        <v>19653917.709999997</v>
      </c>
      <c r="X38" s="781">
        <f>+Anx16AME!N55</f>
        <v>0</v>
      </c>
      <c r="Y38" s="780">
        <f t="shared" si="4"/>
        <v>0</v>
      </c>
      <c r="Z38" s="780">
        <f t="shared" si="4"/>
        <v>0</v>
      </c>
      <c r="AA38" s="257"/>
      <c r="AB38" s="257"/>
      <c r="AC38" s="257"/>
      <c r="AD38" s="257"/>
      <c r="AE38" s="257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  <c r="CT38" s="168"/>
      <c r="CU38" s="168"/>
      <c r="CV38" s="168"/>
      <c r="CW38" s="168"/>
      <c r="CX38" s="168"/>
      <c r="CY38" s="168"/>
      <c r="CZ38" s="168"/>
      <c r="DA38" s="168"/>
      <c r="DB38" s="168"/>
      <c r="DC38" s="168"/>
      <c r="DD38" s="168"/>
      <c r="DE38" s="168"/>
      <c r="DF38" s="168"/>
      <c r="DG38" s="168"/>
      <c r="DH38" s="168"/>
      <c r="DI38" s="168"/>
      <c r="DJ38" s="168"/>
      <c r="DK38" s="168"/>
      <c r="DL38" s="168"/>
      <c r="DM38" s="168"/>
      <c r="DN38" s="168"/>
      <c r="DO38" s="168"/>
      <c r="DP38" s="168"/>
      <c r="DQ38" s="168"/>
      <c r="DR38" s="168"/>
      <c r="DS38" s="168"/>
      <c r="DT38" s="168"/>
      <c r="DU38" s="168"/>
      <c r="DV38" s="168"/>
      <c r="DW38" s="168"/>
      <c r="DX38" s="168"/>
      <c r="DY38" s="168"/>
      <c r="DZ38" s="168"/>
      <c r="EA38" s="168"/>
      <c r="EB38" s="168"/>
      <c r="EC38" s="168"/>
      <c r="ED38" s="168"/>
      <c r="EE38" s="168"/>
      <c r="EF38" s="168"/>
      <c r="EG38" s="168"/>
      <c r="EH38" s="168"/>
      <c r="EI38" s="168"/>
      <c r="EJ38" s="168"/>
      <c r="EK38" s="168"/>
      <c r="EL38" s="168"/>
      <c r="EM38" s="168"/>
      <c r="EN38" s="168"/>
      <c r="EO38" s="168"/>
      <c r="EP38" s="168"/>
      <c r="EQ38" s="168"/>
      <c r="ER38" s="168"/>
      <c r="ES38" s="168"/>
      <c r="ET38" s="168"/>
      <c r="EU38" s="168"/>
      <c r="EV38" s="168"/>
      <c r="EW38" s="168"/>
      <c r="EX38" s="168"/>
      <c r="EY38" s="168"/>
      <c r="EZ38" s="168"/>
      <c r="FA38" s="168"/>
      <c r="FB38" s="168"/>
      <c r="FC38" s="168"/>
      <c r="FD38" s="168"/>
      <c r="FE38" s="168"/>
      <c r="FF38" s="168"/>
      <c r="FG38" s="168"/>
      <c r="FH38" s="168"/>
      <c r="FI38" s="168"/>
      <c r="FJ38" s="168"/>
      <c r="FK38" s="168"/>
      <c r="FL38" s="168"/>
      <c r="FM38" s="168"/>
      <c r="FN38" s="168"/>
      <c r="FO38" s="168"/>
      <c r="FP38" s="168"/>
      <c r="FQ38" s="168"/>
      <c r="FR38" s="168"/>
      <c r="FS38" s="168"/>
      <c r="FT38" s="168"/>
      <c r="FU38" s="168"/>
      <c r="FV38" s="168"/>
      <c r="FW38" s="168"/>
      <c r="FX38" s="168"/>
      <c r="FY38" s="168"/>
      <c r="FZ38" s="168"/>
      <c r="GA38" s="168"/>
      <c r="GB38" s="168"/>
      <c r="GC38" s="168"/>
      <c r="GD38" s="168"/>
      <c r="GE38" s="168"/>
      <c r="GF38" s="168"/>
      <c r="GG38" s="168"/>
      <c r="GH38" s="168"/>
      <c r="GI38" s="168"/>
      <c r="GJ38" s="168"/>
      <c r="GK38" s="168"/>
      <c r="GL38" s="168"/>
      <c r="GM38" s="168"/>
      <c r="GN38" s="168"/>
      <c r="GO38" s="168"/>
      <c r="GP38" s="168"/>
      <c r="GQ38" s="168"/>
      <c r="GR38" s="168"/>
      <c r="GS38" s="168"/>
      <c r="GT38" s="168"/>
      <c r="GU38" s="168"/>
      <c r="GV38" s="168"/>
      <c r="GW38" s="168"/>
      <c r="GX38" s="168"/>
      <c r="GY38" s="168"/>
      <c r="GZ38" s="168"/>
      <c r="HA38" s="168"/>
      <c r="HB38" s="168"/>
      <c r="HC38" s="168"/>
      <c r="HD38" s="168"/>
      <c r="HE38" s="168"/>
      <c r="HF38" s="168"/>
      <c r="HG38" s="168"/>
      <c r="HH38" s="168"/>
      <c r="HI38" s="168"/>
      <c r="HJ38" s="168"/>
      <c r="HK38" s="168"/>
      <c r="HL38" s="168"/>
      <c r="HM38" s="168"/>
      <c r="HN38" s="168"/>
      <c r="HO38" s="168"/>
      <c r="HP38" s="168"/>
      <c r="HQ38" s="168"/>
      <c r="HR38" s="168"/>
      <c r="HS38" s="168"/>
      <c r="HT38" s="168"/>
      <c r="HU38" s="168"/>
      <c r="HV38" s="168"/>
      <c r="HW38" s="168"/>
      <c r="HX38" s="168"/>
      <c r="HY38" s="168"/>
      <c r="HZ38" s="168"/>
      <c r="IA38" s="168"/>
      <c r="IB38" s="168"/>
      <c r="IC38" s="168"/>
      <c r="ID38" s="168"/>
      <c r="IE38" s="168"/>
      <c r="IF38" s="168"/>
      <c r="IG38" s="168"/>
      <c r="IH38" s="168"/>
      <c r="II38" s="168"/>
      <c r="IJ38" s="168"/>
      <c r="IK38" s="168"/>
      <c r="IL38" s="168"/>
      <c r="IM38" s="168"/>
      <c r="IN38" s="168"/>
      <c r="IO38" s="168"/>
      <c r="IP38" s="168"/>
      <c r="IQ38" s="168"/>
      <c r="IR38" s="168"/>
      <c r="IS38" s="168"/>
      <c r="IT38" s="168"/>
      <c r="IU38" s="168"/>
      <c r="IV38" s="168"/>
    </row>
    <row r="39" spans="1:256" ht="18" customHeight="1">
      <c r="A39" s="40" t="s">
        <v>121</v>
      </c>
      <c r="B39" s="175" t="s">
        <v>263</v>
      </c>
      <c r="C39" s="264">
        <f>Anx16AMN!C56</f>
        <v>0</v>
      </c>
      <c r="D39" s="264">
        <f>ROUND(Anx16AME!C56,2)</f>
        <v>53513.72</v>
      </c>
      <c r="E39" s="264">
        <f>Anx16AMN!D56</f>
        <v>0</v>
      </c>
      <c r="F39" s="265">
        <f>Anx16AME!D56</f>
        <v>0</v>
      </c>
      <c r="G39" s="264">
        <f>Anx16AMN!E56</f>
        <v>0</v>
      </c>
      <c r="H39" s="265">
        <f>Anx16AME!E56</f>
        <v>0</v>
      </c>
      <c r="I39" s="264">
        <f>Anx16AMN!F56</f>
        <v>0</v>
      </c>
      <c r="J39" s="265">
        <f>Anx16AME!F56</f>
        <v>0</v>
      </c>
      <c r="K39" s="264">
        <f>Anx16AMN!G56</f>
        <v>0</v>
      </c>
      <c r="L39" s="265">
        <f>Anx16AME!G56</f>
        <v>0</v>
      </c>
      <c r="M39" s="264">
        <f>Anx16AMN!H56</f>
        <v>0</v>
      </c>
      <c r="N39" s="265">
        <f>Anx16AME!H56</f>
        <v>0</v>
      </c>
      <c r="O39" s="264">
        <f>Anx16AMN!I56</f>
        <v>0</v>
      </c>
      <c r="P39" s="265">
        <f>Anx16AME!I56</f>
        <v>0</v>
      </c>
      <c r="Q39" s="264">
        <f>Anx16AMN!J56</f>
        <v>0</v>
      </c>
      <c r="R39" s="265">
        <f>Anx16AME!J56</f>
        <v>0</v>
      </c>
      <c r="S39" s="264">
        <f>SUM(Anx16AMN!K56:M56)</f>
        <v>0</v>
      </c>
      <c r="T39" s="264">
        <f>SUM(Anx16AME!K56:M56)</f>
        <v>1000000</v>
      </c>
      <c r="U39" s="172">
        <f t="shared" si="3"/>
        <v>0</v>
      </c>
      <c r="V39" s="172">
        <f t="shared" si="3"/>
        <v>1053513.72</v>
      </c>
      <c r="W39" s="779">
        <f>+Anx16AMN!N56</f>
        <v>0</v>
      </c>
      <c r="X39" s="781">
        <f>+Anx16AME!N56</f>
        <v>1053513.72</v>
      </c>
      <c r="Y39" s="780">
        <f t="shared" si="4"/>
        <v>0</v>
      </c>
      <c r="Z39" s="780">
        <f t="shared" si="4"/>
        <v>0</v>
      </c>
      <c r="AA39" s="257"/>
      <c r="AB39" s="257"/>
      <c r="AC39" s="257"/>
      <c r="AD39" s="257"/>
      <c r="AE39" s="257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8"/>
      <c r="GK39" s="168"/>
      <c r="GL39" s="168"/>
      <c r="GM39" s="168"/>
      <c r="GN39" s="168"/>
      <c r="GO39" s="168"/>
      <c r="GP39" s="168"/>
      <c r="GQ39" s="168"/>
      <c r="GR39" s="168"/>
      <c r="GS39" s="168"/>
      <c r="GT39" s="168"/>
      <c r="GU39" s="168"/>
      <c r="GV39" s="168"/>
      <c r="GW39" s="168"/>
      <c r="GX39" s="168"/>
      <c r="GY39" s="168"/>
      <c r="GZ39" s="168"/>
      <c r="HA39" s="168"/>
      <c r="HB39" s="168"/>
      <c r="HC39" s="168"/>
      <c r="HD39" s="168"/>
      <c r="HE39" s="168"/>
      <c r="HF39" s="168"/>
      <c r="HG39" s="168"/>
      <c r="HH39" s="168"/>
      <c r="HI39" s="168"/>
      <c r="HJ39" s="168"/>
      <c r="HK39" s="168"/>
      <c r="HL39" s="168"/>
      <c r="HM39" s="168"/>
      <c r="HN39" s="168"/>
      <c r="HO39" s="168"/>
      <c r="HP39" s="168"/>
      <c r="HQ39" s="168"/>
      <c r="HR39" s="168"/>
      <c r="HS39" s="168"/>
      <c r="HT39" s="168"/>
      <c r="HU39" s="168"/>
      <c r="HV39" s="168"/>
      <c r="HW39" s="168"/>
      <c r="HX39" s="168"/>
      <c r="HY39" s="168"/>
      <c r="HZ39" s="168"/>
      <c r="IA39" s="168"/>
      <c r="IB39" s="168"/>
      <c r="IC39" s="168"/>
      <c r="ID39" s="168"/>
      <c r="IE39" s="168"/>
      <c r="IF39" s="168"/>
      <c r="IG39" s="168"/>
      <c r="IH39" s="168"/>
      <c r="II39" s="168"/>
      <c r="IJ39" s="168"/>
      <c r="IK39" s="168"/>
      <c r="IL39" s="168"/>
      <c r="IM39" s="168"/>
      <c r="IN39" s="168"/>
      <c r="IO39" s="168"/>
      <c r="IP39" s="168"/>
      <c r="IQ39" s="168"/>
      <c r="IR39" s="168"/>
      <c r="IS39" s="168"/>
      <c r="IT39" s="168"/>
      <c r="IU39" s="168"/>
      <c r="IV39" s="168"/>
    </row>
    <row r="40" spans="1:256" ht="16.5">
      <c r="A40" s="40">
        <v>2800</v>
      </c>
      <c r="B40" s="169" t="s">
        <v>261</v>
      </c>
      <c r="C40" s="243"/>
      <c r="D40" s="243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43"/>
      <c r="S40" s="270"/>
      <c r="T40" s="270"/>
      <c r="U40" s="172"/>
      <c r="V40" s="172"/>
      <c r="W40" s="779"/>
      <c r="X40" s="781"/>
      <c r="Y40" s="780">
        <f t="shared" si="4"/>
        <v>0</v>
      </c>
      <c r="Z40" s="780">
        <f t="shared" si="4"/>
        <v>0</v>
      </c>
      <c r="AA40" s="257"/>
      <c r="AB40" s="257"/>
      <c r="AC40" s="257"/>
      <c r="AD40" s="257"/>
      <c r="AE40" s="257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68"/>
      <c r="CV40" s="168"/>
      <c r="CW40" s="168"/>
      <c r="CX40" s="168"/>
      <c r="CY40" s="168"/>
      <c r="CZ40" s="168"/>
      <c r="DA40" s="168"/>
      <c r="DB40" s="168"/>
      <c r="DC40" s="168"/>
      <c r="DD40" s="168"/>
      <c r="DE40" s="168"/>
      <c r="DF40" s="168"/>
      <c r="DG40" s="168"/>
      <c r="DH40" s="168"/>
      <c r="DI40" s="168"/>
      <c r="DJ40" s="168"/>
      <c r="DK40" s="168"/>
      <c r="DL40" s="168"/>
      <c r="DM40" s="168"/>
      <c r="DN40" s="168"/>
      <c r="DO40" s="168"/>
      <c r="DP40" s="168"/>
      <c r="DQ40" s="168"/>
      <c r="DR40" s="168"/>
      <c r="DS40" s="168"/>
      <c r="DT40" s="168"/>
      <c r="DU40" s="168"/>
      <c r="DV40" s="168"/>
      <c r="DW40" s="168"/>
      <c r="DX40" s="168"/>
      <c r="DY40" s="168"/>
      <c r="DZ40" s="168"/>
      <c r="EA40" s="168"/>
      <c r="EB40" s="168"/>
      <c r="EC40" s="168"/>
      <c r="ED40" s="168"/>
      <c r="EE40" s="168"/>
      <c r="EF40" s="168"/>
      <c r="EG40" s="168"/>
      <c r="EH40" s="168"/>
      <c r="EI40" s="168"/>
      <c r="EJ40" s="168"/>
      <c r="EK40" s="168"/>
      <c r="EL40" s="168"/>
      <c r="EM40" s="168"/>
      <c r="EN40" s="168"/>
      <c r="EO40" s="168"/>
      <c r="EP40" s="168"/>
      <c r="EQ40" s="168"/>
      <c r="ER40" s="168"/>
      <c r="ES40" s="168"/>
      <c r="ET40" s="168"/>
      <c r="EU40" s="168"/>
      <c r="EV40" s="168"/>
      <c r="EW40" s="168"/>
      <c r="EX40" s="168"/>
      <c r="EY40" s="168"/>
      <c r="EZ40" s="168"/>
      <c r="FA40" s="168"/>
      <c r="FB40" s="168"/>
      <c r="FC40" s="168"/>
      <c r="FD40" s="168"/>
      <c r="FE40" s="168"/>
      <c r="FF40" s="168"/>
      <c r="FG40" s="168"/>
      <c r="FH40" s="168"/>
      <c r="FI40" s="168"/>
      <c r="FJ40" s="168"/>
      <c r="FK40" s="168"/>
      <c r="FL40" s="168"/>
      <c r="FM40" s="168"/>
      <c r="FN40" s="168"/>
      <c r="FO40" s="168"/>
      <c r="FP40" s="168"/>
      <c r="FQ40" s="168"/>
      <c r="FR40" s="168"/>
      <c r="FS40" s="168"/>
      <c r="FT40" s="168"/>
      <c r="FU40" s="168"/>
      <c r="FV40" s="168"/>
      <c r="FW40" s="168"/>
      <c r="FX40" s="168"/>
      <c r="FY40" s="168"/>
      <c r="FZ40" s="168"/>
      <c r="GA40" s="168"/>
      <c r="GB40" s="168"/>
      <c r="GC40" s="168"/>
      <c r="GD40" s="168"/>
      <c r="GE40" s="168"/>
      <c r="GF40" s="168"/>
      <c r="GG40" s="168"/>
      <c r="GH40" s="168"/>
      <c r="GI40" s="168"/>
      <c r="GJ40" s="168"/>
      <c r="GK40" s="168"/>
      <c r="GL40" s="168"/>
      <c r="GM40" s="168"/>
      <c r="GN40" s="168"/>
      <c r="GO40" s="168"/>
      <c r="GP40" s="168"/>
      <c r="GQ40" s="168"/>
      <c r="GR40" s="168"/>
      <c r="GS40" s="168"/>
      <c r="GT40" s="168"/>
      <c r="GU40" s="168"/>
      <c r="GV40" s="168"/>
      <c r="GW40" s="168"/>
      <c r="GX40" s="168"/>
      <c r="GY40" s="168"/>
      <c r="GZ40" s="168"/>
      <c r="HA40" s="168"/>
      <c r="HB40" s="168"/>
      <c r="HC40" s="168"/>
      <c r="HD40" s="168"/>
      <c r="HE40" s="168"/>
      <c r="HF40" s="168"/>
      <c r="HG40" s="168"/>
      <c r="HH40" s="168"/>
      <c r="HI40" s="168"/>
      <c r="HJ40" s="168"/>
      <c r="HK40" s="168"/>
      <c r="HL40" s="168"/>
      <c r="HM40" s="168"/>
      <c r="HN40" s="168"/>
      <c r="HO40" s="168"/>
      <c r="HP40" s="168"/>
      <c r="HQ40" s="168"/>
      <c r="HR40" s="168"/>
      <c r="HS40" s="168"/>
      <c r="HT40" s="168"/>
      <c r="HU40" s="168"/>
      <c r="HV40" s="168"/>
      <c r="HW40" s="168"/>
      <c r="HX40" s="168"/>
      <c r="HY40" s="168"/>
      <c r="HZ40" s="168"/>
      <c r="IA40" s="168"/>
      <c r="IB40" s="168"/>
      <c r="IC40" s="168"/>
      <c r="ID40" s="168"/>
      <c r="IE40" s="168"/>
      <c r="IF40" s="168"/>
      <c r="IG40" s="168"/>
      <c r="IH40" s="168"/>
      <c r="II40" s="168"/>
      <c r="IJ40" s="168"/>
      <c r="IK40" s="168"/>
      <c r="IL40" s="168"/>
      <c r="IM40" s="168"/>
      <c r="IN40" s="168"/>
      <c r="IO40" s="168"/>
      <c r="IP40" s="168"/>
      <c r="IQ40" s="168"/>
      <c r="IR40" s="168"/>
      <c r="IS40" s="168"/>
      <c r="IT40" s="168"/>
      <c r="IU40" s="168"/>
      <c r="IV40" s="168"/>
    </row>
    <row r="41" spans="1:256" ht="16.5">
      <c r="A41" s="40">
        <v>2502</v>
      </c>
      <c r="B41" s="169" t="s">
        <v>260</v>
      </c>
      <c r="C41" s="243"/>
      <c r="D41" s="243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43"/>
      <c r="S41" s="270"/>
      <c r="T41" s="270"/>
      <c r="U41" s="172"/>
      <c r="V41" s="172"/>
      <c r="W41" s="779"/>
      <c r="X41" s="781"/>
      <c r="Y41" s="780">
        <f t="shared" si="4"/>
        <v>0</v>
      </c>
      <c r="Z41" s="780">
        <f t="shared" si="4"/>
        <v>0</v>
      </c>
      <c r="AA41" s="257"/>
      <c r="AB41" s="257"/>
      <c r="AC41" s="257"/>
      <c r="AD41" s="257"/>
      <c r="AE41" s="257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68"/>
      <c r="CV41" s="168"/>
      <c r="CW41" s="168"/>
      <c r="CX41" s="168"/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  <c r="EP41" s="168"/>
      <c r="EQ41" s="168"/>
      <c r="ER41" s="168"/>
      <c r="ES41" s="168"/>
      <c r="ET41" s="168"/>
      <c r="EU41" s="168"/>
      <c r="EV41" s="168"/>
      <c r="EW41" s="168"/>
      <c r="EX41" s="168"/>
      <c r="EY41" s="168"/>
      <c r="EZ41" s="168"/>
      <c r="FA41" s="168"/>
      <c r="FB41" s="168"/>
      <c r="FC41" s="168"/>
      <c r="FD41" s="168"/>
      <c r="FE41" s="168"/>
      <c r="FF41" s="168"/>
      <c r="FG41" s="168"/>
      <c r="FH41" s="168"/>
      <c r="FI41" s="168"/>
      <c r="FJ41" s="168"/>
      <c r="FK41" s="168"/>
      <c r="FL41" s="168"/>
      <c r="FM41" s="168"/>
      <c r="FN41" s="168"/>
      <c r="FO41" s="168"/>
      <c r="FP41" s="168"/>
      <c r="FQ41" s="168"/>
      <c r="FR41" s="168"/>
      <c r="FS41" s="168"/>
      <c r="FT41" s="168"/>
      <c r="FU41" s="168"/>
      <c r="FV41" s="168"/>
      <c r="FW41" s="168"/>
      <c r="FX41" s="168"/>
      <c r="FY41" s="168"/>
      <c r="FZ41" s="168"/>
      <c r="GA41" s="168"/>
      <c r="GB41" s="168"/>
      <c r="GC41" s="168"/>
      <c r="GD41" s="168"/>
      <c r="GE41" s="168"/>
      <c r="GF41" s="168"/>
      <c r="GG41" s="168"/>
      <c r="GH41" s="168"/>
      <c r="GI41" s="168"/>
      <c r="GJ41" s="168"/>
      <c r="GK41" s="168"/>
      <c r="GL41" s="168"/>
      <c r="GM41" s="168"/>
      <c r="GN41" s="168"/>
      <c r="GO41" s="168"/>
      <c r="GP41" s="168"/>
      <c r="GQ41" s="168"/>
      <c r="GR41" s="168"/>
      <c r="GS41" s="168"/>
      <c r="GT41" s="168"/>
      <c r="GU41" s="168"/>
      <c r="GV41" s="168"/>
      <c r="GW41" s="168"/>
      <c r="GX41" s="168"/>
      <c r="GY41" s="168"/>
      <c r="GZ41" s="168"/>
      <c r="HA41" s="168"/>
      <c r="HB41" s="168"/>
      <c r="HC41" s="168"/>
      <c r="HD41" s="168"/>
      <c r="HE41" s="168"/>
      <c r="HF41" s="168"/>
      <c r="HG41" s="168"/>
      <c r="HH41" s="168"/>
      <c r="HI41" s="168"/>
      <c r="HJ41" s="168"/>
      <c r="HK41" s="168"/>
      <c r="HL41" s="168"/>
      <c r="HM41" s="168"/>
      <c r="HN41" s="168"/>
      <c r="HO41" s="168"/>
      <c r="HP41" s="168"/>
      <c r="HQ41" s="168"/>
      <c r="HR41" s="168"/>
      <c r="HS41" s="168"/>
      <c r="HT41" s="168"/>
      <c r="HU41" s="168"/>
      <c r="HV41" s="168"/>
      <c r="HW41" s="168"/>
      <c r="HX41" s="168"/>
      <c r="HY41" s="168"/>
      <c r="HZ41" s="168"/>
      <c r="IA41" s="168"/>
      <c r="IB41" s="168"/>
      <c r="IC41" s="168"/>
      <c r="ID41" s="168"/>
      <c r="IE41" s="168"/>
      <c r="IF41" s="168"/>
      <c r="IG41" s="168"/>
      <c r="IH41" s="168"/>
      <c r="II41" s="168"/>
      <c r="IJ41" s="168"/>
      <c r="IK41" s="168"/>
      <c r="IL41" s="168"/>
      <c r="IM41" s="168"/>
      <c r="IN41" s="168"/>
      <c r="IO41" s="168"/>
      <c r="IP41" s="168"/>
      <c r="IQ41" s="168"/>
      <c r="IR41" s="168"/>
      <c r="IS41" s="168"/>
      <c r="IT41" s="168"/>
      <c r="IU41" s="168"/>
      <c r="IV41" s="168"/>
    </row>
    <row r="42" spans="1:256" ht="16.5">
      <c r="A42" s="40" t="s">
        <v>372</v>
      </c>
      <c r="B42" s="433" t="s">
        <v>118</v>
      </c>
      <c r="C42" s="264">
        <f>Anx16AMN!C59+Anx16AMN!C89</f>
        <v>4471708.99</v>
      </c>
      <c r="D42" s="264">
        <f>ROUND(Anx16AME!C59+Anx16AME!C89,2)</f>
        <v>390659.23</v>
      </c>
      <c r="E42" s="264">
        <f>Anx16AMN!D59+Anx16AMN!D89</f>
        <v>0</v>
      </c>
      <c r="F42" s="265">
        <f>Anx16AME!D59+Anx16AME!D89</f>
        <v>0</v>
      </c>
      <c r="G42" s="264">
        <f>Anx16AMN!E59+Anx16AMN!E89</f>
        <v>750835.34</v>
      </c>
      <c r="H42" s="265">
        <f>Anx16AME!E59+Anx16AME!E89</f>
        <v>11870.9</v>
      </c>
      <c r="I42" s="264">
        <f>Anx16AMN!F59+Anx16AMN!F89</f>
        <v>0</v>
      </c>
      <c r="J42" s="265">
        <f>Anx16AME!F59+Anx16AME!F89</f>
        <v>0</v>
      </c>
      <c r="K42" s="264">
        <f>Anx16AMN!G59+Anx16AMN!G89</f>
        <v>0</v>
      </c>
      <c r="L42" s="265">
        <f>Anx16AME!G59+Anx16AME!G89</f>
        <v>0</v>
      </c>
      <c r="M42" s="264">
        <f>Anx16AMN!H59+Anx16AMN!H89</f>
        <v>701700.8</v>
      </c>
      <c r="N42" s="265">
        <f>Anx16AME!H59+Anx16AME!H89</f>
        <v>0</v>
      </c>
      <c r="O42" s="264">
        <f>Anx16AMN!I59+Anx16AMN!I89</f>
        <v>0</v>
      </c>
      <c r="P42" s="265">
        <f>Anx16AME!I59+Anx16AME!I89</f>
        <v>0</v>
      </c>
      <c r="Q42" s="264">
        <f>Anx16AMN!J59+Anx16AMN!J89</f>
        <v>0</v>
      </c>
      <c r="R42" s="265">
        <f>Anx16AME!J59+Anx16AME!J89</f>
        <v>0</v>
      </c>
      <c r="S42" s="264">
        <f>SUM(Anx16AMN!K59:M59)+SUM(Anx16AMN!K89:M89)</f>
        <v>229119.87</v>
      </c>
      <c r="T42" s="265">
        <f>SUM(Anx16AME!K59:M59)+SUM(Anx16AME!K89:M89)</f>
        <v>5235.34</v>
      </c>
      <c r="U42" s="172">
        <f t="shared" si="3"/>
        <v>6153365</v>
      </c>
      <c r="V42" s="172">
        <f t="shared" si="3"/>
        <v>407765.47000000003</v>
      </c>
      <c r="W42" s="779">
        <f>+Anx16AMN!N89</f>
        <v>6153365</v>
      </c>
      <c r="X42" s="781">
        <f>+Anx16AME!N89</f>
        <v>407765.47000000003</v>
      </c>
      <c r="Y42" s="780">
        <f t="shared" si="4"/>
        <v>0</v>
      </c>
      <c r="Z42" s="780">
        <f t="shared" si="4"/>
        <v>0</v>
      </c>
      <c r="AA42" s="257"/>
      <c r="AB42" s="257"/>
      <c r="AC42" s="257"/>
      <c r="AD42" s="257"/>
      <c r="AE42" s="257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68"/>
      <c r="DL42" s="168"/>
      <c r="DM42" s="168"/>
      <c r="DN42" s="168"/>
      <c r="DO42" s="168"/>
      <c r="DP42" s="168"/>
      <c r="DQ42" s="168"/>
      <c r="DR42" s="168"/>
      <c r="DS42" s="168"/>
      <c r="DT42" s="168"/>
      <c r="DU42" s="168"/>
      <c r="DV42" s="168"/>
      <c r="DW42" s="168"/>
      <c r="DX42" s="168"/>
      <c r="DY42" s="168"/>
      <c r="DZ42" s="168"/>
      <c r="EA42" s="168"/>
      <c r="EB42" s="168"/>
      <c r="EC42" s="168"/>
      <c r="ED42" s="168"/>
      <c r="EE42" s="168"/>
      <c r="EF42" s="168"/>
      <c r="EG42" s="168"/>
      <c r="EH42" s="168"/>
      <c r="EI42" s="168"/>
      <c r="EJ42" s="168"/>
      <c r="EK42" s="168"/>
      <c r="EL42" s="168"/>
      <c r="EM42" s="168"/>
      <c r="EN42" s="168"/>
      <c r="EO42" s="168"/>
      <c r="EP42" s="168"/>
      <c r="EQ42" s="168"/>
      <c r="ER42" s="168"/>
      <c r="ES42" s="168"/>
      <c r="ET42" s="168"/>
      <c r="EU42" s="168"/>
      <c r="EV42" s="168"/>
      <c r="EW42" s="168"/>
      <c r="EX42" s="168"/>
      <c r="EY42" s="168"/>
      <c r="EZ42" s="168"/>
      <c r="FA42" s="168"/>
      <c r="FB42" s="168"/>
      <c r="FC42" s="168"/>
      <c r="FD42" s="168"/>
      <c r="FE42" s="168"/>
      <c r="FF42" s="168"/>
      <c r="FG42" s="168"/>
      <c r="FH42" s="168"/>
      <c r="FI42" s="168"/>
      <c r="FJ42" s="168"/>
      <c r="FK42" s="168"/>
      <c r="FL42" s="168"/>
      <c r="FM42" s="168"/>
      <c r="FN42" s="168"/>
      <c r="FO42" s="168"/>
      <c r="FP42" s="168"/>
      <c r="FQ42" s="168"/>
      <c r="FR42" s="168"/>
      <c r="FS42" s="168"/>
      <c r="FT42" s="168"/>
      <c r="FU42" s="168"/>
      <c r="FV42" s="168"/>
      <c r="FW42" s="168"/>
      <c r="FX42" s="168"/>
      <c r="FY42" s="168"/>
      <c r="FZ42" s="168"/>
      <c r="GA42" s="168"/>
      <c r="GB42" s="168"/>
      <c r="GC42" s="168"/>
      <c r="GD42" s="168"/>
      <c r="GE42" s="168"/>
      <c r="GF42" s="168"/>
      <c r="GG42" s="168"/>
      <c r="GH42" s="168"/>
      <c r="GI42" s="168"/>
      <c r="GJ42" s="168"/>
      <c r="GK42" s="168"/>
      <c r="GL42" s="168"/>
      <c r="GM42" s="168"/>
      <c r="GN42" s="168"/>
      <c r="GO42" s="168"/>
      <c r="GP42" s="168"/>
      <c r="GQ42" s="168"/>
      <c r="GR42" s="168"/>
      <c r="GS42" s="168"/>
      <c r="GT42" s="168"/>
      <c r="GU42" s="168"/>
      <c r="GV42" s="168"/>
      <c r="GW42" s="168"/>
      <c r="GX42" s="168"/>
      <c r="GY42" s="168"/>
      <c r="GZ42" s="168"/>
      <c r="HA42" s="168"/>
      <c r="HB42" s="168"/>
      <c r="HC42" s="168"/>
      <c r="HD42" s="168"/>
      <c r="HE42" s="168"/>
      <c r="HF42" s="168"/>
      <c r="HG42" s="168"/>
      <c r="HH42" s="168"/>
      <c r="HI42" s="168"/>
      <c r="HJ42" s="168"/>
      <c r="HK42" s="168"/>
      <c r="HL42" s="168"/>
      <c r="HM42" s="168"/>
      <c r="HN42" s="168"/>
      <c r="HO42" s="168"/>
      <c r="HP42" s="168"/>
      <c r="HQ42" s="168"/>
      <c r="HR42" s="168"/>
      <c r="HS42" s="168"/>
      <c r="HT42" s="168"/>
      <c r="HU42" s="168"/>
      <c r="HV42" s="168"/>
      <c r="HW42" s="168"/>
      <c r="HX42" s="168"/>
      <c r="HY42" s="168"/>
      <c r="HZ42" s="168"/>
      <c r="IA42" s="168"/>
      <c r="IB42" s="168"/>
      <c r="IC42" s="168"/>
      <c r="ID42" s="168"/>
      <c r="IE42" s="168"/>
      <c r="IF42" s="168"/>
      <c r="IG42" s="168"/>
      <c r="IH42" s="168"/>
      <c r="II42" s="168"/>
      <c r="IJ42" s="168"/>
      <c r="IK42" s="168"/>
      <c r="IL42" s="168"/>
      <c r="IM42" s="168"/>
      <c r="IN42" s="168"/>
      <c r="IO42" s="168"/>
      <c r="IP42" s="168"/>
      <c r="IQ42" s="168"/>
      <c r="IR42" s="168"/>
      <c r="IS42" s="168"/>
      <c r="IT42" s="168"/>
      <c r="IU42" s="168"/>
      <c r="IV42" s="168"/>
    </row>
    <row r="43" spans="1:256" ht="16.5">
      <c r="A43" s="434"/>
      <c r="B43" s="169" t="s">
        <v>53</v>
      </c>
      <c r="C43" s="243"/>
      <c r="D43" s="243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43"/>
      <c r="S43" s="270"/>
      <c r="T43" s="270"/>
      <c r="U43" s="172"/>
      <c r="V43" s="172"/>
      <c r="W43" s="779"/>
      <c r="X43" s="781"/>
      <c r="Y43" s="780">
        <f t="shared" si="4"/>
        <v>0</v>
      </c>
      <c r="Z43" s="780">
        <f t="shared" si="4"/>
        <v>0</v>
      </c>
      <c r="AA43" s="257"/>
      <c r="AB43" s="257"/>
      <c r="AC43" s="257"/>
      <c r="AD43" s="257"/>
      <c r="AE43" s="257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68"/>
      <c r="DL43" s="168"/>
      <c r="DM43" s="168"/>
      <c r="DN43" s="168"/>
      <c r="DO43" s="168"/>
      <c r="DP43" s="168"/>
      <c r="DQ43" s="168"/>
      <c r="DR43" s="168"/>
      <c r="DS43" s="168"/>
      <c r="DT43" s="168"/>
      <c r="DU43" s="168"/>
      <c r="DV43" s="168"/>
      <c r="DW43" s="168"/>
      <c r="DX43" s="168"/>
      <c r="DY43" s="168"/>
      <c r="DZ43" s="168"/>
      <c r="EA43" s="168"/>
      <c r="EB43" s="168"/>
      <c r="EC43" s="168"/>
      <c r="ED43" s="168"/>
      <c r="EE43" s="168"/>
      <c r="EF43" s="168"/>
      <c r="EG43" s="168"/>
      <c r="EH43" s="168"/>
      <c r="EI43" s="168"/>
      <c r="EJ43" s="168"/>
      <c r="EK43" s="168"/>
      <c r="EL43" s="168"/>
      <c r="EM43" s="168"/>
      <c r="EN43" s="168"/>
      <c r="EO43" s="168"/>
      <c r="EP43" s="168"/>
      <c r="EQ43" s="168"/>
      <c r="ER43" s="168"/>
      <c r="ES43" s="168"/>
      <c r="ET43" s="168"/>
      <c r="EU43" s="168"/>
      <c r="EV43" s="168"/>
      <c r="EW43" s="168"/>
      <c r="EX43" s="168"/>
      <c r="EY43" s="168"/>
      <c r="EZ43" s="168"/>
      <c r="FA43" s="168"/>
      <c r="FB43" s="168"/>
      <c r="FC43" s="168"/>
      <c r="FD43" s="168"/>
      <c r="FE43" s="168"/>
      <c r="FF43" s="168"/>
      <c r="FG43" s="168"/>
      <c r="FH43" s="168"/>
      <c r="FI43" s="168"/>
      <c r="FJ43" s="168"/>
      <c r="FK43" s="168"/>
      <c r="FL43" s="168"/>
      <c r="FM43" s="168"/>
      <c r="FN43" s="168"/>
      <c r="FO43" s="168"/>
      <c r="FP43" s="168"/>
      <c r="FQ43" s="168"/>
      <c r="FR43" s="168"/>
      <c r="FS43" s="168"/>
      <c r="FT43" s="168"/>
      <c r="FU43" s="168"/>
      <c r="FV43" s="168"/>
      <c r="FW43" s="168"/>
      <c r="FX43" s="168"/>
      <c r="FY43" s="168"/>
      <c r="FZ43" s="168"/>
      <c r="GA43" s="168"/>
      <c r="GB43" s="168"/>
      <c r="GC43" s="168"/>
      <c r="GD43" s="168"/>
      <c r="GE43" s="168"/>
      <c r="GF43" s="168"/>
      <c r="GG43" s="168"/>
      <c r="GH43" s="168"/>
      <c r="GI43" s="168"/>
      <c r="GJ43" s="168"/>
      <c r="GK43" s="168"/>
      <c r="GL43" s="168"/>
      <c r="GM43" s="168"/>
      <c r="GN43" s="168"/>
      <c r="GO43" s="168"/>
      <c r="GP43" s="168"/>
      <c r="GQ43" s="168"/>
      <c r="GR43" s="168"/>
      <c r="GS43" s="168"/>
      <c r="GT43" s="168"/>
      <c r="GU43" s="168"/>
      <c r="GV43" s="168"/>
      <c r="GW43" s="168"/>
      <c r="GX43" s="168"/>
      <c r="GY43" s="168"/>
      <c r="GZ43" s="168"/>
      <c r="HA43" s="168"/>
      <c r="HB43" s="168"/>
      <c r="HC43" s="168"/>
      <c r="HD43" s="168"/>
      <c r="HE43" s="168"/>
      <c r="HF43" s="168"/>
      <c r="HG43" s="168"/>
      <c r="HH43" s="168"/>
      <c r="HI43" s="168"/>
      <c r="HJ43" s="168"/>
      <c r="HK43" s="168"/>
      <c r="HL43" s="168"/>
      <c r="HM43" s="168"/>
      <c r="HN43" s="168"/>
      <c r="HO43" s="168"/>
      <c r="HP43" s="168"/>
      <c r="HQ43" s="168"/>
      <c r="HR43" s="168"/>
      <c r="HS43" s="168"/>
      <c r="HT43" s="168"/>
      <c r="HU43" s="168"/>
      <c r="HV43" s="168"/>
      <c r="HW43" s="168"/>
      <c r="HX43" s="168"/>
      <c r="HY43" s="168"/>
      <c r="HZ43" s="168"/>
      <c r="IA43" s="168"/>
      <c r="IB43" s="168"/>
      <c r="IC43" s="168"/>
      <c r="ID43" s="168"/>
      <c r="IE43" s="168"/>
      <c r="IF43" s="168"/>
      <c r="IG43" s="168"/>
      <c r="IH43" s="168"/>
      <c r="II43" s="168"/>
      <c r="IJ43" s="168"/>
      <c r="IK43" s="168"/>
      <c r="IL43" s="168"/>
      <c r="IM43" s="168"/>
      <c r="IN43" s="168"/>
      <c r="IO43" s="168"/>
      <c r="IP43" s="168"/>
      <c r="IQ43" s="168"/>
      <c r="IR43" s="168"/>
      <c r="IS43" s="168"/>
      <c r="IT43" s="168"/>
      <c r="IU43" s="168"/>
      <c r="IV43" s="168"/>
    </row>
    <row r="44" spans="1:256" ht="16.5">
      <c r="A44" s="434"/>
      <c r="B44" s="169" t="s">
        <v>258</v>
      </c>
      <c r="C44" s="261"/>
      <c r="D44" s="26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61"/>
      <c r="S44" s="271"/>
      <c r="T44" s="271"/>
      <c r="U44" s="271"/>
      <c r="V44" s="271"/>
      <c r="W44" s="779"/>
      <c r="X44" s="779"/>
      <c r="Y44" s="780">
        <f t="shared" si="4"/>
        <v>0</v>
      </c>
      <c r="Z44" s="780">
        <f t="shared" si="4"/>
        <v>0</v>
      </c>
      <c r="AA44" s="257"/>
      <c r="AB44" s="257"/>
      <c r="AC44" s="257"/>
      <c r="AD44" s="257"/>
      <c r="AE44" s="257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  <c r="EP44" s="168"/>
      <c r="EQ44" s="168"/>
      <c r="ER44" s="168"/>
      <c r="ES44" s="168"/>
      <c r="ET44" s="168"/>
      <c r="EU44" s="168"/>
      <c r="EV44" s="168"/>
      <c r="EW44" s="168"/>
      <c r="EX44" s="168"/>
      <c r="EY44" s="168"/>
      <c r="EZ44" s="168"/>
      <c r="FA44" s="168"/>
      <c r="FB44" s="168"/>
      <c r="FC44" s="168"/>
      <c r="FD44" s="168"/>
      <c r="FE44" s="168"/>
      <c r="FF44" s="168"/>
      <c r="FG44" s="168"/>
      <c r="FH44" s="168"/>
      <c r="FI44" s="168"/>
      <c r="FJ44" s="168"/>
      <c r="FK44" s="168"/>
      <c r="FL44" s="168"/>
      <c r="FM44" s="168"/>
      <c r="FN44" s="168"/>
      <c r="FO44" s="168"/>
      <c r="FP44" s="168"/>
      <c r="FQ44" s="168"/>
      <c r="FR44" s="168"/>
      <c r="FS44" s="168"/>
      <c r="FT44" s="168"/>
      <c r="FU44" s="168"/>
      <c r="FV44" s="168"/>
      <c r="FW44" s="168"/>
      <c r="FX44" s="168"/>
      <c r="FY44" s="168"/>
      <c r="FZ44" s="168"/>
      <c r="GA44" s="168"/>
      <c r="GB44" s="168"/>
      <c r="GC44" s="168"/>
      <c r="GD44" s="168"/>
      <c r="GE44" s="168"/>
      <c r="GF44" s="168"/>
      <c r="GG44" s="168"/>
      <c r="GH44" s="168"/>
      <c r="GI44" s="168"/>
      <c r="GJ44" s="168"/>
      <c r="GK44" s="168"/>
      <c r="GL44" s="168"/>
      <c r="GM44" s="168"/>
      <c r="GN44" s="168"/>
      <c r="GO44" s="168"/>
      <c r="GP44" s="168"/>
      <c r="GQ44" s="168"/>
      <c r="GR44" s="168"/>
      <c r="GS44" s="168"/>
      <c r="GT44" s="168"/>
      <c r="GU44" s="168"/>
      <c r="GV44" s="168"/>
      <c r="GW44" s="168"/>
      <c r="GX44" s="168"/>
      <c r="GY44" s="168"/>
      <c r="GZ44" s="168"/>
      <c r="HA44" s="168"/>
      <c r="HB44" s="168"/>
      <c r="HC44" s="168"/>
      <c r="HD44" s="168"/>
      <c r="HE44" s="168"/>
      <c r="HF44" s="168"/>
      <c r="HG44" s="168"/>
      <c r="HH44" s="168"/>
      <c r="HI44" s="168"/>
      <c r="HJ44" s="168"/>
      <c r="HK44" s="168"/>
      <c r="HL44" s="168"/>
      <c r="HM44" s="168"/>
      <c r="HN44" s="168"/>
      <c r="HO44" s="168"/>
      <c r="HP44" s="168"/>
      <c r="HQ44" s="168"/>
      <c r="HR44" s="168"/>
      <c r="HS44" s="168"/>
      <c r="HT44" s="168"/>
      <c r="HU44" s="168"/>
      <c r="HV44" s="168"/>
      <c r="HW44" s="168"/>
      <c r="HX44" s="168"/>
      <c r="HY44" s="168"/>
      <c r="HZ44" s="168"/>
      <c r="IA44" s="168"/>
      <c r="IB44" s="168"/>
      <c r="IC44" s="168"/>
      <c r="ID44" s="168"/>
      <c r="IE44" s="168"/>
      <c r="IF44" s="168"/>
      <c r="IG44" s="168"/>
      <c r="IH44" s="168"/>
      <c r="II44" s="168"/>
      <c r="IJ44" s="168"/>
      <c r="IK44" s="168"/>
      <c r="IL44" s="168"/>
      <c r="IM44" s="168"/>
      <c r="IN44" s="168"/>
      <c r="IO44" s="168"/>
      <c r="IP44" s="168"/>
      <c r="IQ44" s="168"/>
      <c r="IR44" s="168"/>
      <c r="IS44" s="168"/>
      <c r="IT44" s="168"/>
      <c r="IU44" s="168"/>
      <c r="IV44" s="168"/>
    </row>
    <row r="45" spans="1:256" ht="16.5">
      <c r="A45" s="434"/>
      <c r="B45" s="180" t="s">
        <v>1</v>
      </c>
      <c r="C45" s="261">
        <f>SUM(C26:C44)+0.01</f>
        <v>36687336.639404744</v>
      </c>
      <c r="D45" s="261">
        <f>SUM(D26:D44)+0.01</f>
        <v>977598.63221397775</v>
      </c>
      <c r="E45" s="261">
        <f>SUM(E26:E44)+0.01</f>
        <v>17771046.551917069</v>
      </c>
      <c r="F45" s="261">
        <f>SUM(F26:F44)+0.01</f>
        <v>272391.80833590939</v>
      </c>
      <c r="G45" s="261">
        <f>SUM(G26:G44)+0.02</f>
        <v>21264677.622960027</v>
      </c>
      <c r="H45" s="261">
        <f t="shared" ref="H45:N45" si="5">SUM(H26:H44)</f>
        <v>135600.00399999999</v>
      </c>
      <c r="I45" s="261">
        <f t="shared" si="5"/>
        <v>18396003.379000001</v>
      </c>
      <c r="J45" s="261">
        <f>SUM(J26:J44)+0.01</f>
        <v>85532.588999999993</v>
      </c>
      <c r="K45" s="261">
        <f t="shared" si="5"/>
        <v>16912675.995999999</v>
      </c>
      <c r="L45" s="261">
        <f t="shared" si="5"/>
        <v>95701.736000000004</v>
      </c>
      <c r="M45" s="261">
        <f>SUM(M26:M44)+0.01</f>
        <v>19834532.370000005</v>
      </c>
      <c r="N45" s="261">
        <f t="shared" si="5"/>
        <v>88782.053000000014</v>
      </c>
      <c r="O45" s="261">
        <f>SUM(O26:O44)+0.01</f>
        <v>36180067.925999999</v>
      </c>
      <c r="P45" s="261">
        <f>SUM(P26:P44)+0.01</f>
        <v>179737.82100000003</v>
      </c>
      <c r="Q45" s="261">
        <f>SUM(Q26:Q44)+0.02</f>
        <v>87507491.677000001</v>
      </c>
      <c r="R45" s="261">
        <f>SUM(R26:R44)+0.01</f>
        <v>1204684.4820000001</v>
      </c>
      <c r="S45" s="261">
        <f>SUM(S26:S44)+0.01</f>
        <v>136921145.57311484</v>
      </c>
      <c r="T45" s="261">
        <f>SUM(T26:T44)+0.02</f>
        <v>2612701.0685501127</v>
      </c>
      <c r="U45" s="242">
        <f>C45+E45+G45+I45+K45+M45+O45+Q45+S45-0.09</f>
        <v>391474977.64539665</v>
      </c>
      <c r="V45" s="242">
        <f>D45+F45+H45+J45+L45+N45+P45+R45+T45-0.07</f>
        <v>5652730.1240999997</v>
      </c>
      <c r="W45" s="779">
        <f>+Anx16AMN!N61+Anx16AMN!N92</f>
        <v>391474977.64539671</v>
      </c>
      <c r="X45" s="779">
        <f>+Anx16AME!N61+Anx16AME!N92</f>
        <v>5652730.1240999997</v>
      </c>
      <c r="Y45" s="780">
        <f t="shared" si="4"/>
        <v>0</v>
      </c>
      <c r="Z45" s="780">
        <f t="shared" si="4"/>
        <v>0</v>
      </c>
      <c r="AA45" s="257"/>
      <c r="AB45" s="257"/>
      <c r="AC45" s="257"/>
      <c r="AD45" s="257"/>
      <c r="AE45" s="257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8"/>
      <c r="DF45" s="168"/>
      <c r="DG45" s="168"/>
      <c r="DH45" s="168"/>
      <c r="DI45" s="168"/>
      <c r="DJ45" s="168"/>
      <c r="DK45" s="168"/>
      <c r="DL45" s="168"/>
      <c r="DM45" s="168"/>
      <c r="DN45" s="168"/>
      <c r="DO45" s="168"/>
      <c r="DP45" s="168"/>
      <c r="DQ45" s="168"/>
      <c r="DR45" s="168"/>
      <c r="DS45" s="168"/>
      <c r="DT45" s="168"/>
      <c r="DU45" s="168"/>
      <c r="DV45" s="168"/>
      <c r="DW45" s="168"/>
      <c r="DX45" s="168"/>
      <c r="DY45" s="168"/>
      <c r="DZ45" s="168"/>
      <c r="EA45" s="168"/>
      <c r="EB45" s="168"/>
      <c r="EC45" s="168"/>
      <c r="ED45" s="168"/>
      <c r="EE45" s="168"/>
      <c r="EF45" s="168"/>
      <c r="EG45" s="168"/>
      <c r="EH45" s="168"/>
      <c r="EI45" s="168"/>
      <c r="EJ45" s="168"/>
      <c r="EK45" s="168"/>
      <c r="EL45" s="168"/>
      <c r="EM45" s="168"/>
      <c r="EN45" s="168"/>
      <c r="EO45" s="168"/>
      <c r="EP45" s="168"/>
      <c r="EQ45" s="168"/>
      <c r="ER45" s="168"/>
      <c r="ES45" s="168"/>
      <c r="ET45" s="168"/>
      <c r="EU45" s="168"/>
      <c r="EV45" s="168"/>
      <c r="EW45" s="168"/>
      <c r="EX45" s="168"/>
      <c r="EY45" s="168"/>
      <c r="EZ45" s="168"/>
      <c r="FA45" s="168"/>
      <c r="FB45" s="168"/>
      <c r="FC45" s="168"/>
      <c r="FD45" s="168"/>
      <c r="FE45" s="168"/>
      <c r="FF45" s="168"/>
      <c r="FG45" s="168"/>
      <c r="FH45" s="168"/>
      <c r="FI45" s="168"/>
      <c r="FJ45" s="168"/>
      <c r="FK45" s="168"/>
      <c r="FL45" s="168"/>
      <c r="FM45" s="168"/>
      <c r="FN45" s="168"/>
      <c r="FO45" s="168"/>
      <c r="FP45" s="168"/>
      <c r="FQ45" s="168"/>
      <c r="FR45" s="168"/>
      <c r="FS45" s="168"/>
      <c r="FT45" s="168"/>
      <c r="FU45" s="168"/>
      <c r="FV45" s="168"/>
      <c r="FW45" s="168"/>
      <c r="FX45" s="168"/>
      <c r="FY45" s="168"/>
      <c r="FZ45" s="168"/>
      <c r="GA45" s="168"/>
      <c r="GB45" s="168"/>
      <c r="GC45" s="168"/>
      <c r="GD45" s="168"/>
      <c r="GE45" s="168"/>
      <c r="GF45" s="168"/>
      <c r="GG45" s="168"/>
      <c r="GH45" s="168"/>
      <c r="GI45" s="168"/>
      <c r="GJ45" s="168"/>
      <c r="GK45" s="168"/>
      <c r="GL45" s="168"/>
      <c r="GM45" s="168"/>
      <c r="GN45" s="168"/>
      <c r="GO45" s="168"/>
      <c r="GP45" s="168"/>
      <c r="GQ45" s="168"/>
      <c r="GR45" s="168"/>
      <c r="GS45" s="168"/>
      <c r="GT45" s="168"/>
      <c r="GU45" s="168"/>
      <c r="GV45" s="168"/>
      <c r="GW45" s="168"/>
      <c r="GX45" s="168"/>
      <c r="GY45" s="168"/>
      <c r="GZ45" s="168"/>
      <c r="HA45" s="168"/>
      <c r="HB45" s="168"/>
      <c r="HC45" s="168"/>
      <c r="HD45" s="168"/>
      <c r="HE45" s="168"/>
      <c r="HF45" s="168"/>
      <c r="HG45" s="168"/>
      <c r="HH45" s="168"/>
      <c r="HI45" s="168"/>
      <c r="HJ45" s="168"/>
      <c r="HK45" s="168"/>
      <c r="HL45" s="168"/>
      <c r="HM45" s="168"/>
      <c r="HN45" s="168"/>
      <c r="HO45" s="168"/>
      <c r="HP45" s="168"/>
      <c r="HQ45" s="168"/>
      <c r="HR45" s="168"/>
      <c r="HS45" s="168"/>
      <c r="HT45" s="168"/>
      <c r="HU45" s="168"/>
      <c r="HV45" s="168"/>
      <c r="HW45" s="168"/>
      <c r="HX45" s="168"/>
      <c r="HY45" s="168"/>
      <c r="HZ45" s="168"/>
      <c r="IA45" s="168"/>
      <c r="IB45" s="168"/>
      <c r="IC45" s="168"/>
      <c r="ID45" s="168"/>
      <c r="IE45" s="168"/>
      <c r="IF45" s="168"/>
      <c r="IG45" s="168"/>
      <c r="IH45" s="168"/>
      <c r="II45" s="168"/>
      <c r="IJ45" s="168"/>
      <c r="IK45" s="168"/>
      <c r="IL45" s="168"/>
      <c r="IM45" s="168"/>
      <c r="IN45" s="168"/>
      <c r="IO45" s="168"/>
      <c r="IP45" s="168"/>
      <c r="IQ45" s="168"/>
      <c r="IR45" s="168"/>
      <c r="IS45" s="168"/>
      <c r="IT45" s="168"/>
      <c r="IU45" s="168"/>
      <c r="IV45" s="168"/>
    </row>
    <row r="46" spans="1:256" ht="16.5">
      <c r="A46" s="426"/>
      <c r="B46" s="435" t="s">
        <v>257</v>
      </c>
      <c r="C46" s="261">
        <f t="shared" ref="C46:V46" si="6">+C24-C45</f>
        <v>24126044.359206952</v>
      </c>
      <c r="D46" s="261">
        <f t="shared" si="6"/>
        <v>1256840.9210485783</v>
      </c>
      <c r="E46" s="261">
        <f t="shared" si="6"/>
        <v>8738553.8133735768</v>
      </c>
      <c r="F46" s="275">
        <f t="shared" si="6"/>
        <v>247992.70259232912</v>
      </c>
      <c r="G46" s="261">
        <f t="shared" si="6"/>
        <v>-1272021.1213245019</v>
      </c>
      <c r="H46" s="275">
        <f t="shared" si="6"/>
        <v>567724.25957405008</v>
      </c>
      <c r="I46" s="261">
        <f>+I24-I45+0.01</f>
        <v>-4803181.0025017336</v>
      </c>
      <c r="J46" s="275">
        <f t="shared" si="6"/>
        <v>-25419.82330199569</v>
      </c>
      <c r="K46" s="261">
        <f t="shared" si="6"/>
        <v>-464970.14564552903</v>
      </c>
      <c r="L46" s="275">
        <f>+L24-L45-0.01</f>
        <v>400903.75744270731</v>
      </c>
      <c r="M46" s="275">
        <f t="shared" si="6"/>
        <v>-6053628.9947925936</v>
      </c>
      <c r="N46" s="261">
        <f>+N24-N45-0.01</f>
        <v>3373.1485584140701</v>
      </c>
      <c r="O46" s="261">
        <f t="shared" si="6"/>
        <v>612469.44988642633</v>
      </c>
      <c r="P46" s="261">
        <f t="shared" si="6"/>
        <v>-112871.92372174637</v>
      </c>
      <c r="Q46" s="261">
        <f>+Q24-Q45+0.01</f>
        <v>-58452583.754528902</v>
      </c>
      <c r="R46" s="261">
        <f>+R24-R45</f>
        <v>-1114315.3734337043</v>
      </c>
      <c r="S46" s="261">
        <f t="shared" si="6"/>
        <v>99541108.110929608</v>
      </c>
      <c r="T46" s="261">
        <f>+T24-T45</f>
        <v>-1558811.4728586324</v>
      </c>
      <c r="U46" s="262">
        <f>+U24-U45-0.01</f>
        <v>61971790.784603409</v>
      </c>
      <c r="V46" s="262">
        <f t="shared" si="6"/>
        <v>-334583.72410000023</v>
      </c>
      <c r="W46" s="266"/>
      <c r="X46" s="166"/>
      <c r="Y46" s="166"/>
      <c r="Z46" s="166"/>
      <c r="AA46" s="266"/>
      <c r="AB46" s="266"/>
      <c r="AC46" s="266"/>
      <c r="AD46" s="266"/>
      <c r="AE46" s="2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  <c r="CT46" s="166"/>
      <c r="CU46" s="166"/>
      <c r="CV46" s="166"/>
      <c r="CW46" s="166"/>
      <c r="CX46" s="166"/>
      <c r="CY46" s="166"/>
      <c r="CZ46" s="166"/>
      <c r="DA46" s="166"/>
      <c r="DB46" s="166"/>
      <c r="DC46" s="166"/>
      <c r="DD46" s="166"/>
      <c r="DE46" s="166"/>
      <c r="DF46" s="166"/>
      <c r="DG46" s="166"/>
      <c r="DH46" s="166"/>
      <c r="DI46" s="166"/>
      <c r="DJ46" s="166"/>
      <c r="DK46" s="166"/>
      <c r="DL46" s="166"/>
      <c r="DM46" s="166"/>
      <c r="DN46" s="166"/>
      <c r="DO46" s="166"/>
      <c r="DP46" s="166"/>
      <c r="DQ46" s="166"/>
      <c r="DR46" s="166"/>
      <c r="DS46" s="166"/>
      <c r="DT46" s="166"/>
      <c r="DU46" s="166"/>
      <c r="DV46" s="166"/>
      <c r="DW46" s="166"/>
      <c r="DX46" s="166"/>
      <c r="DY46" s="166"/>
      <c r="DZ46" s="166"/>
      <c r="EA46" s="166"/>
      <c r="EB46" s="166"/>
      <c r="EC46" s="166"/>
      <c r="ED46" s="166"/>
      <c r="EE46" s="166"/>
      <c r="EF46" s="166"/>
      <c r="EG46" s="166"/>
      <c r="EH46" s="166"/>
      <c r="EI46" s="166"/>
      <c r="EJ46" s="166"/>
      <c r="EK46" s="166"/>
      <c r="EL46" s="166"/>
      <c r="EM46" s="166"/>
      <c r="EN46" s="166"/>
      <c r="EO46" s="166"/>
      <c r="EP46" s="166"/>
      <c r="EQ46" s="166"/>
      <c r="ER46" s="166"/>
      <c r="ES46" s="166"/>
      <c r="ET46" s="166"/>
      <c r="EU46" s="166"/>
      <c r="EV46" s="166"/>
      <c r="EW46" s="166"/>
      <c r="EX46" s="166"/>
      <c r="EY46" s="166"/>
      <c r="EZ46" s="166"/>
      <c r="FA46" s="166"/>
      <c r="FB46" s="166"/>
      <c r="FC46" s="166"/>
      <c r="FD46" s="166"/>
      <c r="FE46" s="166"/>
      <c r="FF46" s="166"/>
      <c r="FG46" s="166"/>
      <c r="FH46" s="166"/>
      <c r="FI46" s="166"/>
      <c r="FJ46" s="166"/>
      <c r="FK46" s="166"/>
      <c r="FL46" s="166"/>
      <c r="FM46" s="166"/>
      <c r="FN46" s="166"/>
      <c r="FO46" s="166"/>
      <c r="FP46" s="166"/>
      <c r="FQ46" s="166"/>
      <c r="FR46" s="166"/>
      <c r="FS46" s="166"/>
      <c r="FT46" s="166"/>
      <c r="FU46" s="166"/>
      <c r="FV46" s="166"/>
      <c r="FW46" s="166"/>
      <c r="FX46" s="166"/>
      <c r="FY46" s="166"/>
      <c r="FZ46" s="166"/>
      <c r="GA46" s="166"/>
      <c r="GB46" s="166"/>
      <c r="GC46" s="166"/>
      <c r="GD46" s="166"/>
      <c r="GE46" s="166"/>
      <c r="GF46" s="166"/>
      <c r="GG46" s="166"/>
      <c r="GH46" s="166"/>
      <c r="GI46" s="166"/>
      <c r="GJ46" s="166"/>
      <c r="GK46" s="166"/>
      <c r="GL46" s="166"/>
      <c r="GM46" s="166"/>
      <c r="GN46" s="166"/>
      <c r="GO46" s="166"/>
      <c r="GP46" s="166"/>
      <c r="GQ46" s="166"/>
      <c r="GR46" s="166"/>
      <c r="GS46" s="166"/>
      <c r="GT46" s="166"/>
      <c r="GU46" s="166"/>
      <c r="GV46" s="166"/>
      <c r="GW46" s="166"/>
      <c r="GX46" s="166"/>
      <c r="GY46" s="166"/>
      <c r="GZ46" s="166"/>
      <c r="HA46" s="166"/>
      <c r="HB46" s="166"/>
      <c r="HC46" s="166"/>
      <c r="HD46" s="166"/>
      <c r="HE46" s="166"/>
      <c r="HF46" s="166"/>
      <c r="HG46" s="166"/>
      <c r="HH46" s="166"/>
      <c r="HI46" s="166"/>
      <c r="HJ46" s="166"/>
      <c r="HK46" s="166"/>
      <c r="HL46" s="166"/>
      <c r="HM46" s="166"/>
      <c r="HN46" s="166"/>
      <c r="HO46" s="166"/>
      <c r="HP46" s="166"/>
      <c r="HQ46" s="166"/>
      <c r="HR46" s="166"/>
      <c r="HS46" s="166"/>
      <c r="HT46" s="166"/>
      <c r="HU46" s="166"/>
      <c r="HV46" s="166"/>
      <c r="HW46" s="166"/>
      <c r="HX46" s="166"/>
      <c r="HY46" s="166"/>
      <c r="HZ46" s="166"/>
      <c r="IA46" s="166"/>
      <c r="IB46" s="166"/>
      <c r="IC46" s="166"/>
      <c r="ID46" s="166"/>
      <c r="IE46" s="166"/>
      <c r="IF46" s="166"/>
      <c r="IG46" s="166"/>
      <c r="IH46" s="166"/>
      <c r="II46" s="166"/>
      <c r="IJ46" s="166"/>
      <c r="IK46" s="166"/>
      <c r="IL46" s="166"/>
      <c r="IM46" s="166"/>
      <c r="IN46" s="166"/>
      <c r="IO46" s="166"/>
      <c r="IP46" s="166"/>
      <c r="IQ46" s="166"/>
      <c r="IR46" s="166"/>
      <c r="IS46" s="166"/>
      <c r="IT46" s="166"/>
      <c r="IU46" s="166"/>
      <c r="IV46" s="166"/>
    </row>
    <row r="47" spans="1:256" ht="16.5">
      <c r="A47" s="426"/>
      <c r="B47" s="435" t="s">
        <v>256</v>
      </c>
      <c r="C47" s="246">
        <f>+C46</f>
        <v>24126044.359206952</v>
      </c>
      <c r="D47" s="246">
        <f>+D46</f>
        <v>1256840.9210485783</v>
      </c>
      <c r="E47" s="246">
        <f t="shared" ref="E47:T47" si="7">+C47+E46</f>
        <v>32864598.172580529</v>
      </c>
      <c r="F47" s="246">
        <f t="shared" si="7"/>
        <v>1504833.6236409075</v>
      </c>
      <c r="G47" s="246">
        <f t="shared" si="7"/>
        <v>31592577.051256027</v>
      </c>
      <c r="H47" s="246">
        <f t="shared" si="7"/>
        <v>2072557.8832149575</v>
      </c>
      <c r="I47" s="246">
        <f t="shared" si="7"/>
        <v>26789396.048754293</v>
      </c>
      <c r="J47" s="246">
        <f t="shared" si="7"/>
        <v>2047138.0599129619</v>
      </c>
      <c r="K47" s="246">
        <f>+I47+K46-0.01</f>
        <v>26324425.893108763</v>
      </c>
      <c r="L47" s="246">
        <f>+J47+L46+0.01</f>
        <v>2448041.8273556689</v>
      </c>
      <c r="M47" s="246">
        <f>+K47+M46</f>
        <v>20270796.898316167</v>
      </c>
      <c r="N47" s="246">
        <f t="shared" si="7"/>
        <v>2451414.975914083</v>
      </c>
      <c r="O47" s="261">
        <f t="shared" si="7"/>
        <v>20883266.348202594</v>
      </c>
      <c r="P47" s="261">
        <f t="shared" si="7"/>
        <v>2338543.0521923364</v>
      </c>
      <c r="Q47" s="261">
        <f>+O47+Q46+0.01</f>
        <v>-37569317.396326311</v>
      </c>
      <c r="R47" s="261">
        <f t="shared" si="7"/>
        <v>1224227.6787586322</v>
      </c>
      <c r="S47" s="261">
        <f t="shared" si="7"/>
        <v>61971790.714603297</v>
      </c>
      <c r="T47" s="261">
        <f t="shared" si="7"/>
        <v>-334583.79410000029</v>
      </c>
      <c r="U47" s="242">
        <f>+S47+U46</f>
        <v>123943581.49920671</v>
      </c>
      <c r="V47" s="242">
        <f>+T47+V46</f>
        <v>-669167.51820000052</v>
      </c>
      <c r="W47" s="266"/>
      <c r="X47" s="266"/>
      <c r="Y47" s="266"/>
      <c r="Z47" s="266"/>
      <c r="AA47" s="266"/>
      <c r="AB47" s="266"/>
      <c r="AC47" s="266"/>
      <c r="AD47" s="266"/>
      <c r="AE47" s="2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  <c r="CT47" s="166"/>
      <c r="CU47" s="166"/>
      <c r="CV47" s="166"/>
      <c r="CW47" s="166"/>
      <c r="CX47" s="166"/>
      <c r="CY47" s="166"/>
      <c r="CZ47" s="166"/>
      <c r="DA47" s="166"/>
      <c r="DB47" s="166"/>
      <c r="DC47" s="166"/>
      <c r="DD47" s="166"/>
      <c r="DE47" s="166"/>
      <c r="DF47" s="166"/>
      <c r="DG47" s="166"/>
      <c r="DH47" s="166"/>
      <c r="DI47" s="166"/>
      <c r="DJ47" s="166"/>
      <c r="DK47" s="166"/>
      <c r="DL47" s="166"/>
      <c r="DM47" s="166"/>
      <c r="DN47" s="166"/>
      <c r="DO47" s="166"/>
      <c r="DP47" s="166"/>
      <c r="DQ47" s="166"/>
      <c r="DR47" s="166"/>
      <c r="DS47" s="166"/>
      <c r="DT47" s="166"/>
      <c r="DU47" s="166"/>
      <c r="DV47" s="166"/>
      <c r="DW47" s="166"/>
      <c r="DX47" s="166"/>
      <c r="DY47" s="166"/>
      <c r="DZ47" s="166"/>
      <c r="EA47" s="166"/>
      <c r="EB47" s="166"/>
      <c r="EC47" s="166"/>
      <c r="ED47" s="166"/>
      <c r="EE47" s="166"/>
      <c r="EF47" s="166"/>
      <c r="EG47" s="166"/>
      <c r="EH47" s="166"/>
      <c r="EI47" s="166"/>
      <c r="EJ47" s="166"/>
      <c r="EK47" s="166"/>
      <c r="EL47" s="166"/>
      <c r="EM47" s="166"/>
      <c r="EN47" s="166"/>
      <c r="EO47" s="166"/>
      <c r="EP47" s="166"/>
      <c r="EQ47" s="166"/>
      <c r="ER47" s="166"/>
      <c r="ES47" s="166"/>
      <c r="ET47" s="166"/>
      <c r="EU47" s="166"/>
      <c r="EV47" s="166"/>
      <c r="EW47" s="166"/>
      <c r="EX47" s="166"/>
      <c r="EY47" s="166"/>
      <c r="EZ47" s="166"/>
      <c r="FA47" s="166"/>
      <c r="FB47" s="166"/>
      <c r="FC47" s="166"/>
      <c r="FD47" s="166"/>
      <c r="FE47" s="166"/>
      <c r="FF47" s="166"/>
      <c r="FG47" s="166"/>
      <c r="FH47" s="166"/>
      <c r="FI47" s="166"/>
      <c r="FJ47" s="166"/>
      <c r="FK47" s="166"/>
      <c r="FL47" s="166"/>
      <c r="FM47" s="166"/>
      <c r="FN47" s="166"/>
      <c r="FO47" s="166"/>
      <c r="FP47" s="166"/>
      <c r="FQ47" s="166"/>
      <c r="FR47" s="166"/>
      <c r="FS47" s="166"/>
      <c r="FT47" s="166"/>
      <c r="FU47" s="166"/>
      <c r="FV47" s="166"/>
      <c r="FW47" s="166"/>
      <c r="FX47" s="166"/>
      <c r="FY47" s="166"/>
      <c r="FZ47" s="166"/>
      <c r="GA47" s="166"/>
      <c r="GB47" s="166"/>
      <c r="GC47" s="166"/>
      <c r="GD47" s="166"/>
      <c r="GE47" s="166"/>
      <c r="GF47" s="166"/>
      <c r="GG47" s="166"/>
      <c r="GH47" s="166"/>
      <c r="GI47" s="166"/>
      <c r="GJ47" s="166"/>
      <c r="GK47" s="166"/>
      <c r="GL47" s="166"/>
      <c r="GM47" s="166"/>
      <c r="GN47" s="166"/>
      <c r="GO47" s="166"/>
      <c r="GP47" s="166"/>
      <c r="GQ47" s="166"/>
      <c r="GR47" s="166"/>
      <c r="GS47" s="166"/>
      <c r="GT47" s="166"/>
      <c r="GU47" s="166"/>
      <c r="GV47" s="166"/>
      <c r="GW47" s="166"/>
      <c r="GX47" s="166"/>
      <c r="GY47" s="166"/>
      <c r="GZ47" s="166"/>
      <c r="HA47" s="166"/>
      <c r="HB47" s="166"/>
      <c r="HC47" s="166"/>
      <c r="HD47" s="166"/>
      <c r="HE47" s="166"/>
      <c r="HF47" s="166"/>
      <c r="HG47" s="166"/>
      <c r="HH47" s="166"/>
      <c r="HI47" s="166"/>
      <c r="HJ47" s="166"/>
      <c r="HK47" s="166"/>
      <c r="HL47" s="166"/>
      <c r="HM47" s="166"/>
      <c r="HN47" s="166"/>
      <c r="HO47" s="166"/>
      <c r="HP47" s="166"/>
      <c r="HQ47" s="166"/>
      <c r="HR47" s="166"/>
      <c r="HS47" s="166"/>
      <c r="HT47" s="166"/>
      <c r="HU47" s="166"/>
      <c r="HV47" s="166"/>
      <c r="HW47" s="166"/>
      <c r="HX47" s="166"/>
      <c r="HY47" s="166"/>
      <c r="HZ47" s="166"/>
      <c r="IA47" s="166"/>
      <c r="IB47" s="166"/>
      <c r="IC47" s="166"/>
      <c r="ID47" s="166"/>
      <c r="IE47" s="166"/>
      <c r="IF47" s="166"/>
      <c r="IG47" s="166"/>
      <c r="IH47" s="166"/>
      <c r="II47" s="166"/>
      <c r="IJ47" s="166"/>
      <c r="IK47" s="166"/>
      <c r="IL47" s="166"/>
      <c r="IM47" s="166"/>
      <c r="IN47" s="166"/>
      <c r="IO47" s="166"/>
      <c r="IP47" s="166"/>
      <c r="IQ47" s="166"/>
      <c r="IR47" s="166"/>
      <c r="IS47" s="166"/>
      <c r="IT47" s="166"/>
      <c r="IU47" s="166"/>
      <c r="IV47" s="166"/>
    </row>
    <row r="48" spans="1:256" ht="16.5">
      <c r="A48" s="426"/>
      <c r="B48" s="435" t="s">
        <v>255</v>
      </c>
      <c r="C48" s="246">
        <f>ROUND(C47/$X$2,2)</f>
        <v>0.26</v>
      </c>
      <c r="D48" s="246">
        <f>ROUND(D47/$X$4,2)</f>
        <v>0.05</v>
      </c>
      <c r="E48" s="246">
        <f>ROUND(E47/$X$2,2)</f>
        <v>0.36</v>
      </c>
      <c r="F48" s="246">
        <f>ROUND(F47/$X$4,2)</f>
        <v>0.06</v>
      </c>
      <c r="G48" s="246">
        <f>ROUND(G47/$X$2,2)</f>
        <v>0.34</v>
      </c>
      <c r="H48" s="246">
        <f>ROUND(H47/$X$4,2)</f>
        <v>0.08</v>
      </c>
      <c r="I48" s="246">
        <f>ROUND(I47/$X$2,2)</f>
        <v>0.28999999999999998</v>
      </c>
      <c r="J48" s="246">
        <f>ROUND(J47/$X$4,2)</f>
        <v>0.08</v>
      </c>
      <c r="K48" s="246">
        <f>ROUND(K47/$X$2,2)</f>
        <v>0.28000000000000003</v>
      </c>
      <c r="L48" s="246">
        <f>ROUND(L47/$X$4,2)</f>
        <v>0.1</v>
      </c>
      <c r="M48" s="246">
        <f>ROUND(M47/$X$2,2)</f>
        <v>0.22</v>
      </c>
      <c r="N48" s="246">
        <f>ROUND(N47/$X$4,2)</f>
        <v>0.1</v>
      </c>
      <c r="O48" s="261">
        <f>ROUND(O47/$X$2,2)</f>
        <v>0.23</v>
      </c>
      <c r="P48" s="261">
        <f>ROUND(P47/$X$4,2)</f>
        <v>0.1</v>
      </c>
      <c r="Q48" s="261">
        <f>ROUND(Q47/$X$2,2)</f>
        <v>-0.41</v>
      </c>
      <c r="R48" s="261">
        <f>ROUND(R47/$X$4,2)</f>
        <v>0.05</v>
      </c>
      <c r="S48" s="261">
        <f>ROUND(S47/$X$2,2)</f>
        <v>0.67</v>
      </c>
      <c r="T48" s="261">
        <f>ROUND(T47/$X$4,2)</f>
        <v>-0.01</v>
      </c>
      <c r="U48" s="242">
        <f>ROUND(U47/$X$2,2)</f>
        <v>1.34</v>
      </c>
      <c r="V48" s="242">
        <f>ROUND(V47/$X$4,2)</f>
        <v>-0.03</v>
      </c>
      <c r="W48" s="166"/>
      <c r="X48" s="436"/>
      <c r="Y48" s="436"/>
      <c r="Z48" s="436"/>
      <c r="AA48" s="43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  <c r="CT48" s="166"/>
      <c r="CU48" s="166"/>
      <c r="CV48" s="166"/>
      <c r="CW48" s="166"/>
      <c r="CX48" s="166"/>
      <c r="CY48" s="166"/>
      <c r="CZ48" s="166"/>
      <c r="DA48" s="166"/>
      <c r="DB48" s="166"/>
      <c r="DC48" s="166"/>
      <c r="DD48" s="166"/>
      <c r="DE48" s="166"/>
      <c r="DF48" s="166"/>
      <c r="DG48" s="166"/>
      <c r="DH48" s="166"/>
      <c r="DI48" s="166"/>
      <c r="DJ48" s="166"/>
      <c r="DK48" s="166"/>
      <c r="DL48" s="166"/>
      <c r="DM48" s="166"/>
      <c r="DN48" s="166"/>
      <c r="DO48" s="166"/>
      <c r="DP48" s="166"/>
      <c r="DQ48" s="166"/>
      <c r="DR48" s="166"/>
      <c r="DS48" s="166"/>
      <c r="DT48" s="166"/>
      <c r="DU48" s="166"/>
      <c r="DV48" s="166"/>
      <c r="DW48" s="166"/>
      <c r="DX48" s="166"/>
      <c r="DY48" s="166"/>
      <c r="DZ48" s="166"/>
      <c r="EA48" s="166"/>
      <c r="EB48" s="166"/>
      <c r="EC48" s="166"/>
      <c r="ED48" s="166"/>
      <c r="EE48" s="166"/>
      <c r="EF48" s="166"/>
      <c r="EG48" s="166"/>
      <c r="EH48" s="166"/>
      <c r="EI48" s="166"/>
      <c r="EJ48" s="166"/>
      <c r="EK48" s="166"/>
      <c r="EL48" s="166"/>
      <c r="EM48" s="166"/>
      <c r="EN48" s="166"/>
      <c r="EO48" s="166"/>
      <c r="EP48" s="166"/>
      <c r="EQ48" s="166"/>
      <c r="ER48" s="166"/>
      <c r="ES48" s="166"/>
      <c r="ET48" s="166"/>
      <c r="EU48" s="166"/>
      <c r="EV48" s="166"/>
      <c r="EW48" s="166"/>
      <c r="EX48" s="166"/>
      <c r="EY48" s="166"/>
      <c r="EZ48" s="166"/>
      <c r="FA48" s="166"/>
      <c r="FB48" s="166"/>
      <c r="FC48" s="166"/>
      <c r="FD48" s="166"/>
      <c r="FE48" s="166"/>
      <c r="FF48" s="166"/>
      <c r="FG48" s="166"/>
      <c r="FH48" s="166"/>
      <c r="FI48" s="166"/>
      <c r="FJ48" s="166"/>
      <c r="FK48" s="166"/>
      <c r="FL48" s="166"/>
      <c r="FM48" s="166"/>
      <c r="FN48" s="166"/>
      <c r="FO48" s="166"/>
      <c r="FP48" s="166"/>
      <c r="FQ48" s="166"/>
      <c r="FR48" s="166"/>
      <c r="FS48" s="166"/>
      <c r="FT48" s="166"/>
      <c r="FU48" s="166"/>
      <c r="FV48" s="166"/>
      <c r="FW48" s="166"/>
      <c r="FX48" s="166"/>
      <c r="FY48" s="166"/>
      <c r="FZ48" s="166"/>
      <c r="GA48" s="166"/>
      <c r="GB48" s="166"/>
      <c r="GC48" s="166"/>
      <c r="GD48" s="166"/>
      <c r="GE48" s="166"/>
      <c r="GF48" s="166"/>
      <c r="GG48" s="166"/>
      <c r="GH48" s="166"/>
      <c r="GI48" s="166"/>
      <c r="GJ48" s="166"/>
      <c r="GK48" s="166"/>
      <c r="GL48" s="166"/>
      <c r="GM48" s="166"/>
      <c r="GN48" s="166"/>
      <c r="GO48" s="166"/>
      <c r="GP48" s="166"/>
      <c r="GQ48" s="166"/>
      <c r="GR48" s="166"/>
      <c r="GS48" s="166"/>
      <c r="GT48" s="166"/>
      <c r="GU48" s="166"/>
      <c r="GV48" s="166"/>
      <c r="GW48" s="166"/>
      <c r="GX48" s="166"/>
      <c r="GY48" s="166"/>
      <c r="GZ48" s="166"/>
      <c r="HA48" s="166"/>
      <c r="HB48" s="166"/>
      <c r="HC48" s="166"/>
      <c r="HD48" s="166"/>
      <c r="HE48" s="166"/>
      <c r="HF48" s="166"/>
      <c r="HG48" s="166"/>
      <c r="HH48" s="166"/>
      <c r="HI48" s="166"/>
      <c r="HJ48" s="166"/>
      <c r="HK48" s="166"/>
      <c r="HL48" s="166"/>
      <c r="HM48" s="166"/>
      <c r="HN48" s="166"/>
      <c r="HO48" s="166"/>
      <c r="HP48" s="166"/>
      <c r="HQ48" s="166"/>
      <c r="HR48" s="166"/>
      <c r="HS48" s="166"/>
      <c r="HT48" s="166"/>
      <c r="HU48" s="166"/>
      <c r="HV48" s="166"/>
      <c r="HW48" s="166"/>
      <c r="HX48" s="166"/>
      <c r="HY48" s="166"/>
      <c r="HZ48" s="166"/>
      <c r="IA48" s="166"/>
      <c r="IB48" s="166"/>
      <c r="IC48" s="166"/>
      <c r="ID48" s="166"/>
      <c r="IE48" s="166"/>
      <c r="IF48" s="166"/>
      <c r="IG48" s="166"/>
      <c r="IH48" s="166"/>
      <c r="II48" s="166"/>
      <c r="IJ48" s="166"/>
      <c r="IK48" s="166"/>
      <c r="IL48" s="166"/>
      <c r="IM48" s="166"/>
      <c r="IN48" s="166"/>
      <c r="IO48" s="166"/>
      <c r="IP48" s="166"/>
      <c r="IQ48" s="166"/>
      <c r="IR48" s="166"/>
      <c r="IS48" s="166"/>
      <c r="IT48" s="166"/>
      <c r="IU48" s="166"/>
      <c r="IV48" s="166"/>
    </row>
    <row r="49" spans="1:256" ht="16.5">
      <c r="A49" s="42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266"/>
      <c r="Y49" s="266"/>
      <c r="Z49" s="166"/>
      <c r="AA49" s="2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  <c r="CT49" s="166"/>
      <c r="CU49" s="166"/>
      <c r="CV49" s="166"/>
      <c r="CW49" s="166"/>
      <c r="CX49" s="166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6"/>
      <c r="DM49" s="166"/>
      <c r="DN49" s="166"/>
      <c r="DO49" s="166"/>
      <c r="DP49" s="166"/>
      <c r="DQ49" s="166"/>
      <c r="DR49" s="166"/>
      <c r="DS49" s="166"/>
      <c r="DT49" s="166"/>
      <c r="DU49" s="166"/>
      <c r="DV49" s="166"/>
      <c r="DW49" s="166"/>
      <c r="DX49" s="166"/>
      <c r="DY49" s="166"/>
      <c r="DZ49" s="166"/>
      <c r="EA49" s="166"/>
      <c r="EB49" s="166"/>
      <c r="EC49" s="166"/>
      <c r="ED49" s="166"/>
      <c r="EE49" s="166"/>
      <c r="EF49" s="166"/>
      <c r="EG49" s="166"/>
      <c r="EH49" s="166"/>
      <c r="EI49" s="166"/>
      <c r="EJ49" s="166"/>
      <c r="EK49" s="166"/>
      <c r="EL49" s="166"/>
      <c r="EM49" s="166"/>
      <c r="EN49" s="166"/>
      <c r="EO49" s="166"/>
      <c r="EP49" s="166"/>
      <c r="EQ49" s="166"/>
      <c r="ER49" s="166"/>
      <c r="ES49" s="166"/>
      <c r="ET49" s="166"/>
      <c r="EU49" s="166"/>
      <c r="EV49" s="166"/>
      <c r="EW49" s="166"/>
      <c r="EX49" s="166"/>
      <c r="EY49" s="166"/>
      <c r="EZ49" s="166"/>
      <c r="FA49" s="166"/>
      <c r="FB49" s="166"/>
      <c r="FC49" s="166"/>
      <c r="FD49" s="166"/>
      <c r="FE49" s="166"/>
      <c r="FF49" s="166"/>
      <c r="FG49" s="166"/>
      <c r="FH49" s="166"/>
      <c r="FI49" s="166"/>
      <c r="FJ49" s="166"/>
      <c r="FK49" s="166"/>
      <c r="FL49" s="166"/>
      <c r="FM49" s="166"/>
      <c r="FN49" s="166"/>
      <c r="FO49" s="166"/>
      <c r="FP49" s="166"/>
      <c r="FQ49" s="166"/>
      <c r="FR49" s="166"/>
      <c r="FS49" s="166"/>
      <c r="FT49" s="166"/>
      <c r="FU49" s="166"/>
      <c r="FV49" s="166"/>
      <c r="FW49" s="166"/>
      <c r="FX49" s="166"/>
      <c r="FY49" s="166"/>
      <c r="FZ49" s="166"/>
      <c r="GA49" s="166"/>
      <c r="GB49" s="166"/>
      <c r="GC49" s="166"/>
      <c r="GD49" s="166"/>
      <c r="GE49" s="166"/>
      <c r="GF49" s="166"/>
      <c r="GG49" s="166"/>
      <c r="GH49" s="166"/>
      <c r="GI49" s="166"/>
      <c r="GJ49" s="166"/>
      <c r="GK49" s="166"/>
      <c r="GL49" s="166"/>
      <c r="GM49" s="166"/>
      <c r="GN49" s="166"/>
      <c r="GO49" s="166"/>
      <c r="GP49" s="166"/>
      <c r="GQ49" s="166"/>
      <c r="GR49" s="166"/>
      <c r="GS49" s="166"/>
      <c r="GT49" s="166"/>
      <c r="GU49" s="166"/>
      <c r="GV49" s="166"/>
      <c r="GW49" s="166"/>
      <c r="GX49" s="166"/>
      <c r="GY49" s="166"/>
      <c r="GZ49" s="166"/>
      <c r="HA49" s="166"/>
      <c r="HB49" s="166"/>
      <c r="HC49" s="166"/>
      <c r="HD49" s="166"/>
      <c r="HE49" s="166"/>
      <c r="HF49" s="166"/>
      <c r="HG49" s="166"/>
      <c r="HH49" s="166"/>
      <c r="HI49" s="166"/>
      <c r="HJ49" s="166"/>
      <c r="HK49" s="166"/>
      <c r="HL49" s="166"/>
      <c r="HM49" s="166"/>
      <c r="HN49" s="166"/>
      <c r="HO49" s="166"/>
      <c r="HP49" s="166"/>
      <c r="HQ49" s="166"/>
      <c r="HR49" s="166"/>
      <c r="HS49" s="166"/>
      <c r="HT49" s="166"/>
      <c r="HU49" s="166"/>
      <c r="HV49" s="166"/>
      <c r="HW49" s="166"/>
      <c r="HX49" s="166"/>
      <c r="HY49" s="166"/>
      <c r="HZ49" s="166"/>
      <c r="IA49" s="166"/>
      <c r="IB49" s="166"/>
      <c r="IC49" s="166"/>
      <c r="ID49" s="166"/>
      <c r="IE49" s="166"/>
      <c r="IF49" s="166"/>
      <c r="IG49" s="166"/>
      <c r="IH49" s="166"/>
      <c r="II49" s="166"/>
      <c r="IJ49" s="166"/>
      <c r="IK49" s="166"/>
      <c r="IL49" s="166"/>
      <c r="IM49" s="166"/>
      <c r="IN49" s="166"/>
      <c r="IO49" s="166"/>
      <c r="IP49" s="166"/>
      <c r="IQ49" s="166"/>
      <c r="IR49" s="166"/>
      <c r="IS49" s="166"/>
      <c r="IT49" s="166"/>
      <c r="IU49" s="166"/>
      <c r="IV49" s="166"/>
    </row>
    <row r="50" spans="1:256" ht="16.5">
      <c r="A50" s="426"/>
      <c r="B50" s="160"/>
      <c r="C50" s="858" t="s">
        <v>12</v>
      </c>
      <c r="D50" s="859"/>
      <c r="E50" s="858" t="s">
        <v>13</v>
      </c>
      <c r="F50" s="859"/>
      <c r="G50" s="858" t="s">
        <v>14</v>
      </c>
      <c r="H50" s="859"/>
      <c r="I50" s="858" t="s">
        <v>15</v>
      </c>
      <c r="J50" s="859"/>
      <c r="K50" s="858" t="s">
        <v>16</v>
      </c>
      <c r="L50" s="859"/>
      <c r="M50" s="858" t="s">
        <v>17</v>
      </c>
      <c r="N50" s="859"/>
      <c r="O50" s="858" t="s">
        <v>223</v>
      </c>
      <c r="P50" s="859"/>
      <c r="Q50" s="858" t="s">
        <v>222</v>
      </c>
      <c r="R50" s="859"/>
      <c r="S50" s="858" t="s">
        <v>221</v>
      </c>
      <c r="T50" s="859"/>
      <c r="U50" s="858" t="s">
        <v>20</v>
      </c>
      <c r="V50" s="859"/>
      <c r="W50" s="160"/>
      <c r="X50" s="160"/>
      <c r="Y50" s="160"/>
      <c r="Z50" s="437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  <c r="FO50" s="160"/>
      <c r="FP50" s="160"/>
      <c r="FQ50" s="160"/>
      <c r="FR50" s="160"/>
      <c r="FS50" s="160"/>
      <c r="FT50" s="160"/>
      <c r="FU50" s="160"/>
      <c r="FV50" s="160"/>
      <c r="FW50" s="160"/>
      <c r="FX50" s="160"/>
      <c r="FY50" s="160"/>
      <c r="FZ50" s="160"/>
      <c r="GA50" s="160"/>
      <c r="GB50" s="160"/>
      <c r="GC50" s="160"/>
      <c r="GD50" s="160"/>
      <c r="GE50" s="160"/>
      <c r="GF50" s="160"/>
      <c r="GG50" s="160"/>
      <c r="GH50" s="160"/>
      <c r="GI50" s="160"/>
      <c r="GJ50" s="160"/>
      <c r="GK50" s="160"/>
      <c r="GL50" s="160"/>
      <c r="GM50" s="160"/>
      <c r="GN50" s="160"/>
      <c r="GO50" s="160"/>
      <c r="GP50" s="160"/>
      <c r="GQ50" s="160"/>
      <c r="GR50" s="160"/>
      <c r="GS50" s="160"/>
      <c r="GT50" s="160"/>
      <c r="GU50" s="160"/>
      <c r="GV50" s="160"/>
      <c r="GW50" s="160"/>
      <c r="GX50" s="160"/>
      <c r="GY50" s="160"/>
      <c r="GZ50" s="160"/>
      <c r="HA50" s="160"/>
      <c r="HB50" s="160"/>
      <c r="HC50" s="160"/>
      <c r="HD50" s="160"/>
      <c r="HE50" s="160"/>
      <c r="HF50" s="160"/>
      <c r="HG50" s="160"/>
      <c r="HH50" s="160"/>
      <c r="HI50" s="160"/>
      <c r="HJ50" s="160"/>
      <c r="HK50" s="160"/>
      <c r="HL50" s="160"/>
      <c r="HM50" s="160"/>
      <c r="HN50" s="160"/>
      <c r="HO50" s="160"/>
      <c r="HP50" s="160"/>
      <c r="HQ50" s="160"/>
      <c r="HR50" s="160"/>
      <c r="HS50" s="160"/>
      <c r="HT50" s="160"/>
      <c r="HU50" s="160"/>
      <c r="HV50" s="160"/>
      <c r="HW50" s="160"/>
      <c r="HX50" s="160"/>
      <c r="HY50" s="160"/>
      <c r="HZ50" s="160"/>
      <c r="IA50" s="160"/>
      <c r="IB50" s="160"/>
      <c r="IC50" s="160"/>
      <c r="ID50" s="160"/>
      <c r="IE50" s="160"/>
      <c r="IF50" s="160"/>
      <c r="IG50" s="160"/>
      <c r="IH50" s="160"/>
      <c r="II50" s="160"/>
      <c r="IJ50" s="160"/>
      <c r="IK50" s="160"/>
      <c r="IL50" s="160"/>
      <c r="IM50" s="160"/>
      <c r="IN50" s="160"/>
      <c r="IO50" s="160"/>
      <c r="IP50" s="160"/>
      <c r="IQ50" s="160"/>
      <c r="IR50" s="160"/>
      <c r="IS50" s="160"/>
      <c r="IT50" s="160"/>
      <c r="IU50" s="160"/>
      <c r="IV50" s="160"/>
    </row>
    <row r="51" spans="1:256" ht="16.5">
      <c r="A51" s="426"/>
      <c r="B51" s="31" t="s">
        <v>254</v>
      </c>
      <c r="C51" s="215" t="s">
        <v>205</v>
      </c>
      <c r="D51" s="215" t="s">
        <v>204</v>
      </c>
      <c r="E51" s="215" t="s">
        <v>205</v>
      </c>
      <c r="F51" s="215" t="s">
        <v>204</v>
      </c>
      <c r="G51" s="215" t="s">
        <v>205</v>
      </c>
      <c r="H51" s="215" t="s">
        <v>204</v>
      </c>
      <c r="I51" s="215" t="s">
        <v>205</v>
      </c>
      <c r="J51" s="215" t="s">
        <v>204</v>
      </c>
      <c r="K51" s="215" t="s">
        <v>205</v>
      </c>
      <c r="L51" s="215" t="s">
        <v>204</v>
      </c>
      <c r="M51" s="215" t="s">
        <v>205</v>
      </c>
      <c r="N51" s="215" t="s">
        <v>204</v>
      </c>
      <c r="O51" s="215" t="s">
        <v>205</v>
      </c>
      <c r="P51" s="215" t="s">
        <v>204</v>
      </c>
      <c r="Q51" s="215" t="s">
        <v>205</v>
      </c>
      <c r="R51" s="215" t="s">
        <v>204</v>
      </c>
      <c r="S51" s="215" t="s">
        <v>205</v>
      </c>
      <c r="T51" s="215" t="s">
        <v>204</v>
      </c>
      <c r="U51" s="215" t="s">
        <v>205</v>
      </c>
      <c r="V51" s="215" t="s">
        <v>204</v>
      </c>
      <c r="W51" s="160"/>
      <c r="X51" s="160"/>
      <c r="Y51" s="160"/>
      <c r="Z51" s="263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  <c r="FO51" s="160"/>
      <c r="FP51" s="160"/>
      <c r="FQ51" s="160"/>
      <c r="FR51" s="160"/>
      <c r="FS51" s="160"/>
      <c r="FT51" s="160"/>
      <c r="FU51" s="160"/>
      <c r="FV51" s="160"/>
      <c r="FW51" s="160"/>
      <c r="FX51" s="160"/>
      <c r="FY51" s="160"/>
      <c r="FZ51" s="160"/>
      <c r="GA51" s="160"/>
      <c r="GB51" s="160"/>
      <c r="GC51" s="160"/>
      <c r="GD51" s="160"/>
      <c r="GE51" s="160"/>
      <c r="GF51" s="160"/>
      <c r="GG51" s="160"/>
      <c r="GH51" s="160"/>
      <c r="GI51" s="160"/>
      <c r="GJ51" s="160"/>
      <c r="GK51" s="160"/>
      <c r="GL51" s="160"/>
      <c r="GM51" s="160"/>
      <c r="GN51" s="160"/>
      <c r="GO51" s="160"/>
      <c r="GP51" s="160"/>
      <c r="GQ51" s="160"/>
      <c r="GR51" s="160"/>
      <c r="GS51" s="160"/>
      <c r="GT51" s="160"/>
      <c r="GU51" s="160"/>
      <c r="GV51" s="160"/>
      <c r="GW51" s="160"/>
      <c r="GX51" s="160"/>
      <c r="GY51" s="160"/>
      <c r="GZ51" s="160"/>
      <c r="HA51" s="160"/>
      <c r="HB51" s="160"/>
      <c r="HC51" s="160"/>
      <c r="HD51" s="160"/>
      <c r="HE51" s="160"/>
      <c r="HF51" s="160"/>
      <c r="HG51" s="160"/>
      <c r="HH51" s="160"/>
      <c r="HI51" s="160"/>
      <c r="HJ51" s="160"/>
      <c r="HK51" s="160"/>
      <c r="HL51" s="160"/>
      <c r="HM51" s="160"/>
      <c r="HN51" s="160"/>
      <c r="HO51" s="160"/>
      <c r="HP51" s="160"/>
      <c r="HQ51" s="160"/>
      <c r="HR51" s="160"/>
      <c r="HS51" s="160"/>
      <c r="HT51" s="160"/>
      <c r="HU51" s="160"/>
      <c r="HV51" s="160"/>
      <c r="HW51" s="160"/>
      <c r="HX51" s="160"/>
      <c r="HY51" s="160"/>
      <c r="HZ51" s="160"/>
      <c r="IA51" s="160"/>
      <c r="IB51" s="160"/>
      <c r="IC51" s="160"/>
      <c r="ID51" s="160"/>
      <c r="IE51" s="160"/>
      <c r="IF51" s="160"/>
      <c r="IG51" s="160"/>
      <c r="IH51" s="160"/>
      <c r="II51" s="160"/>
      <c r="IJ51" s="160"/>
      <c r="IK51" s="160"/>
      <c r="IL51" s="160"/>
      <c r="IM51" s="160"/>
      <c r="IN51" s="160"/>
      <c r="IO51" s="160"/>
      <c r="IP51" s="160"/>
      <c r="IQ51" s="160"/>
      <c r="IR51" s="160"/>
      <c r="IS51" s="160"/>
      <c r="IT51" s="160"/>
      <c r="IU51" s="160"/>
      <c r="IV51" s="160"/>
    </row>
    <row r="52" spans="1:256" ht="16.5">
      <c r="A52" s="426"/>
      <c r="B52" s="438" t="s">
        <v>373</v>
      </c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>
        <f>+K46/2</f>
        <v>-232485.07282276452</v>
      </c>
      <c r="N52" s="261"/>
      <c r="O52" s="261"/>
      <c r="P52" s="261"/>
      <c r="Q52" s="261"/>
      <c r="R52" s="261"/>
      <c r="S52" s="261"/>
      <c r="T52" s="261"/>
      <c r="U52" s="261">
        <f>C52+E52+G52+I52+K52+M52+O52+Q52+S52</f>
        <v>-232485.07282276452</v>
      </c>
      <c r="V52" s="261">
        <f>D52+F52+H52+J52+L52+N52+P52+R52+T52</f>
        <v>0</v>
      </c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  <c r="FO52" s="160"/>
      <c r="FP52" s="160"/>
      <c r="FQ52" s="160"/>
      <c r="FR52" s="160"/>
      <c r="FS52" s="160"/>
      <c r="FT52" s="160"/>
      <c r="FU52" s="160"/>
      <c r="FV52" s="160"/>
      <c r="FW52" s="160"/>
      <c r="FX52" s="160"/>
      <c r="FY52" s="160"/>
      <c r="FZ52" s="160"/>
      <c r="GA52" s="160"/>
      <c r="GB52" s="160"/>
      <c r="GC52" s="160"/>
      <c r="GD52" s="160"/>
      <c r="GE52" s="160"/>
      <c r="GF52" s="160"/>
      <c r="GG52" s="160"/>
      <c r="GH52" s="160"/>
      <c r="GI52" s="160"/>
      <c r="GJ52" s="160"/>
      <c r="GK52" s="160"/>
      <c r="GL52" s="160"/>
      <c r="GM52" s="160"/>
      <c r="GN52" s="160"/>
      <c r="GO52" s="160"/>
      <c r="GP52" s="160"/>
      <c r="GQ52" s="160"/>
      <c r="GR52" s="160"/>
      <c r="GS52" s="160"/>
      <c r="GT52" s="160"/>
      <c r="GU52" s="160"/>
      <c r="GV52" s="160"/>
      <c r="GW52" s="160"/>
      <c r="GX52" s="160"/>
      <c r="GY52" s="160"/>
      <c r="GZ52" s="160"/>
      <c r="HA52" s="160"/>
      <c r="HB52" s="160"/>
      <c r="HC52" s="160"/>
      <c r="HD52" s="160"/>
      <c r="HE52" s="160"/>
      <c r="HF52" s="160"/>
      <c r="HG52" s="160"/>
      <c r="HH52" s="160"/>
      <c r="HI52" s="160"/>
      <c r="HJ52" s="160"/>
      <c r="HK52" s="160"/>
      <c r="HL52" s="160"/>
      <c r="HM52" s="160"/>
      <c r="HN52" s="160"/>
      <c r="HO52" s="160"/>
      <c r="HP52" s="160"/>
      <c r="HQ52" s="160"/>
      <c r="HR52" s="160"/>
      <c r="HS52" s="160"/>
      <c r="HT52" s="160"/>
      <c r="HU52" s="160"/>
      <c r="HV52" s="160"/>
      <c r="HW52" s="160"/>
      <c r="HX52" s="160"/>
      <c r="HY52" s="160"/>
      <c r="HZ52" s="160"/>
      <c r="IA52" s="160"/>
      <c r="IB52" s="160"/>
      <c r="IC52" s="160"/>
      <c r="ID52" s="160"/>
      <c r="IE52" s="160"/>
      <c r="IF52" s="160"/>
      <c r="IG52" s="160"/>
      <c r="IH52" s="160"/>
      <c r="II52" s="160"/>
      <c r="IJ52" s="160"/>
      <c r="IK52" s="160"/>
      <c r="IL52" s="160"/>
      <c r="IM52" s="160"/>
      <c r="IN52" s="160"/>
      <c r="IO52" s="160"/>
      <c r="IP52" s="160"/>
      <c r="IQ52" s="160"/>
      <c r="IR52" s="160"/>
      <c r="IS52" s="160"/>
      <c r="IT52" s="160"/>
      <c r="IU52" s="160"/>
      <c r="IV52" s="160"/>
    </row>
    <row r="53" spans="1:256" ht="16.5">
      <c r="A53" s="426"/>
      <c r="B53" s="439" t="s">
        <v>374</v>
      </c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>
        <f>C53+E53+G53+I53+K53+M53+O53+Q53+S53</f>
        <v>0</v>
      </c>
      <c r="V53" s="261">
        <f>D53+F53+H53+J53+L53+N53+P53+R53+T53</f>
        <v>0</v>
      </c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  <c r="FO53" s="160"/>
      <c r="FP53" s="160"/>
      <c r="FQ53" s="160"/>
      <c r="FR53" s="160"/>
      <c r="FS53" s="160"/>
      <c r="FT53" s="160"/>
      <c r="FU53" s="160"/>
      <c r="FV53" s="160"/>
      <c r="FW53" s="160"/>
      <c r="FX53" s="160"/>
      <c r="FY53" s="160"/>
      <c r="FZ53" s="160"/>
      <c r="GA53" s="160"/>
      <c r="GB53" s="160"/>
      <c r="GC53" s="160"/>
      <c r="GD53" s="160"/>
      <c r="GE53" s="160"/>
      <c r="GF53" s="160"/>
      <c r="GG53" s="160"/>
      <c r="GH53" s="160"/>
      <c r="GI53" s="160"/>
      <c r="GJ53" s="160"/>
      <c r="GK53" s="160"/>
      <c r="GL53" s="160"/>
      <c r="GM53" s="160"/>
      <c r="GN53" s="160"/>
      <c r="GO53" s="160"/>
      <c r="GP53" s="160"/>
      <c r="GQ53" s="160"/>
      <c r="GR53" s="160"/>
      <c r="GS53" s="160"/>
      <c r="GT53" s="160"/>
      <c r="GU53" s="160"/>
      <c r="GV53" s="160"/>
      <c r="GW53" s="160"/>
      <c r="GX53" s="160"/>
      <c r="GY53" s="160"/>
      <c r="GZ53" s="160"/>
      <c r="HA53" s="160"/>
      <c r="HB53" s="160"/>
      <c r="HC53" s="160"/>
      <c r="HD53" s="160"/>
      <c r="HE53" s="160"/>
      <c r="HF53" s="160"/>
      <c r="HG53" s="160"/>
      <c r="HH53" s="160"/>
      <c r="HI53" s="160"/>
      <c r="HJ53" s="160"/>
      <c r="HK53" s="160"/>
      <c r="HL53" s="160"/>
      <c r="HM53" s="160"/>
      <c r="HN53" s="160"/>
      <c r="HO53" s="160"/>
      <c r="HP53" s="160"/>
      <c r="HQ53" s="160"/>
      <c r="HR53" s="160"/>
      <c r="HS53" s="160"/>
      <c r="HT53" s="160"/>
      <c r="HU53" s="160"/>
      <c r="HV53" s="160"/>
      <c r="HW53" s="160"/>
      <c r="HX53" s="160"/>
      <c r="HY53" s="160"/>
      <c r="HZ53" s="160"/>
      <c r="IA53" s="160"/>
      <c r="IB53" s="160"/>
      <c r="IC53" s="160"/>
      <c r="ID53" s="160"/>
      <c r="IE53" s="160"/>
      <c r="IF53" s="160"/>
      <c r="IG53" s="160"/>
      <c r="IH53" s="160"/>
      <c r="II53" s="160"/>
      <c r="IJ53" s="160"/>
      <c r="IK53" s="160"/>
      <c r="IL53" s="160"/>
      <c r="IM53" s="160"/>
      <c r="IN53" s="160"/>
      <c r="IO53" s="160"/>
      <c r="IP53" s="160"/>
      <c r="IQ53" s="160"/>
      <c r="IR53" s="160"/>
      <c r="IS53" s="160"/>
      <c r="IT53" s="160"/>
      <c r="IU53" s="160"/>
      <c r="IV53" s="160"/>
    </row>
    <row r="54" spans="1:256" ht="16.5">
      <c r="A54" s="426"/>
      <c r="B54" s="165" t="s">
        <v>71</v>
      </c>
      <c r="C54" s="440">
        <f t="shared" ref="C54:V54" si="8">SUM(C52:C53)</f>
        <v>0</v>
      </c>
      <c r="D54" s="440">
        <f t="shared" si="8"/>
        <v>0</v>
      </c>
      <c r="E54" s="440">
        <f t="shared" si="8"/>
        <v>0</v>
      </c>
      <c r="F54" s="440">
        <f t="shared" si="8"/>
        <v>0</v>
      </c>
      <c r="G54" s="440">
        <f t="shared" si="8"/>
        <v>0</v>
      </c>
      <c r="H54" s="440">
        <f t="shared" si="8"/>
        <v>0</v>
      </c>
      <c r="I54" s="440">
        <f t="shared" si="8"/>
        <v>0</v>
      </c>
      <c r="J54" s="440">
        <f t="shared" si="8"/>
        <v>0</v>
      </c>
      <c r="K54" s="440">
        <f t="shared" si="8"/>
        <v>0</v>
      </c>
      <c r="L54" s="440">
        <f t="shared" si="8"/>
        <v>0</v>
      </c>
      <c r="M54" s="440">
        <f t="shared" si="8"/>
        <v>-232485.07282276452</v>
      </c>
      <c r="N54" s="440">
        <f t="shared" si="8"/>
        <v>0</v>
      </c>
      <c r="O54" s="440">
        <f t="shared" si="8"/>
        <v>0</v>
      </c>
      <c r="P54" s="440">
        <f t="shared" si="8"/>
        <v>0</v>
      </c>
      <c r="Q54" s="440">
        <f t="shared" si="8"/>
        <v>0</v>
      </c>
      <c r="R54" s="440">
        <f t="shared" si="8"/>
        <v>0</v>
      </c>
      <c r="S54" s="440">
        <f t="shared" si="8"/>
        <v>0</v>
      </c>
      <c r="T54" s="440">
        <f t="shared" si="8"/>
        <v>0</v>
      </c>
      <c r="U54" s="440">
        <f t="shared" si="8"/>
        <v>-232485.07282276452</v>
      </c>
      <c r="V54" s="440">
        <f t="shared" si="8"/>
        <v>0</v>
      </c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  <c r="FO54" s="160"/>
      <c r="FP54" s="160"/>
      <c r="FQ54" s="160"/>
      <c r="FR54" s="160"/>
      <c r="FS54" s="160"/>
      <c r="FT54" s="160"/>
      <c r="FU54" s="160"/>
      <c r="FV54" s="160"/>
      <c r="FW54" s="160"/>
      <c r="FX54" s="160"/>
      <c r="FY54" s="160"/>
      <c r="FZ54" s="160"/>
      <c r="GA54" s="160"/>
      <c r="GB54" s="160"/>
      <c r="GC54" s="160"/>
      <c r="GD54" s="160"/>
      <c r="GE54" s="160"/>
      <c r="GF54" s="160"/>
      <c r="GG54" s="160"/>
      <c r="GH54" s="160"/>
      <c r="GI54" s="160"/>
      <c r="GJ54" s="160"/>
      <c r="GK54" s="160"/>
      <c r="GL54" s="160"/>
      <c r="GM54" s="160"/>
      <c r="GN54" s="160"/>
      <c r="GO54" s="160"/>
      <c r="GP54" s="160"/>
      <c r="GQ54" s="160"/>
      <c r="GR54" s="160"/>
      <c r="GS54" s="160"/>
      <c r="GT54" s="160"/>
      <c r="GU54" s="160"/>
      <c r="GV54" s="160"/>
      <c r="GW54" s="160"/>
      <c r="GX54" s="160"/>
      <c r="GY54" s="160"/>
      <c r="GZ54" s="160"/>
      <c r="HA54" s="160"/>
      <c r="HB54" s="160"/>
      <c r="HC54" s="160"/>
      <c r="HD54" s="160"/>
      <c r="HE54" s="160"/>
      <c r="HF54" s="160"/>
      <c r="HG54" s="160"/>
      <c r="HH54" s="160"/>
      <c r="HI54" s="160"/>
      <c r="HJ54" s="160"/>
      <c r="HK54" s="160"/>
      <c r="HL54" s="160"/>
      <c r="HM54" s="160"/>
      <c r="HN54" s="160"/>
      <c r="HO54" s="160"/>
      <c r="HP54" s="160"/>
      <c r="HQ54" s="160"/>
      <c r="HR54" s="160"/>
      <c r="HS54" s="160"/>
      <c r="HT54" s="160"/>
      <c r="HU54" s="160"/>
      <c r="HV54" s="160"/>
      <c r="HW54" s="160"/>
      <c r="HX54" s="160"/>
      <c r="HY54" s="160"/>
      <c r="HZ54" s="160"/>
      <c r="IA54" s="160"/>
      <c r="IB54" s="160"/>
      <c r="IC54" s="160"/>
      <c r="ID54" s="160"/>
      <c r="IE54" s="160"/>
      <c r="IF54" s="160"/>
      <c r="IG54" s="160"/>
      <c r="IH54" s="160"/>
      <c r="II54" s="160"/>
      <c r="IJ54" s="160"/>
      <c r="IK54" s="160"/>
      <c r="IL54" s="160"/>
      <c r="IM54" s="160"/>
      <c r="IN54" s="160"/>
      <c r="IO54" s="160"/>
      <c r="IP54" s="160"/>
      <c r="IQ54" s="160"/>
      <c r="IR54" s="160"/>
      <c r="IS54" s="160"/>
      <c r="IT54" s="160"/>
      <c r="IU54" s="160"/>
      <c r="IV54" s="160"/>
    </row>
    <row r="55" spans="1:256" ht="16.5">
      <c r="A55" s="426"/>
      <c r="B55" s="165" t="s">
        <v>253</v>
      </c>
      <c r="C55" s="274">
        <f t="shared" ref="C55:H55" si="9">+C24-C45+C54</f>
        <v>24126044.359206952</v>
      </c>
      <c r="D55" s="274">
        <f t="shared" si="9"/>
        <v>1256840.9210485783</v>
      </c>
      <c r="E55" s="274">
        <f t="shared" si="9"/>
        <v>8738553.8133735768</v>
      </c>
      <c r="F55" s="274">
        <f t="shared" si="9"/>
        <v>247992.70259232912</v>
      </c>
      <c r="G55" s="274">
        <f t="shared" si="9"/>
        <v>-1272021.1213245019</v>
      </c>
      <c r="H55" s="274">
        <f t="shared" si="9"/>
        <v>567724.25957405008</v>
      </c>
      <c r="I55" s="274">
        <f>+I24-I45+I54+0.01</f>
        <v>-4803181.0025017336</v>
      </c>
      <c r="J55" s="274">
        <f>+J24-J45+J54</f>
        <v>-25419.82330199569</v>
      </c>
      <c r="K55" s="274">
        <f>+K24-K45+K54</f>
        <v>-464970.14564552903</v>
      </c>
      <c r="L55" s="274">
        <f>+L24-L45+L54-0.01</f>
        <v>400903.75744270731</v>
      </c>
      <c r="M55" s="274">
        <f>+M24-M45+M54</f>
        <v>-6286114.0676153582</v>
      </c>
      <c r="N55" s="274">
        <f>+N24-N45+N54-0.01</f>
        <v>3373.1485584140701</v>
      </c>
      <c r="O55" s="274">
        <f>+O24-O45+O54</f>
        <v>612469.44988642633</v>
      </c>
      <c r="P55" s="274">
        <f>+P24-P45+P54</f>
        <v>-112871.92372174637</v>
      </c>
      <c r="Q55" s="274">
        <f>+Q24-Q45+Q54+0.01</f>
        <v>-58452583.754528902</v>
      </c>
      <c r="R55" s="274">
        <f>+R24-R45+R54</f>
        <v>-1114315.3734337043</v>
      </c>
      <c r="S55" s="274">
        <f>+S24-S45+S54</f>
        <v>99541108.110929608</v>
      </c>
      <c r="T55" s="274">
        <f>+T24-T45+T54</f>
        <v>-1558811.4728586324</v>
      </c>
      <c r="U55" s="274">
        <f>+U24-U45+U54</f>
        <v>61739305.721780643</v>
      </c>
      <c r="V55" s="274">
        <f>+V24-V45+V54</f>
        <v>-334583.72410000023</v>
      </c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  <c r="FO55" s="160"/>
      <c r="FP55" s="160"/>
      <c r="FQ55" s="160"/>
      <c r="FR55" s="160"/>
      <c r="FS55" s="160"/>
      <c r="FT55" s="160"/>
      <c r="FU55" s="160"/>
      <c r="FV55" s="160"/>
      <c r="FW55" s="160"/>
      <c r="FX55" s="160"/>
      <c r="FY55" s="160"/>
      <c r="FZ55" s="160"/>
      <c r="GA55" s="160"/>
      <c r="GB55" s="160"/>
      <c r="GC55" s="160"/>
      <c r="GD55" s="160"/>
      <c r="GE55" s="160"/>
      <c r="GF55" s="160"/>
      <c r="GG55" s="160"/>
      <c r="GH55" s="160"/>
      <c r="GI55" s="160"/>
      <c r="GJ55" s="160"/>
      <c r="GK55" s="160"/>
      <c r="GL55" s="160"/>
      <c r="GM55" s="160"/>
      <c r="GN55" s="160"/>
      <c r="GO55" s="160"/>
      <c r="GP55" s="160"/>
      <c r="GQ55" s="160"/>
      <c r="GR55" s="160"/>
      <c r="GS55" s="160"/>
      <c r="GT55" s="160"/>
      <c r="GU55" s="160"/>
      <c r="GV55" s="160"/>
      <c r="GW55" s="160"/>
      <c r="GX55" s="160"/>
      <c r="GY55" s="160"/>
      <c r="GZ55" s="160"/>
      <c r="HA55" s="160"/>
      <c r="HB55" s="160"/>
      <c r="HC55" s="160"/>
      <c r="HD55" s="160"/>
      <c r="HE55" s="160"/>
      <c r="HF55" s="160"/>
      <c r="HG55" s="160"/>
      <c r="HH55" s="160"/>
      <c r="HI55" s="160"/>
      <c r="HJ55" s="160"/>
      <c r="HK55" s="160"/>
      <c r="HL55" s="160"/>
      <c r="HM55" s="160"/>
      <c r="HN55" s="160"/>
      <c r="HO55" s="160"/>
      <c r="HP55" s="160"/>
      <c r="HQ55" s="160"/>
      <c r="HR55" s="160"/>
      <c r="HS55" s="160"/>
      <c r="HT55" s="160"/>
      <c r="HU55" s="160"/>
      <c r="HV55" s="160"/>
      <c r="HW55" s="160"/>
      <c r="HX55" s="160"/>
      <c r="HY55" s="160"/>
      <c r="HZ55" s="160"/>
      <c r="IA55" s="160"/>
      <c r="IB55" s="160"/>
      <c r="IC55" s="160"/>
      <c r="ID55" s="160"/>
      <c r="IE55" s="160"/>
      <c r="IF55" s="160"/>
      <c r="IG55" s="160"/>
      <c r="IH55" s="160"/>
      <c r="II55" s="160"/>
      <c r="IJ55" s="160"/>
      <c r="IK55" s="160"/>
      <c r="IL55" s="160"/>
      <c r="IM55" s="160"/>
      <c r="IN55" s="160"/>
      <c r="IO55" s="160"/>
      <c r="IP55" s="160"/>
      <c r="IQ55" s="160"/>
      <c r="IR55" s="160"/>
      <c r="IS55" s="160"/>
      <c r="IT55" s="160"/>
      <c r="IU55" s="160"/>
      <c r="IV55" s="160"/>
    </row>
    <row r="56" spans="1:256" ht="16.5">
      <c r="A56" s="426"/>
      <c r="B56" s="165" t="s">
        <v>252</v>
      </c>
      <c r="C56" s="274">
        <f>+C55</f>
        <v>24126044.359206952</v>
      </c>
      <c r="D56" s="274">
        <f>+D55</f>
        <v>1256840.9210485783</v>
      </c>
      <c r="E56" s="274">
        <f t="shared" ref="E56:V56" si="10">+C56+E55</f>
        <v>32864598.172580529</v>
      </c>
      <c r="F56" s="274">
        <f t="shared" si="10"/>
        <v>1504833.6236409075</v>
      </c>
      <c r="G56" s="274">
        <f t="shared" si="10"/>
        <v>31592577.051256027</v>
      </c>
      <c r="H56" s="274">
        <f t="shared" si="10"/>
        <v>2072557.8832149575</v>
      </c>
      <c r="I56" s="274">
        <f t="shared" si="10"/>
        <v>26789396.048754293</v>
      </c>
      <c r="J56" s="274">
        <f t="shared" si="10"/>
        <v>2047138.0599129619</v>
      </c>
      <c r="K56" s="274">
        <f>+I56+K55-0.01</f>
        <v>26324425.893108763</v>
      </c>
      <c r="L56" s="274">
        <f>+J56+L55+0.01</f>
        <v>2448041.8273556689</v>
      </c>
      <c r="M56" s="274">
        <f t="shared" si="10"/>
        <v>20038311.825493403</v>
      </c>
      <c r="N56" s="274">
        <f t="shared" si="10"/>
        <v>2451414.975914083</v>
      </c>
      <c r="O56" s="274">
        <f t="shared" si="10"/>
        <v>20650781.275379829</v>
      </c>
      <c r="P56" s="274">
        <f>+N56+P55+0.01</f>
        <v>2338543.0621923362</v>
      </c>
      <c r="Q56" s="274">
        <f t="shared" si="10"/>
        <v>-37801802.479149073</v>
      </c>
      <c r="R56" s="274">
        <f t="shared" si="10"/>
        <v>1224227.6887586319</v>
      </c>
      <c r="S56" s="274">
        <f t="shared" si="10"/>
        <v>61739305.631780535</v>
      </c>
      <c r="T56" s="274">
        <f t="shared" si="10"/>
        <v>-334583.78410000051</v>
      </c>
      <c r="U56" s="274">
        <f t="shared" si="10"/>
        <v>123478611.35356118</v>
      </c>
      <c r="V56" s="274">
        <f t="shared" si="10"/>
        <v>-669167.50820000074</v>
      </c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60"/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B56" s="160"/>
      <c r="CC56" s="160"/>
      <c r="CD56" s="160"/>
      <c r="CE56" s="160"/>
      <c r="CF56" s="160"/>
      <c r="CG56" s="160"/>
      <c r="CH56" s="160"/>
      <c r="CI56" s="160"/>
      <c r="CJ56" s="160"/>
      <c r="CK56" s="160"/>
      <c r="CL56" s="160"/>
      <c r="CM56" s="160"/>
      <c r="CN56" s="160"/>
      <c r="CO56" s="160"/>
      <c r="CP56" s="160"/>
      <c r="CQ56" s="160"/>
      <c r="CR56" s="160"/>
      <c r="CS56" s="160"/>
      <c r="CT56" s="160"/>
      <c r="CU56" s="160"/>
      <c r="CV56" s="160"/>
      <c r="CW56" s="160"/>
      <c r="CX56" s="160"/>
      <c r="CY56" s="160"/>
      <c r="CZ56" s="160"/>
      <c r="DA56" s="160"/>
      <c r="DB56" s="160"/>
      <c r="DC56" s="160"/>
      <c r="DD56" s="160"/>
      <c r="DE56" s="160"/>
      <c r="DF56" s="160"/>
      <c r="DG56" s="160"/>
      <c r="DH56" s="160"/>
      <c r="DI56" s="160"/>
      <c r="DJ56" s="160"/>
      <c r="DK56" s="160"/>
      <c r="DL56" s="160"/>
      <c r="DM56" s="160"/>
      <c r="DN56" s="160"/>
      <c r="DO56" s="160"/>
      <c r="DP56" s="160"/>
      <c r="DQ56" s="160"/>
      <c r="DR56" s="160"/>
      <c r="DS56" s="160"/>
      <c r="DT56" s="160"/>
      <c r="DU56" s="160"/>
      <c r="DV56" s="160"/>
      <c r="DW56" s="160"/>
      <c r="DX56" s="160"/>
      <c r="DY56" s="160"/>
      <c r="DZ56" s="160"/>
      <c r="EA56" s="160"/>
      <c r="EB56" s="160"/>
      <c r="EC56" s="160"/>
      <c r="ED56" s="160"/>
      <c r="EE56" s="160"/>
      <c r="EF56" s="160"/>
      <c r="EG56" s="160"/>
      <c r="EH56" s="160"/>
      <c r="EI56" s="160"/>
      <c r="EJ56" s="160"/>
      <c r="EK56" s="160"/>
      <c r="EL56" s="160"/>
      <c r="EM56" s="160"/>
      <c r="EN56" s="160"/>
      <c r="EO56" s="160"/>
      <c r="EP56" s="160"/>
      <c r="EQ56" s="160"/>
      <c r="ER56" s="160"/>
      <c r="ES56" s="160"/>
      <c r="ET56" s="160"/>
      <c r="EU56" s="160"/>
      <c r="EV56" s="160"/>
      <c r="EW56" s="160"/>
      <c r="EX56" s="160"/>
      <c r="EY56" s="160"/>
      <c r="EZ56" s="160"/>
      <c r="FA56" s="160"/>
      <c r="FB56" s="160"/>
      <c r="FC56" s="160"/>
      <c r="FD56" s="160"/>
      <c r="FE56" s="160"/>
      <c r="FF56" s="160"/>
      <c r="FG56" s="160"/>
      <c r="FH56" s="160"/>
      <c r="FI56" s="160"/>
      <c r="FJ56" s="160"/>
      <c r="FK56" s="160"/>
      <c r="FL56" s="160"/>
      <c r="FM56" s="160"/>
      <c r="FN56" s="160"/>
      <c r="FO56" s="160"/>
      <c r="FP56" s="160"/>
      <c r="FQ56" s="160"/>
      <c r="FR56" s="160"/>
      <c r="FS56" s="160"/>
      <c r="FT56" s="160"/>
      <c r="FU56" s="160"/>
      <c r="FV56" s="160"/>
      <c r="FW56" s="160"/>
      <c r="FX56" s="160"/>
      <c r="FY56" s="160"/>
      <c r="FZ56" s="160"/>
      <c r="GA56" s="160"/>
      <c r="GB56" s="160"/>
      <c r="GC56" s="160"/>
      <c r="GD56" s="160"/>
      <c r="GE56" s="160"/>
      <c r="GF56" s="160"/>
      <c r="GG56" s="160"/>
      <c r="GH56" s="160"/>
      <c r="GI56" s="160"/>
      <c r="GJ56" s="160"/>
      <c r="GK56" s="160"/>
      <c r="GL56" s="160"/>
      <c r="GM56" s="160"/>
      <c r="GN56" s="160"/>
      <c r="GO56" s="160"/>
      <c r="GP56" s="160"/>
      <c r="GQ56" s="160"/>
      <c r="GR56" s="160"/>
      <c r="GS56" s="160"/>
      <c r="GT56" s="160"/>
      <c r="GU56" s="160"/>
      <c r="GV56" s="160"/>
      <c r="GW56" s="160"/>
      <c r="GX56" s="160"/>
      <c r="GY56" s="160"/>
      <c r="GZ56" s="160"/>
      <c r="HA56" s="160"/>
      <c r="HB56" s="160"/>
      <c r="HC56" s="160"/>
      <c r="HD56" s="160"/>
      <c r="HE56" s="160"/>
      <c r="HF56" s="160"/>
      <c r="HG56" s="160"/>
      <c r="HH56" s="160"/>
      <c r="HI56" s="160"/>
      <c r="HJ56" s="160"/>
      <c r="HK56" s="160"/>
      <c r="HL56" s="160"/>
      <c r="HM56" s="160"/>
      <c r="HN56" s="160"/>
      <c r="HO56" s="160"/>
      <c r="HP56" s="160"/>
      <c r="HQ56" s="160"/>
      <c r="HR56" s="160"/>
      <c r="HS56" s="160"/>
      <c r="HT56" s="160"/>
      <c r="HU56" s="160"/>
      <c r="HV56" s="160"/>
      <c r="HW56" s="160"/>
      <c r="HX56" s="160"/>
      <c r="HY56" s="160"/>
      <c r="HZ56" s="160"/>
      <c r="IA56" s="160"/>
      <c r="IB56" s="160"/>
      <c r="IC56" s="160"/>
      <c r="ID56" s="160"/>
      <c r="IE56" s="160"/>
      <c r="IF56" s="160"/>
      <c r="IG56" s="160"/>
      <c r="IH56" s="160"/>
      <c r="II56" s="160"/>
      <c r="IJ56" s="160"/>
      <c r="IK56" s="160"/>
      <c r="IL56" s="160"/>
      <c r="IM56" s="160"/>
      <c r="IN56" s="160"/>
      <c r="IO56" s="160"/>
      <c r="IP56" s="160"/>
      <c r="IQ56" s="160"/>
      <c r="IR56" s="160"/>
      <c r="IS56" s="160"/>
      <c r="IT56" s="160"/>
      <c r="IU56" s="160"/>
      <c r="IV56" s="160"/>
    </row>
    <row r="57" spans="1:256" ht="16.5">
      <c r="A57" s="426"/>
      <c r="B57" s="165" t="s">
        <v>251</v>
      </c>
      <c r="C57" s="246">
        <f>ROUND(C56/$X$2,2)</f>
        <v>0.26</v>
      </c>
      <c r="D57" s="246">
        <f>ROUND(D56/$X$4,2)</f>
        <v>0.05</v>
      </c>
      <c r="E57" s="246">
        <f>ROUND(E56/$X$2,2)</f>
        <v>0.36</v>
      </c>
      <c r="F57" s="246">
        <f>ROUND(F56/$X$4,2)</f>
        <v>0.06</v>
      </c>
      <c r="G57" s="246">
        <f>ROUND(G56/$X$2,2)</f>
        <v>0.34</v>
      </c>
      <c r="H57" s="246">
        <f>ROUND(H56/$X$4,2)</f>
        <v>0.08</v>
      </c>
      <c r="I57" s="246">
        <f>ROUND(I56/$X$2,2)</f>
        <v>0.28999999999999998</v>
      </c>
      <c r="J57" s="246">
        <f>ROUND(J56/$X$4,2)</f>
        <v>0.08</v>
      </c>
      <c r="K57" s="246">
        <f>ROUND(K56/$X$2,2)</f>
        <v>0.28000000000000003</v>
      </c>
      <c r="L57" s="246">
        <f>ROUND(L56/$X$4,2)</f>
        <v>0.1</v>
      </c>
      <c r="M57" s="246">
        <f>ROUND(M56/$X$2,2)</f>
        <v>0.22</v>
      </c>
      <c r="N57" s="246">
        <f>ROUND(N56/$X$4,2)</f>
        <v>0.1</v>
      </c>
      <c r="O57" s="246">
        <f>ROUND(O56/$X$2,2)</f>
        <v>0.22</v>
      </c>
      <c r="P57" s="246">
        <f>ROUND(P56/$X$4,2)</f>
        <v>0.1</v>
      </c>
      <c r="Q57" s="246">
        <f>ROUND(Q56/$X$2,2)</f>
        <v>-0.41</v>
      </c>
      <c r="R57" s="246">
        <f>ROUND(R56/$X$4,2)</f>
        <v>0.05</v>
      </c>
      <c r="S57" s="246">
        <f>ROUND(S56/$X$2,2)</f>
        <v>0.67</v>
      </c>
      <c r="T57" s="246">
        <f>ROUND(T56/$X$4,2)</f>
        <v>-0.01</v>
      </c>
      <c r="U57" s="246">
        <f>ROUND(U56/$X$2,2)</f>
        <v>1.34</v>
      </c>
      <c r="V57" s="246">
        <f>ROUND(V56/$X$4,2)</f>
        <v>-0.03</v>
      </c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0"/>
      <c r="BN57" s="160"/>
      <c r="BO57" s="160"/>
      <c r="BP57" s="160"/>
      <c r="BQ57" s="160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  <c r="CB57" s="160"/>
      <c r="CC57" s="160"/>
      <c r="CD57" s="160"/>
      <c r="CE57" s="160"/>
      <c r="CF57" s="160"/>
      <c r="CG57" s="160"/>
      <c r="CH57" s="160"/>
      <c r="CI57" s="160"/>
      <c r="CJ57" s="160"/>
      <c r="CK57" s="160"/>
      <c r="CL57" s="160"/>
      <c r="CM57" s="160"/>
      <c r="CN57" s="160"/>
      <c r="CO57" s="160"/>
      <c r="CP57" s="160"/>
      <c r="CQ57" s="160"/>
      <c r="CR57" s="160"/>
      <c r="CS57" s="160"/>
      <c r="CT57" s="160"/>
      <c r="CU57" s="160"/>
      <c r="CV57" s="160"/>
      <c r="CW57" s="160"/>
      <c r="CX57" s="160"/>
      <c r="CY57" s="160"/>
      <c r="CZ57" s="160"/>
      <c r="DA57" s="160"/>
      <c r="DB57" s="160"/>
      <c r="DC57" s="160"/>
      <c r="DD57" s="160"/>
      <c r="DE57" s="160"/>
      <c r="DF57" s="160"/>
      <c r="DG57" s="160"/>
      <c r="DH57" s="160"/>
      <c r="DI57" s="160"/>
      <c r="DJ57" s="160"/>
      <c r="DK57" s="160"/>
      <c r="DL57" s="160"/>
      <c r="DM57" s="160"/>
      <c r="DN57" s="160"/>
      <c r="DO57" s="160"/>
      <c r="DP57" s="160"/>
      <c r="DQ57" s="160"/>
      <c r="DR57" s="160"/>
      <c r="DS57" s="160"/>
      <c r="DT57" s="160"/>
      <c r="DU57" s="160"/>
      <c r="DV57" s="160"/>
      <c r="DW57" s="160"/>
      <c r="DX57" s="160"/>
      <c r="DY57" s="160"/>
      <c r="DZ57" s="160"/>
      <c r="EA57" s="160"/>
      <c r="EB57" s="160"/>
      <c r="EC57" s="160"/>
      <c r="ED57" s="160"/>
      <c r="EE57" s="160"/>
      <c r="EF57" s="160"/>
      <c r="EG57" s="160"/>
      <c r="EH57" s="160"/>
      <c r="EI57" s="160"/>
      <c r="EJ57" s="160"/>
      <c r="EK57" s="160"/>
      <c r="EL57" s="160"/>
      <c r="EM57" s="160"/>
      <c r="EN57" s="160"/>
      <c r="EO57" s="160"/>
      <c r="EP57" s="160"/>
      <c r="EQ57" s="160"/>
      <c r="ER57" s="160"/>
      <c r="ES57" s="160"/>
      <c r="ET57" s="160"/>
      <c r="EU57" s="160"/>
      <c r="EV57" s="160"/>
      <c r="EW57" s="160"/>
      <c r="EX57" s="160"/>
      <c r="EY57" s="160"/>
      <c r="EZ57" s="160"/>
      <c r="FA57" s="160"/>
      <c r="FB57" s="160"/>
      <c r="FC57" s="160"/>
      <c r="FD57" s="160"/>
      <c r="FE57" s="160"/>
      <c r="FF57" s="160"/>
      <c r="FG57" s="160"/>
      <c r="FH57" s="160"/>
      <c r="FI57" s="160"/>
      <c r="FJ57" s="160"/>
      <c r="FK57" s="160"/>
      <c r="FL57" s="160"/>
      <c r="FM57" s="160"/>
      <c r="FN57" s="160"/>
      <c r="FO57" s="160"/>
      <c r="FP57" s="160"/>
      <c r="FQ57" s="160"/>
      <c r="FR57" s="160"/>
      <c r="FS57" s="160"/>
      <c r="FT57" s="160"/>
      <c r="FU57" s="160"/>
      <c r="FV57" s="160"/>
      <c r="FW57" s="160"/>
      <c r="FX57" s="160"/>
      <c r="FY57" s="160"/>
      <c r="FZ57" s="160"/>
      <c r="GA57" s="160"/>
      <c r="GB57" s="160"/>
      <c r="GC57" s="160"/>
      <c r="GD57" s="160"/>
      <c r="GE57" s="160"/>
      <c r="GF57" s="160"/>
      <c r="GG57" s="160"/>
      <c r="GH57" s="160"/>
      <c r="GI57" s="160"/>
      <c r="GJ57" s="160"/>
      <c r="GK57" s="160"/>
      <c r="GL57" s="160"/>
      <c r="GM57" s="160"/>
      <c r="GN57" s="160"/>
      <c r="GO57" s="160"/>
      <c r="GP57" s="160"/>
      <c r="GQ57" s="160"/>
      <c r="GR57" s="160"/>
      <c r="GS57" s="160"/>
      <c r="GT57" s="160"/>
      <c r="GU57" s="160"/>
      <c r="GV57" s="160"/>
      <c r="GW57" s="160"/>
      <c r="GX57" s="160"/>
      <c r="GY57" s="160"/>
      <c r="GZ57" s="160"/>
      <c r="HA57" s="160"/>
      <c r="HB57" s="160"/>
      <c r="HC57" s="160"/>
      <c r="HD57" s="160"/>
      <c r="HE57" s="160"/>
      <c r="HF57" s="160"/>
      <c r="HG57" s="160"/>
      <c r="HH57" s="160"/>
      <c r="HI57" s="160"/>
      <c r="HJ57" s="160"/>
      <c r="HK57" s="160"/>
      <c r="HL57" s="160"/>
      <c r="HM57" s="160"/>
      <c r="HN57" s="160"/>
      <c r="HO57" s="160"/>
      <c r="HP57" s="160"/>
      <c r="HQ57" s="160"/>
      <c r="HR57" s="160"/>
      <c r="HS57" s="160"/>
      <c r="HT57" s="160"/>
      <c r="HU57" s="160"/>
      <c r="HV57" s="160"/>
      <c r="HW57" s="160"/>
      <c r="HX57" s="160"/>
      <c r="HY57" s="160"/>
      <c r="HZ57" s="160"/>
      <c r="IA57" s="160"/>
      <c r="IB57" s="160"/>
      <c r="IC57" s="160"/>
      <c r="ID57" s="160"/>
      <c r="IE57" s="160"/>
      <c r="IF57" s="160"/>
      <c r="IG57" s="160"/>
      <c r="IH57" s="160"/>
      <c r="II57" s="160"/>
      <c r="IJ57" s="160"/>
      <c r="IK57" s="160"/>
      <c r="IL57" s="160"/>
      <c r="IM57" s="160"/>
      <c r="IN57" s="160"/>
      <c r="IO57" s="160"/>
      <c r="IP57" s="160"/>
      <c r="IQ57" s="160"/>
      <c r="IR57" s="160"/>
      <c r="IS57" s="160"/>
      <c r="IT57" s="160"/>
      <c r="IU57" s="160"/>
      <c r="IV57" s="160"/>
    </row>
    <row r="58" spans="1:256" ht="16.5">
      <c r="A58" s="426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60"/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B58" s="160"/>
      <c r="CC58" s="160"/>
      <c r="CD58" s="160"/>
      <c r="CE58" s="160"/>
      <c r="CF58" s="160"/>
      <c r="CG58" s="160"/>
      <c r="CH58" s="160"/>
      <c r="CI58" s="160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  <c r="DD58" s="160"/>
      <c r="DE58" s="160"/>
      <c r="DF58" s="160"/>
      <c r="DG58" s="160"/>
      <c r="DH58" s="160"/>
      <c r="DI58" s="160"/>
      <c r="DJ58" s="160"/>
      <c r="DK58" s="160"/>
      <c r="DL58" s="160"/>
      <c r="DM58" s="160"/>
      <c r="DN58" s="160"/>
      <c r="DO58" s="160"/>
      <c r="DP58" s="160"/>
      <c r="DQ58" s="160"/>
      <c r="DR58" s="160"/>
      <c r="DS58" s="160"/>
      <c r="DT58" s="160"/>
      <c r="DU58" s="160"/>
      <c r="DV58" s="160"/>
      <c r="DW58" s="160"/>
      <c r="DX58" s="160"/>
      <c r="DY58" s="160"/>
      <c r="DZ58" s="160"/>
      <c r="EA58" s="160"/>
      <c r="EB58" s="160"/>
      <c r="EC58" s="160"/>
      <c r="ED58" s="160"/>
      <c r="EE58" s="160"/>
      <c r="EF58" s="160"/>
      <c r="EG58" s="160"/>
      <c r="EH58" s="160"/>
      <c r="EI58" s="160"/>
      <c r="EJ58" s="160"/>
      <c r="EK58" s="160"/>
      <c r="EL58" s="160"/>
      <c r="EM58" s="160"/>
      <c r="EN58" s="160"/>
      <c r="EO58" s="160"/>
      <c r="EP58" s="160"/>
      <c r="EQ58" s="160"/>
      <c r="ER58" s="160"/>
      <c r="ES58" s="160"/>
      <c r="ET58" s="160"/>
      <c r="EU58" s="160"/>
      <c r="EV58" s="160"/>
      <c r="EW58" s="160"/>
      <c r="EX58" s="160"/>
      <c r="EY58" s="160"/>
      <c r="EZ58" s="160"/>
      <c r="FA58" s="160"/>
      <c r="FB58" s="160"/>
      <c r="FC58" s="160"/>
      <c r="FD58" s="160"/>
      <c r="FE58" s="160"/>
      <c r="FF58" s="160"/>
      <c r="FG58" s="160"/>
      <c r="FH58" s="160"/>
      <c r="FI58" s="160"/>
      <c r="FJ58" s="160"/>
      <c r="FK58" s="160"/>
      <c r="FL58" s="160"/>
      <c r="FM58" s="160"/>
      <c r="FN58" s="160"/>
      <c r="FO58" s="160"/>
      <c r="FP58" s="160"/>
      <c r="FQ58" s="160"/>
      <c r="FR58" s="160"/>
      <c r="FS58" s="160"/>
      <c r="FT58" s="160"/>
      <c r="FU58" s="160"/>
      <c r="FV58" s="160"/>
      <c r="FW58" s="160"/>
      <c r="FX58" s="160"/>
      <c r="FY58" s="160"/>
      <c r="FZ58" s="160"/>
      <c r="GA58" s="160"/>
      <c r="GB58" s="160"/>
      <c r="GC58" s="160"/>
      <c r="GD58" s="160"/>
      <c r="GE58" s="160"/>
      <c r="GF58" s="160"/>
      <c r="GG58" s="160"/>
      <c r="GH58" s="160"/>
      <c r="GI58" s="160"/>
      <c r="GJ58" s="160"/>
      <c r="GK58" s="160"/>
      <c r="GL58" s="160"/>
      <c r="GM58" s="160"/>
      <c r="GN58" s="160"/>
      <c r="GO58" s="160"/>
      <c r="GP58" s="160"/>
      <c r="GQ58" s="160"/>
      <c r="GR58" s="160"/>
      <c r="GS58" s="160"/>
      <c r="GT58" s="160"/>
      <c r="GU58" s="160"/>
      <c r="GV58" s="160"/>
      <c r="GW58" s="160"/>
      <c r="GX58" s="160"/>
      <c r="GY58" s="160"/>
      <c r="GZ58" s="160"/>
      <c r="HA58" s="160"/>
      <c r="HB58" s="160"/>
      <c r="HC58" s="160"/>
      <c r="HD58" s="160"/>
      <c r="HE58" s="160"/>
      <c r="HF58" s="160"/>
      <c r="HG58" s="160"/>
      <c r="HH58" s="160"/>
      <c r="HI58" s="160"/>
      <c r="HJ58" s="160"/>
      <c r="HK58" s="160"/>
      <c r="HL58" s="160"/>
      <c r="HM58" s="160"/>
      <c r="HN58" s="160"/>
      <c r="HO58" s="160"/>
      <c r="HP58" s="160"/>
      <c r="HQ58" s="160"/>
      <c r="HR58" s="160"/>
      <c r="HS58" s="160"/>
      <c r="HT58" s="160"/>
      <c r="HU58" s="160"/>
      <c r="HV58" s="160"/>
      <c r="HW58" s="160"/>
      <c r="HX58" s="160"/>
      <c r="HY58" s="160"/>
      <c r="HZ58" s="160"/>
      <c r="IA58" s="160"/>
      <c r="IB58" s="160"/>
      <c r="IC58" s="160"/>
      <c r="ID58" s="160"/>
      <c r="IE58" s="160"/>
      <c r="IF58" s="160"/>
      <c r="IG58" s="160"/>
      <c r="IH58" s="160"/>
      <c r="II58" s="160"/>
      <c r="IJ58" s="160"/>
      <c r="IK58" s="160"/>
      <c r="IL58" s="160"/>
      <c r="IM58" s="160"/>
      <c r="IN58" s="160"/>
      <c r="IO58" s="160"/>
      <c r="IP58" s="160"/>
      <c r="IQ58" s="160"/>
      <c r="IR58" s="160"/>
      <c r="IS58" s="160"/>
      <c r="IT58" s="160"/>
      <c r="IU58" s="160"/>
      <c r="IV58" s="160"/>
    </row>
    <row r="59" spans="1:256" ht="16.5">
      <c r="A59" s="426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60"/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B59" s="160"/>
      <c r="CC59" s="160"/>
      <c r="CD59" s="160"/>
      <c r="CE59" s="160"/>
      <c r="CF59" s="160"/>
      <c r="CG59" s="160"/>
      <c r="CH59" s="160"/>
      <c r="CI59" s="160"/>
      <c r="CJ59" s="160"/>
      <c r="CK59" s="160"/>
      <c r="CL59" s="160"/>
      <c r="CM59" s="160"/>
      <c r="CN59" s="160"/>
      <c r="CO59" s="160"/>
      <c r="CP59" s="160"/>
      <c r="CQ59" s="160"/>
      <c r="CR59" s="160"/>
      <c r="CS59" s="160"/>
      <c r="CT59" s="160"/>
      <c r="CU59" s="160"/>
      <c r="CV59" s="160"/>
      <c r="CW59" s="160"/>
      <c r="CX59" s="160"/>
      <c r="CY59" s="160"/>
      <c r="CZ59" s="160"/>
      <c r="DA59" s="160"/>
      <c r="DB59" s="160"/>
      <c r="DC59" s="160"/>
      <c r="DD59" s="160"/>
      <c r="DE59" s="160"/>
      <c r="DF59" s="160"/>
      <c r="DG59" s="160"/>
      <c r="DH59" s="160"/>
      <c r="DI59" s="160"/>
      <c r="DJ59" s="160"/>
      <c r="DK59" s="160"/>
      <c r="DL59" s="160"/>
      <c r="DM59" s="160"/>
      <c r="DN59" s="160"/>
      <c r="DO59" s="160"/>
      <c r="DP59" s="160"/>
      <c r="DQ59" s="160"/>
      <c r="DR59" s="160"/>
      <c r="DS59" s="160"/>
      <c r="DT59" s="160"/>
      <c r="DU59" s="160"/>
      <c r="DV59" s="160"/>
      <c r="DW59" s="160"/>
      <c r="DX59" s="160"/>
      <c r="DY59" s="160"/>
      <c r="DZ59" s="160"/>
      <c r="EA59" s="160"/>
      <c r="EB59" s="160"/>
      <c r="EC59" s="160"/>
      <c r="ED59" s="160"/>
      <c r="EE59" s="160"/>
      <c r="EF59" s="160"/>
      <c r="EG59" s="160"/>
      <c r="EH59" s="160"/>
      <c r="EI59" s="160"/>
      <c r="EJ59" s="160"/>
      <c r="EK59" s="160"/>
      <c r="EL59" s="160"/>
      <c r="EM59" s="160"/>
      <c r="EN59" s="160"/>
      <c r="EO59" s="160"/>
      <c r="EP59" s="160"/>
      <c r="EQ59" s="160"/>
      <c r="ER59" s="160"/>
      <c r="ES59" s="160"/>
      <c r="ET59" s="160"/>
      <c r="EU59" s="160"/>
      <c r="EV59" s="160"/>
      <c r="EW59" s="160"/>
      <c r="EX59" s="160"/>
      <c r="EY59" s="160"/>
      <c r="EZ59" s="160"/>
      <c r="FA59" s="160"/>
      <c r="FB59" s="160"/>
      <c r="FC59" s="160"/>
      <c r="FD59" s="160"/>
      <c r="FE59" s="160"/>
      <c r="FF59" s="160"/>
      <c r="FG59" s="160"/>
      <c r="FH59" s="160"/>
      <c r="FI59" s="160"/>
      <c r="FJ59" s="160"/>
      <c r="FK59" s="160"/>
      <c r="FL59" s="160"/>
      <c r="FM59" s="160"/>
      <c r="FN59" s="160"/>
      <c r="FO59" s="160"/>
      <c r="FP59" s="160"/>
      <c r="FQ59" s="160"/>
      <c r="FR59" s="160"/>
      <c r="FS59" s="160"/>
      <c r="FT59" s="160"/>
      <c r="FU59" s="160"/>
      <c r="FV59" s="160"/>
      <c r="FW59" s="160"/>
      <c r="FX59" s="160"/>
      <c r="FY59" s="160"/>
      <c r="FZ59" s="160"/>
      <c r="GA59" s="160"/>
      <c r="GB59" s="160"/>
      <c r="GC59" s="160"/>
      <c r="GD59" s="160"/>
      <c r="GE59" s="160"/>
      <c r="GF59" s="160"/>
      <c r="GG59" s="160"/>
      <c r="GH59" s="160"/>
      <c r="GI59" s="160"/>
      <c r="GJ59" s="160"/>
      <c r="GK59" s="160"/>
      <c r="GL59" s="160"/>
      <c r="GM59" s="160"/>
      <c r="GN59" s="160"/>
      <c r="GO59" s="160"/>
      <c r="GP59" s="160"/>
      <c r="GQ59" s="160"/>
      <c r="GR59" s="160"/>
      <c r="GS59" s="160"/>
      <c r="GT59" s="160"/>
      <c r="GU59" s="160"/>
      <c r="GV59" s="160"/>
      <c r="GW59" s="160"/>
      <c r="GX59" s="160"/>
      <c r="GY59" s="160"/>
      <c r="GZ59" s="160"/>
      <c r="HA59" s="160"/>
      <c r="HB59" s="160"/>
      <c r="HC59" s="160"/>
      <c r="HD59" s="160"/>
      <c r="HE59" s="160"/>
      <c r="HF59" s="160"/>
      <c r="HG59" s="160"/>
      <c r="HH59" s="160"/>
      <c r="HI59" s="160"/>
      <c r="HJ59" s="160"/>
      <c r="HK59" s="160"/>
      <c r="HL59" s="160"/>
      <c r="HM59" s="160"/>
      <c r="HN59" s="160"/>
      <c r="HO59" s="160"/>
      <c r="HP59" s="160"/>
      <c r="HQ59" s="160"/>
      <c r="HR59" s="160"/>
      <c r="HS59" s="160"/>
      <c r="HT59" s="160"/>
      <c r="HU59" s="160"/>
      <c r="HV59" s="160"/>
      <c r="HW59" s="160"/>
      <c r="HX59" s="160"/>
      <c r="HY59" s="160"/>
      <c r="HZ59" s="160"/>
      <c r="IA59" s="160"/>
      <c r="IB59" s="160"/>
      <c r="IC59" s="160"/>
      <c r="ID59" s="160"/>
      <c r="IE59" s="160"/>
      <c r="IF59" s="160"/>
      <c r="IG59" s="160"/>
      <c r="IH59" s="160"/>
      <c r="II59" s="160"/>
      <c r="IJ59" s="160"/>
      <c r="IK59" s="160"/>
      <c r="IL59" s="160"/>
      <c r="IM59" s="160"/>
      <c r="IN59" s="160"/>
      <c r="IO59" s="160"/>
      <c r="IP59" s="160"/>
      <c r="IQ59" s="160"/>
      <c r="IR59" s="160"/>
      <c r="IS59" s="160"/>
      <c r="IT59" s="160"/>
      <c r="IU59" s="160"/>
      <c r="IV59" s="160"/>
    </row>
    <row r="60" spans="1:256" ht="16.5">
      <c r="A60" s="426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160"/>
      <c r="BM60" s="160"/>
      <c r="BN60" s="160"/>
      <c r="BO60" s="160"/>
      <c r="BP60" s="160"/>
      <c r="BQ60" s="160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  <c r="CB60" s="160"/>
      <c r="CC60" s="160"/>
      <c r="CD60" s="160"/>
      <c r="CE60" s="160"/>
      <c r="CF60" s="160"/>
      <c r="CG60" s="160"/>
      <c r="CH60" s="160"/>
      <c r="CI60" s="160"/>
      <c r="CJ60" s="160"/>
      <c r="CK60" s="160"/>
      <c r="CL60" s="160"/>
      <c r="CM60" s="160"/>
      <c r="CN60" s="160"/>
      <c r="CO60" s="160"/>
      <c r="CP60" s="160"/>
      <c r="CQ60" s="160"/>
      <c r="CR60" s="160"/>
      <c r="CS60" s="160"/>
      <c r="CT60" s="160"/>
      <c r="CU60" s="160"/>
      <c r="CV60" s="160"/>
      <c r="CW60" s="160"/>
      <c r="CX60" s="160"/>
      <c r="CY60" s="160"/>
      <c r="CZ60" s="160"/>
      <c r="DA60" s="160"/>
      <c r="DB60" s="160"/>
      <c r="DC60" s="160"/>
      <c r="DD60" s="160"/>
      <c r="DE60" s="160"/>
      <c r="DF60" s="160"/>
      <c r="DG60" s="160"/>
      <c r="DH60" s="160"/>
      <c r="DI60" s="160"/>
      <c r="DJ60" s="160"/>
      <c r="DK60" s="160"/>
      <c r="DL60" s="160"/>
      <c r="DM60" s="160"/>
      <c r="DN60" s="160"/>
      <c r="DO60" s="160"/>
      <c r="DP60" s="160"/>
      <c r="DQ60" s="160"/>
      <c r="DR60" s="160"/>
      <c r="DS60" s="160"/>
      <c r="DT60" s="160"/>
      <c r="DU60" s="160"/>
      <c r="DV60" s="160"/>
      <c r="DW60" s="160"/>
      <c r="DX60" s="160"/>
      <c r="DY60" s="160"/>
      <c r="DZ60" s="160"/>
      <c r="EA60" s="160"/>
      <c r="EB60" s="160"/>
      <c r="EC60" s="160"/>
      <c r="ED60" s="160"/>
      <c r="EE60" s="160"/>
      <c r="EF60" s="160"/>
      <c r="EG60" s="160"/>
      <c r="EH60" s="160"/>
      <c r="EI60" s="160"/>
      <c r="EJ60" s="160"/>
      <c r="EK60" s="160"/>
      <c r="EL60" s="160"/>
      <c r="EM60" s="160"/>
      <c r="EN60" s="160"/>
      <c r="EO60" s="160"/>
      <c r="EP60" s="160"/>
      <c r="EQ60" s="160"/>
      <c r="ER60" s="160"/>
      <c r="ES60" s="160"/>
      <c r="ET60" s="160"/>
      <c r="EU60" s="160"/>
      <c r="EV60" s="160"/>
      <c r="EW60" s="160"/>
      <c r="EX60" s="160"/>
      <c r="EY60" s="160"/>
      <c r="EZ60" s="160"/>
      <c r="FA60" s="160"/>
      <c r="FB60" s="160"/>
      <c r="FC60" s="160"/>
      <c r="FD60" s="160"/>
      <c r="FE60" s="160"/>
      <c r="FF60" s="160"/>
      <c r="FG60" s="160"/>
      <c r="FH60" s="160"/>
      <c r="FI60" s="160"/>
      <c r="FJ60" s="160"/>
      <c r="FK60" s="160"/>
      <c r="FL60" s="160"/>
      <c r="FM60" s="160"/>
      <c r="FN60" s="160"/>
      <c r="FO60" s="160"/>
      <c r="FP60" s="160"/>
      <c r="FQ60" s="160"/>
      <c r="FR60" s="160"/>
      <c r="FS60" s="160"/>
      <c r="FT60" s="160"/>
      <c r="FU60" s="160"/>
      <c r="FV60" s="160"/>
      <c r="FW60" s="160"/>
      <c r="FX60" s="160"/>
      <c r="FY60" s="160"/>
      <c r="FZ60" s="160"/>
      <c r="GA60" s="160"/>
      <c r="GB60" s="160"/>
      <c r="GC60" s="160"/>
      <c r="GD60" s="160"/>
      <c r="GE60" s="160"/>
      <c r="GF60" s="160"/>
      <c r="GG60" s="160"/>
      <c r="GH60" s="160"/>
      <c r="GI60" s="160"/>
      <c r="GJ60" s="160"/>
      <c r="GK60" s="160"/>
      <c r="GL60" s="160"/>
      <c r="GM60" s="160"/>
      <c r="GN60" s="160"/>
      <c r="GO60" s="160"/>
      <c r="GP60" s="160"/>
      <c r="GQ60" s="160"/>
      <c r="GR60" s="160"/>
      <c r="GS60" s="160"/>
      <c r="GT60" s="160"/>
      <c r="GU60" s="160"/>
      <c r="GV60" s="160"/>
      <c r="GW60" s="160"/>
      <c r="GX60" s="160"/>
      <c r="GY60" s="160"/>
      <c r="GZ60" s="160"/>
      <c r="HA60" s="160"/>
      <c r="HB60" s="160"/>
      <c r="HC60" s="160"/>
      <c r="HD60" s="160"/>
      <c r="HE60" s="160"/>
      <c r="HF60" s="160"/>
      <c r="HG60" s="160"/>
      <c r="HH60" s="160"/>
      <c r="HI60" s="160"/>
      <c r="HJ60" s="160"/>
      <c r="HK60" s="160"/>
      <c r="HL60" s="160"/>
      <c r="HM60" s="160"/>
      <c r="HN60" s="160"/>
      <c r="HO60" s="160"/>
      <c r="HP60" s="160"/>
      <c r="HQ60" s="160"/>
      <c r="HR60" s="160"/>
      <c r="HS60" s="160"/>
      <c r="HT60" s="160"/>
      <c r="HU60" s="160"/>
      <c r="HV60" s="160"/>
      <c r="HW60" s="160"/>
      <c r="HX60" s="160"/>
      <c r="HY60" s="160"/>
      <c r="HZ60" s="160"/>
      <c r="IA60" s="160"/>
      <c r="IB60" s="160"/>
      <c r="IC60" s="160"/>
      <c r="ID60" s="160"/>
      <c r="IE60" s="160"/>
      <c r="IF60" s="160"/>
      <c r="IG60" s="160"/>
      <c r="IH60" s="160"/>
      <c r="II60" s="160"/>
      <c r="IJ60" s="160"/>
      <c r="IK60" s="160"/>
      <c r="IL60" s="160"/>
      <c r="IM60" s="160"/>
      <c r="IN60" s="160"/>
      <c r="IO60" s="160"/>
      <c r="IP60" s="160"/>
      <c r="IQ60" s="160"/>
      <c r="IR60" s="160"/>
      <c r="IS60" s="160"/>
      <c r="IT60" s="160"/>
      <c r="IU60" s="160"/>
      <c r="IV60" s="160"/>
    </row>
    <row r="61" spans="1:256" ht="16.5">
      <c r="A61" s="426"/>
      <c r="B61" s="163" t="s">
        <v>250</v>
      </c>
      <c r="C61" s="160"/>
      <c r="D61" s="163" t="s">
        <v>250</v>
      </c>
      <c r="E61" s="160"/>
      <c r="F61" s="160"/>
      <c r="G61" s="160"/>
      <c r="H61" s="160"/>
      <c r="I61" s="163" t="s">
        <v>250</v>
      </c>
      <c r="J61" s="160"/>
      <c r="K61" s="160"/>
      <c r="L61" s="160"/>
      <c r="M61" s="160"/>
      <c r="N61" s="163" t="s">
        <v>250</v>
      </c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  <c r="BM61" s="160"/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  <c r="CB61" s="160"/>
      <c r="CC61" s="160"/>
      <c r="CD61" s="160"/>
      <c r="CE61" s="160"/>
      <c r="CF61" s="160"/>
      <c r="CG61" s="160"/>
      <c r="CH61" s="160"/>
      <c r="CI61" s="160"/>
      <c r="CJ61" s="160"/>
      <c r="CK61" s="160"/>
      <c r="CL61" s="160"/>
      <c r="CM61" s="160"/>
      <c r="CN61" s="160"/>
      <c r="CO61" s="160"/>
      <c r="CP61" s="160"/>
      <c r="CQ61" s="160"/>
      <c r="CR61" s="160"/>
      <c r="CS61" s="160"/>
      <c r="CT61" s="160"/>
      <c r="CU61" s="160"/>
      <c r="CV61" s="160"/>
      <c r="CW61" s="160"/>
      <c r="CX61" s="160"/>
      <c r="CY61" s="160"/>
      <c r="CZ61" s="160"/>
      <c r="DA61" s="160"/>
      <c r="DB61" s="160"/>
      <c r="DC61" s="160"/>
      <c r="DD61" s="160"/>
      <c r="DE61" s="160"/>
      <c r="DF61" s="160"/>
      <c r="DG61" s="160"/>
      <c r="DH61" s="160"/>
      <c r="DI61" s="160"/>
      <c r="DJ61" s="160"/>
      <c r="DK61" s="160"/>
      <c r="DL61" s="160"/>
      <c r="DM61" s="160"/>
      <c r="DN61" s="160"/>
      <c r="DO61" s="160"/>
      <c r="DP61" s="160"/>
      <c r="DQ61" s="160"/>
      <c r="DR61" s="160"/>
      <c r="DS61" s="160"/>
      <c r="DT61" s="160"/>
      <c r="DU61" s="160"/>
      <c r="DV61" s="160"/>
      <c r="DW61" s="160"/>
      <c r="DX61" s="160"/>
      <c r="DY61" s="160"/>
      <c r="DZ61" s="160"/>
      <c r="EA61" s="160"/>
      <c r="EB61" s="160"/>
      <c r="EC61" s="160"/>
      <c r="ED61" s="160"/>
      <c r="EE61" s="160"/>
      <c r="EF61" s="160"/>
      <c r="EG61" s="160"/>
      <c r="EH61" s="160"/>
      <c r="EI61" s="160"/>
      <c r="EJ61" s="160"/>
      <c r="EK61" s="160"/>
      <c r="EL61" s="160"/>
      <c r="EM61" s="160"/>
      <c r="EN61" s="160"/>
      <c r="EO61" s="160"/>
      <c r="EP61" s="160"/>
      <c r="EQ61" s="160"/>
      <c r="ER61" s="160"/>
      <c r="ES61" s="160"/>
      <c r="ET61" s="160"/>
      <c r="EU61" s="160"/>
      <c r="EV61" s="160"/>
      <c r="EW61" s="160"/>
      <c r="EX61" s="160"/>
      <c r="EY61" s="160"/>
      <c r="EZ61" s="160"/>
      <c r="FA61" s="160"/>
      <c r="FB61" s="160"/>
      <c r="FC61" s="160"/>
      <c r="FD61" s="160"/>
      <c r="FE61" s="160"/>
      <c r="FF61" s="160"/>
      <c r="FG61" s="160"/>
      <c r="FH61" s="160"/>
      <c r="FI61" s="160"/>
      <c r="FJ61" s="160"/>
      <c r="FK61" s="160"/>
      <c r="FL61" s="160"/>
      <c r="FM61" s="160"/>
      <c r="FN61" s="160"/>
      <c r="FO61" s="160"/>
      <c r="FP61" s="160"/>
      <c r="FQ61" s="160"/>
      <c r="FR61" s="160"/>
      <c r="FS61" s="160"/>
      <c r="FT61" s="160"/>
      <c r="FU61" s="160"/>
      <c r="FV61" s="160"/>
      <c r="FW61" s="160"/>
      <c r="FX61" s="160"/>
      <c r="FY61" s="160"/>
      <c r="FZ61" s="160"/>
      <c r="GA61" s="160"/>
      <c r="GB61" s="160"/>
      <c r="GC61" s="160"/>
      <c r="GD61" s="160"/>
      <c r="GE61" s="160"/>
      <c r="GF61" s="160"/>
      <c r="GG61" s="160"/>
      <c r="GH61" s="160"/>
      <c r="GI61" s="160"/>
      <c r="GJ61" s="160"/>
      <c r="GK61" s="160"/>
      <c r="GL61" s="160"/>
      <c r="GM61" s="160"/>
      <c r="GN61" s="160"/>
      <c r="GO61" s="160"/>
      <c r="GP61" s="160"/>
      <c r="GQ61" s="160"/>
      <c r="GR61" s="160"/>
      <c r="GS61" s="160"/>
      <c r="GT61" s="160"/>
      <c r="GU61" s="160"/>
      <c r="GV61" s="160"/>
      <c r="GW61" s="160"/>
      <c r="GX61" s="160"/>
      <c r="GY61" s="160"/>
      <c r="GZ61" s="160"/>
      <c r="HA61" s="160"/>
      <c r="HB61" s="160"/>
      <c r="HC61" s="160"/>
      <c r="HD61" s="160"/>
      <c r="HE61" s="160"/>
      <c r="HF61" s="160"/>
      <c r="HG61" s="160"/>
      <c r="HH61" s="160"/>
      <c r="HI61" s="160"/>
      <c r="HJ61" s="160"/>
      <c r="HK61" s="160"/>
      <c r="HL61" s="160"/>
      <c r="HM61" s="160"/>
      <c r="HN61" s="160"/>
      <c r="HO61" s="160"/>
      <c r="HP61" s="160"/>
      <c r="HQ61" s="160"/>
      <c r="HR61" s="160"/>
      <c r="HS61" s="160"/>
      <c r="HT61" s="160"/>
      <c r="HU61" s="160"/>
      <c r="HV61" s="160"/>
      <c r="HW61" s="160"/>
      <c r="HX61" s="160"/>
      <c r="HY61" s="160"/>
      <c r="HZ61" s="160"/>
      <c r="IA61" s="160"/>
      <c r="IB61" s="160"/>
      <c r="IC61" s="160"/>
      <c r="ID61" s="160"/>
      <c r="IE61" s="160"/>
      <c r="IF61" s="160"/>
      <c r="IG61" s="160"/>
      <c r="IH61" s="160"/>
      <c r="II61" s="160"/>
      <c r="IJ61" s="160"/>
      <c r="IK61" s="160"/>
      <c r="IL61" s="160"/>
      <c r="IM61" s="160"/>
      <c r="IN61" s="160"/>
      <c r="IO61" s="160"/>
      <c r="IP61" s="160"/>
      <c r="IQ61" s="160"/>
      <c r="IR61" s="160"/>
      <c r="IS61" s="160"/>
      <c r="IT61" s="160"/>
      <c r="IU61" s="160"/>
      <c r="IV61" s="160"/>
    </row>
    <row r="62" spans="1:256" ht="16.5">
      <c r="A62" s="426"/>
      <c r="B62" s="162" t="s">
        <v>249</v>
      </c>
      <c r="C62" s="160"/>
      <c r="D62" s="162" t="s">
        <v>248</v>
      </c>
      <c r="E62" s="160"/>
      <c r="F62" s="160"/>
      <c r="G62" s="160"/>
      <c r="H62" s="160"/>
      <c r="I62" s="162" t="s">
        <v>247</v>
      </c>
      <c r="J62" s="160"/>
      <c r="K62" s="160"/>
      <c r="L62" s="160"/>
      <c r="M62" s="160"/>
      <c r="N62" s="162" t="s">
        <v>246</v>
      </c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60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B62" s="160"/>
      <c r="CC62" s="160"/>
      <c r="CD62" s="160"/>
      <c r="CE62" s="160"/>
      <c r="CF62" s="160"/>
      <c r="CG62" s="160"/>
      <c r="CH62" s="160"/>
      <c r="CI62" s="160"/>
      <c r="CJ62" s="160"/>
      <c r="CK62" s="160"/>
      <c r="CL62" s="160"/>
      <c r="CM62" s="160"/>
      <c r="CN62" s="160"/>
      <c r="CO62" s="160"/>
      <c r="CP62" s="160"/>
      <c r="CQ62" s="160"/>
      <c r="CR62" s="160"/>
      <c r="CS62" s="160"/>
      <c r="CT62" s="160"/>
      <c r="CU62" s="160"/>
      <c r="CV62" s="160"/>
      <c r="CW62" s="160"/>
      <c r="CX62" s="160"/>
      <c r="CY62" s="160"/>
      <c r="CZ62" s="160"/>
      <c r="DA62" s="160"/>
      <c r="DB62" s="160"/>
      <c r="DC62" s="160"/>
      <c r="DD62" s="160"/>
      <c r="DE62" s="160"/>
      <c r="DF62" s="160"/>
      <c r="DG62" s="160"/>
      <c r="DH62" s="160"/>
      <c r="DI62" s="160"/>
      <c r="DJ62" s="160"/>
      <c r="DK62" s="160"/>
      <c r="DL62" s="160"/>
      <c r="DM62" s="160"/>
      <c r="DN62" s="160"/>
      <c r="DO62" s="160"/>
      <c r="DP62" s="160"/>
      <c r="DQ62" s="160"/>
      <c r="DR62" s="160"/>
      <c r="DS62" s="160"/>
      <c r="DT62" s="160"/>
      <c r="DU62" s="160"/>
      <c r="DV62" s="160"/>
      <c r="DW62" s="160"/>
      <c r="DX62" s="160"/>
      <c r="DY62" s="160"/>
      <c r="DZ62" s="160"/>
      <c r="EA62" s="160"/>
      <c r="EB62" s="160"/>
      <c r="EC62" s="160"/>
      <c r="ED62" s="160"/>
      <c r="EE62" s="160"/>
      <c r="EF62" s="160"/>
      <c r="EG62" s="160"/>
      <c r="EH62" s="160"/>
      <c r="EI62" s="160"/>
      <c r="EJ62" s="160"/>
      <c r="EK62" s="160"/>
      <c r="EL62" s="160"/>
      <c r="EM62" s="160"/>
      <c r="EN62" s="160"/>
      <c r="EO62" s="160"/>
      <c r="EP62" s="160"/>
      <c r="EQ62" s="160"/>
      <c r="ER62" s="160"/>
      <c r="ES62" s="160"/>
      <c r="ET62" s="160"/>
      <c r="EU62" s="160"/>
      <c r="EV62" s="160"/>
      <c r="EW62" s="160"/>
      <c r="EX62" s="160"/>
      <c r="EY62" s="160"/>
      <c r="EZ62" s="160"/>
      <c r="FA62" s="160"/>
      <c r="FB62" s="160"/>
      <c r="FC62" s="160"/>
      <c r="FD62" s="160"/>
      <c r="FE62" s="160"/>
      <c r="FF62" s="160"/>
      <c r="FG62" s="160"/>
      <c r="FH62" s="160"/>
      <c r="FI62" s="160"/>
      <c r="FJ62" s="160"/>
      <c r="FK62" s="160"/>
      <c r="FL62" s="160"/>
      <c r="FM62" s="160"/>
      <c r="FN62" s="160"/>
      <c r="FO62" s="160"/>
      <c r="FP62" s="160"/>
      <c r="FQ62" s="160"/>
      <c r="FR62" s="160"/>
      <c r="FS62" s="160"/>
      <c r="FT62" s="160"/>
      <c r="FU62" s="160"/>
      <c r="FV62" s="160"/>
      <c r="FW62" s="160"/>
      <c r="FX62" s="160"/>
      <c r="FY62" s="160"/>
      <c r="FZ62" s="160"/>
      <c r="GA62" s="160"/>
      <c r="GB62" s="160"/>
      <c r="GC62" s="160"/>
      <c r="GD62" s="160"/>
      <c r="GE62" s="160"/>
      <c r="GF62" s="160"/>
      <c r="GG62" s="160"/>
      <c r="GH62" s="160"/>
      <c r="GI62" s="160"/>
      <c r="GJ62" s="160"/>
      <c r="GK62" s="160"/>
      <c r="GL62" s="160"/>
      <c r="GM62" s="160"/>
      <c r="GN62" s="160"/>
      <c r="GO62" s="160"/>
      <c r="GP62" s="160"/>
      <c r="GQ62" s="160"/>
      <c r="GR62" s="160"/>
      <c r="GS62" s="160"/>
      <c r="GT62" s="160"/>
      <c r="GU62" s="160"/>
      <c r="GV62" s="160"/>
      <c r="GW62" s="160"/>
      <c r="GX62" s="160"/>
      <c r="GY62" s="160"/>
      <c r="GZ62" s="160"/>
      <c r="HA62" s="160"/>
      <c r="HB62" s="160"/>
      <c r="HC62" s="160"/>
      <c r="HD62" s="160"/>
      <c r="HE62" s="160"/>
      <c r="HF62" s="160"/>
      <c r="HG62" s="160"/>
      <c r="HH62" s="160"/>
      <c r="HI62" s="160"/>
      <c r="HJ62" s="160"/>
      <c r="HK62" s="160"/>
      <c r="HL62" s="160"/>
      <c r="HM62" s="160"/>
      <c r="HN62" s="160"/>
      <c r="HO62" s="160"/>
      <c r="HP62" s="160"/>
      <c r="HQ62" s="160"/>
      <c r="HR62" s="160"/>
      <c r="HS62" s="160"/>
      <c r="HT62" s="160"/>
      <c r="HU62" s="160"/>
      <c r="HV62" s="160"/>
      <c r="HW62" s="160"/>
      <c r="HX62" s="160"/>
      <c r="HY62" s="160"/>
      <c r="HZ62" s="160"/>
      <c r="IA62" s="160"/>
      <c r="IB62" s="160"/>
      <c r="IC62" s="160"/>
      <c r="ID62" s="160"/>
      <c r="IE62" s="160"/>
      <c r="IF62" s="160"/>
      <c r="IG62" s="160"/>
      <c r="IH62" s="160"/>
      <c r="II62" s="160"/>
      <c r="IJ62" s="160"/>
      <c r="IK62" s="160"/>
      <c r="IL62" s="160"/>
      <c r="IM62" s="160"/>
      <c r="IN62" s="160"/>
      <c r="IO62" s="160"/>
      <c r="IP62" s="160"/>
      <c r="IQ62" s="160"/>
      <c r="IR62" s="160"/>
      <c r="IS62" s="160"/>
      <c r="IT62" s="160"/>
      <c r="IU62" s="160"/>
      <c r="IV62" s="160"/>
    </row>
    <row r="63" spans="1:256" ht="16.5">
      <c r="A63" s="426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  <c r="BL63" s="160"/>
      <c r="BM63" s="160"/>
      <c r="BN63" s="160"/>
      <c r="BO63" s="160"/>
      <c r="BP63" s="160"/>
      <c r="BQ63" s="160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  <c r="CB63" s="160"/>
      <c r="CC63" s="160"/>
      <c r="CD63" s="160"/>
      <c r="CE63" s="160"/>
      <c r="CF63" s="160"/>
      <c r="CG63" s="160"/>
      <c r="CH63" s="160"/>
      <c r="CI63" s="160"/>
      <c r="CJ63" s="160"/>
      <c r="CK63" s="160"/>
      <c r="CL63" s="160"/>
      <c r="CM63" s="160"/>
      <c r="CN63" s="160"/>
      <c r="CO63" s="160"/>
      <c r="CP63" s="160"/>
      <c r="CQ63" s="160"/>
      <c r="CR63" s="160"/>
      <c r="CS63" s="160"/>
      <c r="CT63" s="160"/>
      <c r="CU63" s="160"/>
      <c r="CV63" s="160"/>
      <c r="CW63" s="160"/>
      <c r="CX63" s="160"/>
      <c r="CY63" s="160"/>
      <c r="CZ63" s="160"/>
      <c r="DA63" s="160"/>
      <c r="DB63" s="160"/>
      <c r="DC63" s="160"/>
      <c r="DD63" s="160"/>
      <c r="DE63" s="160"/>
      <c r="DF63" s="160"/>
      <c r="DG63" s="160"/>
      <c r="DH63" s="160"/>
      <c r="DI63" s="160"/>
      <c r="DJ63" s="160"/>
      <c r="DK63" s="160"/>
      <c r="DL63" s="160"/>
      <c r="DM63" s="160"/>
      <c r="DN63" s="160"/>
      <c r="DO63" s="160"/>
      <c r="DP63" s="160"/>
      <c r="DQ63" s="160"/>
      <c r="DR63" s="160"/>
      <c r="DS63" s="160"/>
      <c r="DT63" s="160"/>
      <c r="DU63" s="160"/>
      <c r="DV63" s="160"/>
      <c r="DW63" s="160"/>
      <c r="DX63" s="160"/>
      <c r="DY63" s="160"/>
      <c r="DZ63" s="160"/>
      <c r="EA63" s="160"/>
      <c r="EB63" s="160"/>
      <c r="EC63" s="160"/>
      <c r="ED63" s="160"/>
      <c r="EE63" s="160"/>
      <c r="EF63" s="160"/>
      <c r="EG63" s="160"/>
      <c r="EH63" s="160"/>
      <c r="EI63" s="160"/>
      <c r="EJ63" s="160"/>
      <c r="EK63" s="160"/>
      <c r="EL63" s="160"/>
      <c r="EM63" s="160"/>
      <c r="EN63" s="160"/>
      <c r="EO63" s="160"/>
      <c r="EP63" s="160"/>
      <c r="EQ63" s="160"/>
      <c r="ER63" s="160"/>
      <c r="ES63" s="160"/>
      <c r="ET63" s="160"/>
      <c r="EU63" s="160"/>
      <c r="EV63" s="160"/>
      <c r="EW63" s="160"/>
      <c r="EX63" s="160"/>
      <c r="EY63" s="160"/>
      <c r="EZ63" s="160"/>
      <c r="FA63" s="160"/>
      <c r="FB63" s="160"/>
      <c r="FC63" s="160"/>
      <c r="FD63" s="160"/>
      <c r="FE63" s="160"/>
      <c r="FF63" s="160"/>
      <c r="FG63" s="160"/>
      <c r="FH63" s="160"/>
      <c r="FI63" s="160"/>
      <c r="FJ63" s="160"/>
      <c r="FK63" s="160"/>
      <c r="FL63" s="160"/>
      <c r="FM63" s="160"/>
      <c r="FN63" s="160"/>
      <c r="FO63" s="160"/>
      <c r="FP63" s="160"/>
      <c r="FQ63" s="160"/>
      <c r="FR63" s="160"/>
      <c r="FS63" s="160"/>
      <c r="FT63" s="160"/>
      <c r="FU63" s="160"/>
      <c r="FV63" s="160"/>
      <c r="FW63" s="160"/>
      <c r="FX63" s="160"/>
      <c r="FY63" s="160"/>
      <c r="FZ63" s="160"/>
      <c r="GA63" s="160"/>
      <c r="GB63" s="160"/>
      <c r="GC63" s="160"/>
      <c r="GD63" s="160"/>
      <c r="GE63" s="160"/>
      <c r="GF63" s="160"/>
      <c r="GG63" s="160"/>
      <c r="GH63" s="160"/>
      <c r="GI63" s="160"/>
      <c r="GJ63" s="160"/>
      <c r="GK63" s="160"/>
      <c r="GL63" s="160"/>
      <c r="GM63" s="160"/>
      <c r="GN63" s="160"/>
      <c r="GO63" s="160"/>
      <c r="GP63" s="160"/>
      <c r="GQ63" s="160"/>
      <c r="GR63" s="160"/>
      <c r="GS63" s="160"/>
      <c r="GT63" s="160"/>
      <c r="GU63" s="160"/>
      <c r="GV63" s="160"/>
      <c r="GW63" s="160"/>
      <c r="GX63" s="160"/>
      <c r="GY63" s="160"/>
      <c r="GZ63" s="160"/>
      <c r="HA63" s="160"/>
      <c r="HB63" s="160"/>
      <c r="HC63" s="160"/>
      <c r="HD63" s="160"/>
      <c r="HE63" s="160"/>
      <c r="HF63" s="160"/>
      <c r="HG63" s="160"/>
      <c r="HH63" s="160"/>
      <c r="HI63" s="160"/>
      <c r="HJ63" s="160"/>
      <c r="HK63" s="160"/>
      <c r="HL63" s="160"/>
      <c r="HM63" s="160"/>
      <c r="HN63" s="160"/>
      <c r="HO63" s="160"/>
      <c r="HP63" s="160"/>
      <c r="HQ63" s="160"/>
      <c r="HR63" s="160"/>
      <c r="HS63" s="160"/>
      <c r="HT63" s="160"/>
      <c r="HU63" s="160"/>
      <c r="HV63" s="160"/>
      <c r="HW63" s="160"/>
      <c r="HX63" s="160"/>
      <c r="HY63" s="160"/>
      <c r="HZ63" s="160"/>
      <c r="IA63" s="160"/>
      <c r="IB63" s="160"/>
      <c r="IC63" s="160"/>
      <c r="ID63" s="160"/>
      <c r="IE63" s="160"/>
      <c r="IF63" s="160"/>
      <c r="IG63" s="160"/>
      <c r="IH63" s="160"/>
      <c r="II63" s="160"/>
      <c r="IJ63" s="160"/>
      <c r="IK63" s="160"/>
      <c r="IL63" s="160"/>
      <c r="IM63" s="160"/>
      <c r="IN63" s="160"/>
      <c r="IO63" s="160"/>
      <c r="IP63" s="160"/>
      <c r="IQ63" s="160"/>
      <c r="IR63" s="160"/>
      <c r="IS63" s="160"/>
      <c r="IT63" s="160"/>
      <c r="IU63" s="160"/>
      <c r="IV63" s="160"/>
    </row>
    <row r="64" spans="1:256" ht="16.5"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S64" s="160"/>
      <c r="T64" s="160"/>
      <c r="U64" s="160"/>
      <c r="V64" s="160"/>
    </row>
    <row r="65" spans="2:19">
      <c r="C65" s="226"/>
      <c r="E65" s="226"/>
      <c r="G65" s="226"/>
      <c r="I65" s="226"/>
      <c r="K65" s="226"/>
      <c r="M65" s="226"/>
      <c r="O65" s="226"/>
      <c r="Q65" s="226"/>
      <c r="S65" s="226"/>
    </row>
    <row r="68" spans="2:19">
      <c r="B68" s="158" t="s">
        <v>375</v>
      </c>
    </row>
    <row r="69" spans="2:19">
      <c r="B69" s="158" t="s">
        <v>376</v>
      </c>
    </row>
    <row r="70" spans="2:19">
      <c r="B70" s="443" t="s">
        <v>377</v>
      </c>
    </row>
    <row r="71" spans="2:19">
      <c r="B71" s="158" t="s">
        <v>378</v>
      </c>
    </row>
    <row r="72" spans="2:19">
      <c r="B72" s="158" t="s">
        <v>379</v>
      </c>
    </row>
    <row r="73" spans="2:19">
      <c r="B73" s="444" t="s">
        <v>380</v>
      </c>
    </row>
    <row r="74" spans="2:19">
      <c r="B74" s="445" t="s">
        <v>381</v>
      </c>
    </row>
    <row r="75" spans="2:19">
      <c r="B75" s="158" t="s">
        <v>382</v>
      </c>
    </row>
    <row r="76" spans="2:19">
      <c r="B76" s="158" t="s">
        <v>383</v>
      </c>
    </row>
    <row r="77" spans="2:19">
      <c r="B77" s="158" t="s">
        <v>384</v>
      </c>
    </row>
    <row r="78" spans="2:19">
      <c r="B78" s="158" t="s">
        <v>385</v>
      </c>
    </row>
    <row r="79" spans="2:19">
      <c r="B79" s="158" t="s">
        <v>386</v>
      </c>
    </row>
    <row r="80" spans="2:19">
      <c r="B80" s="158" t="s">
        <v>387</v>
      </c>
    </row>
    <row r="81" spans="2:2">
      <c r="B81" s="158" t="s">
        <v>388</v>
      </c>
    </row>
    <row r="82" spans="2:2">
      <c r="B82" s="158" t="s">
        <v>389</v>
      </c>
    </row>
    <row r="83" spans="2:2">
      <c r="B83" s="158" t="s">
        <v>390</v>
      </c>
    </row>
    <row r="84" spans="2:2">
      <c r="B84" s="158" t="s">
        <v>391</v>
      </c>
    </row>
    <row r="85" spans="2:2">
      <c r="B85" s="158" t="s">
        <v>392</v>
      </c>
    </row>
    <row r="86" spans="2:2">
      <c r="B86" s="445" t="s">
        <v>393</v>
      </c>
    </row>
    <row r="87" spans="2:2">
      <c r="B87" s="158" t="s">
        <v>394</v>
      </c>
    </row>
    <row r="88" spans="2:2">
      <c r="B88" s="158" t="s">
        <v>395</v>
      </c>
    </row>
    <row r="89" spans="2:2">
      <c r="B89" s="158" t="s">
        <v>396</v>
      </c>
    </row>
    <row r="90" spans="2:2">
      <c r="B90" s="158" t="s">
        <v>397</v>
      </c>
    </row>
    <row r="91" spans="2:2">
      <c r="B91" s="158" t="s">
        <v>398</v>
      </c>
    </row>
    <row r="92" spans="2:2">
      <c r="B92" s="158" t="s">
        <v>399</v>
      </c>
    </row>
    <row r="93" spans="2:2">
      <c r="B93" s="158" t="s">
        <v>400</v>
      </c>
    </row>
    <row r="94" spans="2:2">
      <c r="B94" s="158" t="s">
        <v>401</v>
      </c>
    </row>
    <row r="95" spans="2:2">
      <c r="B95" s="158" t="s">
        <v>402</v>
      </c>
    </row>
    <row r="96" spans="2:2">
      <c r="B96" s="158" t="s">
        <v>403</v>
      </c>
    </row>
    <row r="97" spans="2:2">
      <c r="B97" s="158" t="s">
        <v>404</v>
      </c>
    </row>
    <row r="98" spans="2:2">
      <c r="B98" s="158" t="s">
        <v>405</v>
      </c>
    </row>
    <row r="99" spans="2:2">
      <c r="B99" s="158" t="s">
        <v>406</v>
      </c>
    </row>
    <row r="100" spans="2:2">
      <c r="B100" s="158" t="s">
        <v>407</v>
      </c>
    </row>
    <row r="101" spans="2:2">
      <c r="B101" s="158" t="s">
        <v>408</v>
      </c>
    </row>
  </sheetData>
  <mergeCells count="25">
    <mergeCell ref="A1:V1"/>
    <mergeCell ref="A2:V2"/>
    <mergeCell ref="A4:V4"/>
    <mergeCell ref="A5:V5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A3:V3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A31989"/>
  </sheetPr>
  <dimension ref="A1:W175"/>
  <sheetViews>
    <sheetView showGridLines="0" topLeftCell="A112" zoomScale="80" zoomScaleNormal="80" workbookViewId="0">
      <selection activeCell="B7" sqref="B7"/>
    </sheetView>
  </sheetViews>
  <sheetFormatPr baseColWidth="10" defaultRowHeight="12.75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0" width="14" bestFit="1" customWidth="1"/>
    <col min="11" max="11" width="16.85546875" customWidth="1"/>
    <col min="12" max="12" width="13" bestFit="1" customWidth="1"/>
    <col min="13" max="13" width="15" bestFit="1" customWidth="1"/>
    <col min="14" max="14" width="14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3" ht="16.5">
      <c r="A1" s="675" t="s">
        <v>245</v>
      </c>
    </row>
    <row r="2" spans="1:13">
      <c r="A2" s="157"/>
    </row>
    <row r="3" spans="1:13" ht="16.5">
      <c r="A3" s="674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68" t="s">
        <v>141</v>
      </c>
      <c r="K3" s="668" t="s">
        <v>142</v>
      </c>
      <c r="L3" s="668" t="s">
        <v>143</v>
      </c>
      <c r="M3" s="146" t="s">
        <v>20</v>
      </c>
    </row>
    <row r="4" spans="1:13" ht="16.5">
      <c r="A4" s="672" t="s">
        <v>28</v>
      </c>
      <c r="B4" s="670">
        <f>SUM(Anx16AMN!C15:'Anx16AMN'!C18)</f>
        <v>1134986.94</v>
      </c>
      <c r="C4" s="670">
        <f>SUM(Anx16AMN!D15:'Anx16AMN'!D18)</f>
        <v>1076474.43</v>
      </c>
      <c r="D4" s="670">
        <f>SUM(Anx16AMN!E15:'Anx16AMN'!E18)</f>
        <v>1320746.8399999999</v>
      </c>
      <c r="E4" s="670">
        <f>SUM(Anx16AMN!F15:'Anx16AMN'!F18)</f>
        <v>1336861.05</v>
      </c>
      <c r="F4" s="670">
        <f>SUM(Anx16AMN!G15:'Anx16AMN'!G18)</f>
        <v>803312.63</v>
      </c>
      <c r="G4" s="670">
        <f>SUM(Anx16AMN!H15:'Anx16AMN'!H18)</f>
        <v>3176463.16</v>
      </c>
      <c r="H4" s="670">
        <f>SUM(Anx16AMN!I15:'Anx16AMN'!I18)</f>
        <v>3379907.98</v>
      </c>
      <c r="I4" s="670">
        <f>SUM(Anx16AMN!J15:'Anx16AMN'!J18)</f>
        <v>4734138.79</v>
      </c>
      <c r="J4" s="670">
        <f>SUM(Anx16AMN!K15:'Anx16AMN'!K18)</f>
        <v>11676540.710000001</v>
      </c>
      <c r="K4" s="670">
        <f>SUM(Anx16AMN!L15:'Anx16AMN'!L18)</f>
        <v>18686307.810000002</v>
      </c>
      <c r="L4" s="670">
        <f>SUM(Anx16AMN!M15:'Anx16AMN'!M18)</f>
        <v>3981130.26</v>
      </c>
      <c r="M4" s="670">
        <f>SUM(B4:L4)</f>
        <v>51306870.600000001</v>
      </c>
    </row>
    <row r="5" spans="1:13" ht="16.5">
      <c r="A5" s="673" t="s">
        <v>30</v>
      </c>
      <c r="B5" s="670">
        <f>SUM(Anx16AMN!C29:'Anx16AMN'!C30)</f>
        <v>9453846.1999999993</v>
      </c>
      <c r="C5" s="670">
        <f>SUM(Anx16AMN!D29:'Anx16AMN'!D30)</f>
        <v>10404170.449999999</v>
      </c>
      <c r="D5" s="670">
        <f>SUM(Anx16AMN!E29:'Anx16AMN'!E30)</f>
        <v>10415990.27</v>
      </c>
      <c r="E5" s="670">
        <f>SUM(Anx16AMN!F29:'Anx16AMN'!F30)</f>
        <v>10514159.33</v>
      </c>
      <c r="F5" s="670">
        <f>SUM(Anx16AMN!G29:'Anx16AMN'!G30)</f>
        <v>10362387.649999999</v>
      </c>
      <c r="G5" s="670">
        <f>SUM(Anx16AMN!H29:'Anx16AMN'!H30)</f>
        <v>9955853.1499999985</v>
      </c>
      <c r="H5" s="670">
        <f>SUM(Anx16AMN!I29:'Anx16AMN'!I30)</f>
        <v>26364640.329999998</v>
      </c>
      <c r="I5" s="670">
        <f>SUM(Anx16AMN!J29:'Anx16AMN'!J30)</f>
        <v>20765606.920000002</v>
      </c>
      <c r="J5" s="670">
        <f>SUM(Anx16AMN!K29:'Anx16AMN'!K30)</f>
        <v>48302975.760000005</v>
      </c>
      <c r="K5" s="670">
        <f>SUM(Anx16AMN!L29:'Anx16AMN'!L30)</f>
        <v>36649034.439999998</v>
      </c>
      <c r="L5" s="670">
        <f>SUM(Anx16AMN!M29:'Anx16AMN'!M30)</f>
        <v>3348812.05</v>
      </c>
      <c r="M5" s="670">
        <f>SUM(B5:L5)</f>
        <v>196537476.55000001</v>
      </c>
    </row>
    <row r="6" spans="1:13" ht="16.5">
      <c r="A6" s="673" t="s">
        <v>32</v>
      </c>
      <c r="B6" s="670">
        <f>SUM(Anx16AMN!C37:'Anx16AMN'!C37)</f>
        <v>137525.76000000001</v>
      </c>
      <c r="C6" s="670">
        <f>SUM(Anx16AMN!D37:'Anx16AMN'!D37)</f>
        <v>164492.59</v>
      </c>
      <c r="D6" s="670">
        <f>SUM(Anx16AMN!E37:'Anx16AMN'!E37)</f>
        <v>150696.46</v>
      </c>
      <c r="E6" s="670">
        <f>SUM(Anx16AMN!F37:'Anx16AMN'!F37)</f>
        <v>169665.67</v>
      </c>
      <c r="F6" s="670">
        <f>SUM(Anx16AMN!G37:'Anx16AMN'!G37)</f>
        <v>169473.13</v>
      </c>
      <c r="G6" s="670">
        <f>SUM(Anx16AMN!H37:'Anx16AMN'!H37)</f>
        <v>162770.29999999999</v>
      </c>
      <c r="H6" s="670">
        <f>SUM(Anx16AMN!I37:'Anx16AMN'!I37)</f>
        <v>523727.75</v>
      </c>
      <c r="I6" s="670">
        <f>SUM(Anx16AMN!J37:'Anx16AMN'!J37)</f>
        <v>513517.39</v>
      </c>
      <c r="J6" s="670">
        <f>SUM(Anx16AMN!K37:'Anx16AMN'!K37)</f>
        <v>2098675.4900000002</v>
      </c>
      <c r="K6" s="670">
        <f>SUM(Anx16AMN!L37:'Anx16AMN'!L37)</f>
        <v>5151358.8</v>
      </c>
      <c r="L6" s="670">
        <f>SUM(Anx16AMN!M37:'Anx16AMN'!M37)</f>
        <v>5659613.3399999999</v>
      </c>
      <c r="M6" s="670">
        <f>SUM(B6:L6)</f>
        <v>14901516.68</v>
      </c>
    </row>
    <row r="7" spans="1:13" ht="16.5">
      <c r="A7" s="673" t="s">
        <v>34</v>
      </c>
      <c r="B7" s="670">
        <f>SUM(Anx16AMN!C41:'Anx16AMN'!C41)</f>
        <v>9096513.1500000004</v>
      </c>
      <c r="C7" s="670">
        <f>SUM(Anx16AMN!D41:'Anx16AMN'!D41)</f>
        <v>3539611.28</v>
      </c>
      <c r="D7" s="670">
        <f>SUM(Anx16AMN!E41:'Anx16AMN'!E41)</f>
        <v>3437979.93</v>
      </c>
      <c r="E7" s="670">
        <f>SUM(Anx16AMN!F41:'Anx16AMN'!F41)</f>
        <v>3490643.15</v>
      </c>
      <c r="F7" s="670">
        <f>SUM(Anx16AMN!G41:'Anx16AMN'!G41)</f>
        <v>3297477.77</v>
      </c>
      <c r="G7" s="670">
        <f>SUM(Anx16AMN!H41:'Anx16AMN'!H41)</f>
        <v>3163099.15</v>
      </c>
      <c r="H7" s="670">
        <f>SUM(Anx16AMN!I41:'Anx16AMN'!I41)</f>
        <v>8940600.25</v>
      </c>
      <c r="I7" s="670">
        <f>SUM(Anx16AMN!J41:'Anx16AMN'!J41)</f>
        <v>7749187.2599999998</v>
      </c>
      <c r="J7" s="670">
        <f>SUM(Anx16AMN!K41:'Anx16AMN'!K41)</f>
        <v>22566894.559999999</v>
      </c>
      <c r="K7" s="670">
        <f>SUM(Anx16AMN!L41:'Anx16AMN'!L41)</f>
        <v>31865252.91</v>
      </c>
      <c r="L7" s="670">
        <f>SUM(Anx16AMN!M41:'Anx16AMN'!M41)</f>
        <v>2374298.63</v>
      </c>
      <c r="M7" s="670">
        <f>SUM(B7:L7)</f>
        <v>99521558.039999977</v>
      </c>
    </row>
    <row r="10" spans="1:13" ht="16.5">
      <c r="A10" s="674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68" t="s">
        <v>141</v>
      </c>
      <c r="K10" s="668" t="s">
        <v>142</v>
      </c>
      <c r="L10" s="668" t="s">
        <v>143</v>
      </c>
      <c r="M10" s="146" t="s">
        <v>20</v>
      </c>
    </row>
    <row r="11" spans="1:13" ht="16.5">
      <c r="A11" s="672" t="s">
        <v>28</v>
      </c>
      <c r="B11" s="670">
        <f>SUM(Anx16AME!C15:'Anx16AME'!C18)</f>
        <v>3243.86</v>
      </c>
      <c r="C11" s="670">
        <f>SUM(Anx16AME!D15:'Anx16AME'!D18)</f>
        <v>6042.41</v>
      </c>
      <c r="D11" s="670">
        <f>SUM(Anx16AME!E15:'Anx16AME'!E18)</f>
        <v>6046.19</v>
      </c>
      <c r="E11" s="670">
        <f>SUM(Anx16AME!F15:'Anx16AME'!F18)</f>
        <v>6124.35</v>
      </c>
      <c r="F11" s="670">
        <f>SUM(Anx16AME!G15:'Anx16AME'!G18)</f>
        <v>3102.45</v>
      </c>
      <c r="G11" s="670">
        <f>SUM(Anx16AME!H15:'Anx16AME'!H18)</f>
        <v>8079.13</v>
      </c>
      <c r="H11" s="670">
        <f>SUM(Anx16AME!I15:'Anx16AME'!I18)</f>
        <v>24722.22</v>
      </c>
      <c r="I11" s="670">
        <f>SUM(Anx16AME!J15:'Anx16AME'!J18)</f>
        <v>25343.77</v>
      </c>
      <c r="J11" s="670">
        <f>SUM(Anx16AME!K15:'Anx16AME'!K18)</f>
        <v>70541.850000000006</v>
      </c>
      <c r="K11" s="670">
        <f>SUM(Anx16AME!L15:'Anx16AME'!L18)</f>
        <v>146845.89000000001</v>
      </c>
      <c r="L11" s="670">
        <f>SUM(Anx16AME!M15:'Anx16AME'!M18)</f>
        <v>0</v>
      </c>
      <c r="M11" s="670">
        <f>SUM(B11:L11)</f>
        <v>300092.12</v>
      </c>
    </row>
    <row r="12" spans="1:13" ht="16.5">
      <c r="A12" s="672" t="s">
        <v>30</v>
      </c>
      <c r="B12" s="670">
        <f>SUM(Anx16AME!C29:'Anx16AME'!C30)</f>
        <v>1883.77</v>
      </c>
      <c r="C12" s="670">
        <f>SUM(Anx16AME!D29:'Anx16AME'!D30)</f>
        <v>1914.61</v>
      </c>
      <c r="D12" s="670">
        <f>SUM(Anx16AME!E29:'Anx16AME'!E30)</f>
        <v>1938.73</v>
      </c>
      <c r="E12" s="670">
        <f>SUM(Anx16AME!F29:'Anx16AME'!F30)</f>
        <v>2188.15</v>
      </c>
      <c r="F12" s="670">
        <f>SUM(Anx16AME!G29:'Anx16AME'!G30)</f>
        <v>2008.35</v>
      </c>
      <c r="G12" s="670">
        <f>SUM(Anx16AME!H29:'Anx16AME'!H30)</f>
        <v>216.61</v>
      </c>
      <c r="H12" s="670">
        <f>SUM(Anx16AME!I29:'Anx16AME'!I30)</f>
        <v>678.4</v>
      </c>
      <c r="I12" s="670">
        <f>SUM(Anx16AME!J29:'Anx16AME'!J30)</f>
        <v>706.35</v>
      </c>
      <c r="J12" s="670">
        <f>SUM(Anx16AME!K29:'Anx16AME'!K30)</f>
        <v>3017.45</v>
      </c>
      <c r="K12" s="670">
        <f>SUM(Anx16AME!L29:'Anx16AME'!L30)</f>
        <v>11261.92</v>
      </c>
      <c r="L12" s="670">
        <f>SUM(Anx16AME!M29:'Anx16AME'!M30)</f>
        <v>5785.93</v>
      </c>
      <c r="M12" s="670">
        <f>SUM(B12:L12)</f>
        <v>31600.270000000004</v>
      </c>
    </row>
    <row r="13" spans="1:13" ht="16.5">
      <c r="A13" s="672" t="s">
        <v>32</v>
      </c>
      <c r="B13" s="670">
        <f>SUM(Anx16AME!C37:'Anx16AME'!C37)</f>
        <v>6725.48</v>
      </c>
      <c r="C13" s="670">
        <f>SUM(Anx16AME!D37:'Anx16AME'!D37)</f>
        <v>832.65</v>
      </c>
      <c r="D13" s="670">
        <f>SUM(Anx16AME!E37:'Anx16AME'!E37)</f>
        <v>0</v>
      </c>
      <c r="E13" s="670">
        <f>SUM(Anx16AME!F37:'Anx16AME'!F37)</f>
        <v>0</v>
      </c>
      <c r="F13" s="670">
        <f>SUM(Anx16AME!G37:'Anx16AME'!G37)</f>
        <v>0</v>
      </c>
      <c r="G13" s="670">
        <f>SUM(Anx16AME!H37:'Anx16AME'!H37)</f>
        <v>0</v>
      </c>
      <c r="H13" s="670">
        <f>SUM(Anx16AME!I37:'Anx16AME'!I37)</f>
        <v>0</v>
      </c>
      <c r="I13" s="670">
        <f>SUM(Anx16AME!J37:'Anx16AME'!J37)</f>
        <v>0</v>
      </c>
      <c r="J13" s="670">
        <f>SUM(Anx16AME!K37:'Anx16AME'!K37)</f>
        <v>0</v>
      </c>
      <c r="K13" s="670">
        <f>SUM(Anx16AME!L37:'Anx16AME'!L37)</f>
        <v>0</v>
      </c>
      <c r="L13" s="670">
        <f>SUM(Anx16AME!M37:'Anx16AME'!M37)</f>
        <v>0</v>
      </c>
      <c r="M13" s="670">
        <f>SUM(B13:L13)</f>
        <v>7558.1299999999992</v>
      </c>
    </row>
    <row r="14" spans="1:13" ht="16.5">
      <c r="A14" s="672" t="s">
        <v>34</v>
      </c>
      <c r="B14" s="670">
        <f>SUM(Anx16AME!C41:'Anx16AME'!C41)</f>
        <v>1280.83</v>
      </c>
      <c r="C14" s="670">
        <f>SUM(Anx16AME!D41:'Anx16AME'!D41)</f>
        <v>1298.3800000000001</v>
      </c>
      <c r="D14" s="670">
        <f>SUM(Anx16AME!E41:'Anx16AME'!E41)</f>
        <v>1301.5899999999999</v>
      </c>
      <c r="E14" s="670">
        <f>SUM(Anx16AME!F41:'Anx16AME'!F41)</f>
        <v>1334</v>
      </c>
      <c r="F14" s="670">
        <f>SUM(Anx16AME!G41:'Anx16AME'!G41)</f>
        <v>1338.84</v>
      </c>
      <c r="G14" s="670">
        <f>SUM(Anx16AME!H41:'Anx16AME'!H41)</f>
        <v>1357.77</v>
      </c>
      <c r="H14" s="670">
        <f>SUM(Anx16AME!I41:'Anx16AME'!I41)</f>
        <v>4213.2</v>
      </c>
      <c r="I14" s="670">
        <f>SUM(Anx16AME!J41:'Anx16AME'!J41)</f>
        <v>4398.22</v>
      </c>
      <c r="J14" s="670">
        <f>SUM(Anx16AME!K41:'Anx16AME'!K41)</f>
        <v>19477.169999999998</v>
      </c>
      <c r="K14" s="670">
        <f>SUM(Anx16AME!L41:'Anx16AME'!L41)</f>
        <v>0</v>
      </c>
      <c r="L14" s="670">
        <f>SUM(Anx16AME!M41:'Anx16AME'!M41)</f>
        <v>0</v>
      </c>
      <c r="M14" s="670">
        <f>SUM(B14:L14)</f>
        <v>36000</v>
      </c>
    </row>
    <row r="17" spans="1:23" ht="16.5">
      <c r="B17" s="858" t="s">
        <v>12</v>
      </c>
      <c r="C17" s="859"/>
      <c r="D17" s="858" t="s">
        <v>13</v>
      </c>
      <c r="E17" s="859"/>
      <c r="F17" s="858" t="s">
        <v>14</v>
      </c>
      <c r="G17" s="859"/>
      <c r="H17" s="858" t="s">
        <v>15</v>
      </c>
      <c r="I17" s="859"/>
      <c r="J17" s="858" t="s">
        <v>16</v>
      </c>
      <c r="K17" s="859"/>
      <c r="L17" s="858" t="s">
        <v>17</v>
      </c>
      <c r="M17" s="859"/>
      <c r="N17" s="858" t="s">
        <v>223</v>
      </c>
      <c r="O17" s="859"/>
      <c r="P17" s="858" t="s">
        <v>222</v>
      </c>
      <c r="Q17" s="859"/>
      <c r="R17" s="877" t="s">
        <v>221</v>
      </c>
      <c r="S17" s="878"/>
      <c r="T17" s="858" t="s">
        <v>20</v>
      </c>
      <c r="U17" s="859"/>
    </row>
    <row r="18" spans="1:23" ht="16.5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3" ht="16.5">
      <c r="A19" s="672" t="s">
        <v>28</v>
      </c>
      <c r="B19" s="670">
        <f>+B4</f>
        <v>1134986.94</v>
      </c>
      <c r="C19" s="670">
        <f>+B11</f>
        <v>3243.86</v>
      </c>
      <c r="D19" s="670">
        <f>+C4</f>
        <v>1076474.43</v>
      </c>
      <c r="E19" s="670">
        <f>+C11</f>
        <v>6042.41</v>
      </c>
      <c r="F19" s="670">
        <f>+D4</f>
        <v>1320746.8399999999</v>
      </c>
      <c r="G19" s="670">
        <f>+D11</f>
        <v>6046.19</v>
      </c>
      <c r="H19" s="670">
        <f>+E4</f>
        <v>1336861.05</v>
      </c>
      <c r="I19" s="670">
        <f>+E11</f>
        <v>6124.35</v>
      </c>
      <c r="J19" s="670">
        <f>+F4</f>
        <v>803312.63</v>
      </c>
      <c r="K19" s="670">
        <f>+F11</f>
        <v>3102.45</v>
      </c>
      <c r="L19" s="670">
        <f>+G4</f>
        <v>3176463.16</v>
      </c>
      <c r="M19" s="670">
        <f>+G11</f>
        <v>8079.13</v>
      </c>
      <c r="N19" s="670">
        <f>+H4</f>
        <v>3379907.98</v>
      </c>
      <c r="O19" s="670">
        <f>+H11</f>
        <v>24722.22</v>
      </c>
      <c r="P19" s="670">
        <f>+I4</f>
        <v>4734138.79</v>
      </c>
      <c r="Q19" s="670">
        <f>+I11</f>
        <v>25343.77</v>
      </c>
      <c r="R19" s="670">
        <f>+J4+K4+L4</f>
        <v>34343978.780000001</v>
      </c>
      <c r="S19" s="670">
        <f>+J11+K11+L11</f>
        <v>217387.74000000002</v>
      </c>
      <c r="T19" s="670">
        <f t="shared" ref="T19:U22" si="0">+B19+D19+F19+H19+J19+L19+N19+P19+R19</f>
        <v>51306870.600000001</v>
      </c>
      <c r="U19" s="670">
        <f t="shared" si="0"/>
        <v>300092.12</v>
      </c>
    </row>
    <row r="20" spans="1:23" ht="16.5">
      <c r="A20" s="673" t="s">
        <v>30</v>
      </c>
      <c r="B20" s="670">
        <f>+B5</f>
        <v>9453846.1999999993</v>
      </c>
      <c r="C20" s="670">
        <f>+B12</f>
        <v>1883.77</v>
      </c>
      <c r="D20" s="670">
        <f>+C5</f>
        <v>10404170.449999999</v>
      </c>
      <c r="E20" s="670">
        <f>+C12</f>
        <v>1914.61</v>
      </c>
      <c r="F20" s="670">
        <f>+D5</f>
        <v>10415990.27</v>
      </c>
      <c r="G20" s="670">
        <f>+D12</f>
        <v>1938.73</v>
      </c>
      <c r="H20" s="670">
        <f>+E5</f>
        <v>10514159.33</v>
      </c>
      <c r="I20" s="670">
        <f>+E12</f>
        <v>2188.15</v>
      </c>
      <c r="J20" s="670">
        <f>+F5</f>
        <v>10362387.649999999</v>
      </c>
      <c r="K20" s="670">
        <f>+F12</f>
        <v>2008.35</v>
      </c>
      <c r="L20" s="670">
        <f>+G5</f>
        <v>9955853.1499999985</v>
      </c>
      <c r="M20" s="670">
        <f>+G12</f>
        <v>216.61</v>
      </c>
      <c r="N20" s="670">
        <f>+H5</f>
        <v>26364640.329999998</v>
      </c>
      <c r="O20" s="670">
        <f>+H12</f>
        <v>678.4</v>
      </c>
      <c r="P20" s="670">
        <f>+I5</f>
        <v>20765606.920000002</v>
      </c>
      <c r="Q20" s="670">
        <f>+I12</f>
        <v>706.35</v>
      </c>
      <c r="R20" s="670">
        <f>+J5+K5+L5</f>
        <v>88300822.25</v>
      </c>
      <c r="S20" s="670">
        <f>+J12+K12+L12</f>
        <v>20065.3</v>
      </c>
      <c r="T20" s="670">
        <f t="shared" si="0"/>
        <v>196537476.55000001</v>
      </c>
      <c r="U20" s="670">
        <f t="shared" si="0"/>
        <v>31600.27</v>
      </c>
    </row>
    <row r="21" spans="1:23" ht="16.5">
      <c r="A21" s="673" t="s">
        <v>32</v>
      </c>
      <c r="B21" s="670">
        <f>+B6</f>
        <v>137525.76000000001</v>
      </c>
      <c r="C21" s="670">
        <f>+B13</f>
        <v>6725.48</v>
      </c>
      <c r="D21" s="670">
        <f>+C6</f>
        <v>164492.59</v>
      </c>
      <c r="E21" s="670">
        <f>+C13</f>
        <v>832.65</v>
      </c>
      <c r="F21" s="670">
        <f>+D6</f>
        <v>150696.46</v>
      </c>
      <c r="G21" s="670">
        <f>+D13</f>
        <v>0</v>
      </c>
      <c r="H21" s="670">
        <f>+E6</f>
        <v>169665.67</v>
      </c>
      <c r="I21" s="670">
        <f>+E13</f>
        <v>0</v>
      </c>
      <c r="J21" s="670">
        <f>+F6</f>
        <v>169473.13</v>
      </c>
      <c r="K21" s="670">
        <f>+F13</f>
        <v>0</v>
      </c>
      <c r="L21" s="670">
        <f>+G6</f>
        <v>162770.29999999999</v>
      </c>
      <c r="M21" s="670">
        <f>+G13</f>
        <v>0</v>
      </c>
      <c r="N21" s="670">
        <f>+H6</f>
        <v>523727.75</v>
      </c>
      <c r="O21" s="670">
        <f>+H13</f>
        <v>0</v>
      </c>
      <c r="P21" s="670">
        <f>+I6</f>
        <v>513517.39</v>
      </c>
      <c r="Q21" s="670">
        <f>+I13</f>
        <v>0</v>
      </c>
      <c r="R21" s="670">
        <f>+J6+K6+L6</f>
        <v>12909647.629999999</v>
      </c>
      <c r="S21" s="670">
        <f>+J13+K13+L13</f>
        <v>0</v>
      </c>
      <c r="T21" s="670">
        <f t="shared" si="0"/>
        <v>14901516.68</v>
      </c>
      <c r="U21" s="670">
        <f t="shared" si="0"/>
        <v>7558.1299999999992</v>
      </c>
    </row>
    <row r="22" spans="1:23" ht="16.5">
      <c r="A22" s="673" t="s">
        <v>34</v>
      </c>
      <c r="B22" s="670">
        <f>+B7</f>
        <v>9096513.1500000004</v>
      </c>
      <c r="C22" s="670">
        <f>+B14</f>
        <v>1280.83</v>
      </c>
      <c r="D22" s="670">
        <f>+C7</f>
        <v>3539611.28</v>
      </c>
      <c r="E22" s="670">
        <f>+C14</f>
        <v>1298.3800000000001</v>
      </c>
      <c r="F22" s="670">
        <f>+D7</f>
        <v>3437979.93</v>
      </c>
      <c r="G22" s="670">
        <f>+D14</f>
        <v>1301.5899999999999</v>
      </c>
      <c r="H22" s="670">
        <f>+E7</f>
        <v>3490643.15</v>
      </c>
      <c r="I22" s="670">
        <f>+E14</f>
        <v>1334</v>
      </c>
      <c r="J22" s="670">
        <f>+F7</f>
        <v>3297477.77</v>
      </c>
      <c r="K22" s="670">
        <f>+F14</f>
        <v>1338.84</v>
      </c>
      <c r="L22" s="670">
        <f>+G7</f>
        <v>3163099.15</v>
      </c>
      <c r="M22" s="670">
        <f>+G14</f>
        <v>1357.77</v>
      </c>
      <c r="N22" s="670">
        <f>+H7</f>
        <v>8940600.25</v>
      </c>
      <c r="O22" s="670">
        <f>+H14</f>
        <v>4213.2</v>
      </c>
      <c r="P22" s="670">
        <f>+I7</f>
        <v>7749187.2599999998</v>
      </c>
      <c r="Q22" s="670">
        <f>+I14</f>
        <v>4398.22</v>
      </c>
      <c r="R22" s="670">
        <f>+J7+K7+L7</f>
        <v>56806446.100000001</v>
      </c>
      <c r="S22" s="670">
        <f>+J14+K14+L14</f>
        <v>19477.169999999998</v>
      </c>
      <c r="T22" s="670">
        <f t="shared" si="0"/>
        <v>99521558.039999992</v>
      </c>
      <c r="U22" s="670">
        <f t="shared" si="0"/>
        <v>36000</v>
      </c>
    </row>
    <row r="25" spans="1:23" ht="16.5">
      <c r="B25" s="858" t="s">
        <v>12</v>
      </c>
      <c r="C25" s="859"/>
      <c r="D25" s="858" t="s">
        <v>13</v>
      </c>
      <c r="E25" s="859"/>
      <c r="F25" s="858" t="s">
        <v>14</v>
      </c>
      <c r="G25" s="859"/>
      <c r="H25" s="858" t="s">
        <v>15</v>
      </c>
      <c r="I25" s="859"/>
      <c r="J25" s="858" t="s">
        <v>16</v>
      </c>
      <c r="K25" s="859"/>
      <c r="L25" s="858" t="s">
        <v>17</v>
      </c>
      <c r="M25" s="859"/>
      <c r="N25" s="858" t="s">
        <v>223</v>
      </c>
      <c r="O25" s="859"/>
      <c r="P25" s="858" t="s">
        <v>222</v>
      </c>
      <c r="Q25" s="859"/>
      <c r="R25" s="877" t="s">
        <v>221</v>
      </c>
      <c r="S25" s="878"/>
      <c r="T25" s="858" t="s">
        <v>20</v>
      </c>
      <c r="U25" s="859"/>
    </row>
    <row r="26" spans="1:23" ht="16.5">
      <c r="B26" s="215" t="s">
        <v>205</v>
      </c>
      <c r="C26" s="215" t="s">
        <v>204</v>
      </c>
      <c r="D26" s="215" t="s">
        <v>205</v>
      </c>
      <c r="E26" s="215" t="s">
        <v>204</v>
      </c>
      <c r="F26" s="215" t="s">
        <v>205</v>
      </c>
      <c r="G26" s="215" t="s">
        <v>204</v>
      </c>
      <c r="H26" s="215" t="s">
        <v>205</v>
      </c>
      <c r="I26" s="215" t="s">
        <v>204</v>
      </c>
      <c r="J26" s="215" t="s">
        <v>205</v>
      </c>
      <c r="K26" s="215" t="s">
        <v>204</v>
      </c>
      <c r="L26" s="215" t="s">
        <v>205</v>
      </c>
      <c r="M26" s="215" t="s">
        <v>204</v>
      </c>
      <c r="N26" s="215" t="s">
        <v>205</v>
      </c>
      <c r="O26" s="215" t="s">
        <v>204</v>
      </c>
      <c r="P26" s="215" t="s">
        <v>205</v>
      </c>
      <c r="Q26" s="215" t="s">
        <v>204</v>
      </c>
      <c r="R26" s="144" t="s">
        <v>205</v>
      </c>
      <c r="S26" s="144" t="s">
        <v>204</v>
      </c>
      <c r="T26" s="215" t="s">
        <v>205</v>
      </c>
      <c r="U26" s="215" t="s">
        <v>204</v>
      </c>
    </row>
    <row r="27" spans="1:23" ht="16.5">
      <c r="A27" s="672" t="s">
        <v>28</v>
      </c>
      <c r="B27" s="670">
        <f t="shared" ref="B27:Q30" si="1">(B19*(1-($E$34+12%)))</f>
        <v>907643.13160788559</v>
      </c>
      <c r="C27" s="670">
        <f t="shared" si="1"/>
        <v>2594.0979099702731</v>
      </c>
      <c r="D27" s="670">
        <f t="shared" si="1"/>
        <v>860850.9827796024</v>
      </c>
      <c r="E27" s="670">
        <f t="shared" si="1"/>
        <v>4832.083737332523</v>
      </c>
      <c r="F27" s="670">
        <f t="shared" si="1"/>
        <v>1056194.3540238612</v>
      </c>
      <c r="G27" s="670">
        <f t="shared" si="1"/>
        <v>4835.1065836019943</v>
      </c>
      <c r="H27" s="670">
        <f t="shared" si="1"/>
        <v>1069080.8036492527</v>
      </c>
      <c r="I27" s="670">
        <f t="shared" si="1"/>
        <v>4897.6107276289495</v>
      </c>
      <c r="J27" s="670">
        <f t="shared" si="1"/>
        <v>642404.91714677063</v>
      </c>
      <c r="K27" s="670">
        <f t="shared" si="1"/>
        <v>2481.0130710903904</v>
      </c>
      <c r="L27" s="670">
        <f t="shared" si="1"/>
        <v>2540201.0088146743</v>
      </c>
      <c r="M27" s="670">
        <f t="shared" si="1"/>
        <v>6460.838090231432</v>
      </c>
      <c r="N27" s="670">
        <f t="shared" si="1"/>
        <v>2702894.7694443804</v>
      </c>
      <c r="O27" s="670">
        <f t="shared" si="1"/>
        <v>19770.230291019121</v>
      </c>
      <c r="P27" s="670">
        <f t="shared" si="1"/>
        <v>3785866.0795004093</v>
      </c>
      <c r="Q27" s="670">
        <f t="shared" si="1"/>
        <v>20267.280581704301</v>
      </c>
      <c r="R27" s="670">
        <f t="shared" ref="R27:S30" si="2">((T19-R19)*($E$34+12%))+R19</f>
        <v>37741734.553033166</v>
      </c>
      <c r="S27" s="670">
        <f t="shared" si="2"/>
        <v>233953.85900742104</v>
      </c>
      <c r="T27" s="670">
        <f t="shared" ref="T27:U30" si="3">+B27+D27+F27+H27+J27+L27+N27+P27+R27</f>
        <v>51306870.600000001</v>
      </c>
      <c r="U27" s="670">
        <f t="shared" si="3"/>
        <v>300092.12</v>
      </c>
    </row>
    <row r="28" spans="1:23" ht="16.5">
      <c r="A28" s="673" t="s">
        <v>30</v>
      </c>
      <c r="B28" s="670">
        <f t="shared" si="1"/>
        <v>7560191.4597425312</v>
      </c>
      <c r="C28" s="670">
        <f t="shared" si="1"/>
        <v>1506.4410362545552</v>
      </c>
      <c r="D28" s="670">
        <f t="shared" si="1"/>
        <v>8320160.8020443162</v>
      </c>
      <c r="E28" s="670">
        <f t="shared" si="1"/>
        <v>1531.1036232784968</v>
      </c>
      <c r="F28" s="670">
        <f t="shared" si="1"/>
        <v>8329613.0504022064</v>
      </c>
      <c r="G28" s="670">
        <f t="shared" si="1"/>
        <v>1550.3922613789337</v>
      </c>
      <c r="H28" s="670">
        <f t="shared" si="1"/>
        <v>8408118.3352695387</v>
      </c>
      <c r="I28" s="670">
        <f t="shared" si="1"/>
        <v>1749.852133477232</v>
      </c>
      <c r="J28" s="670">
        <f t="shared" si="1"/>
        <v>8286747.314978688</v>
      </c>
      <c r="K28" s="670">
        <f t="shared" si="1"/>
        <v>1606.0670119822673</v>
      </c>
      <c r="L28" s="670">
        <f t="shared" si="1"/>
        <v>7961643.7973235454</v>
      </c>
      <c r="M28" s="670">
        <f t="shared" si="1"/>
        <v>173.22188635719817</v>
      </c>
      <c r="N28" s="670">
        <f t="shared" si="1"/>
        <v>21083665.255951542</v>
      </c>
      <c r="O28" s="670">
        <f t="shared" si="1"/>
        <v>542.51293894429273</v>
      </c>
      <c r="P28" s="670">
        <f t="shared" si="1"/>
        <v>16606147.463341897</v>
      </c>
      <c r="Q28" s="670">
        <f t="shared" si="1"/>
        <v>564.86440805321513</v>
      </c>
      <c r="R28" s="670">
        <f t="shared" si="2"/>
        <v>109981189.07094574</v>
      </c>
      <c r="S28" s="670">
        <f t="shared" si="2"/>
        <v>22375.814700273808</v>
      </c>
      <c r="T28" s="670">
        <f t="shared" si="3"/>
        <v>196537476.55000001</v>
      </c>
      <c r="U28" s="670">
        <f t="shared" si="3"/>
        <v>31600.269999999997</v>
      </c>
    </row>
    <row r="29" spans="1:23" ht="16.5">
      <c r="A29" s="673" t="s">
        <v>32</v>
      </c>
      <c r="B29" s="670">
        <f t="shared" si="1"/>
        <v>109978.63242651452</v>
      </c>
      <c r="C29" s="670">
        <f t="shared" si="1"/>
        <v>5378.3312509007392</v>
      </c>
      <c r="D29" s="670">
        <f t="shared" si="1"/>
        <v>131543.86561830566</v>
      </c>
      <c r="E29" s="670">
        <f t="shared" si="1"/>
        <v>665.86585880301493</v>
      </c>
      <c r="F29" s="670">
        <f t="shared" si="1"/>
        <v>120511.17246919376</v>
      </c>
      <c r="G29" s="670">
        <f t="shared" si="1"/>
        <v>0</v>
      </c>
      <c r="H29" s="670">
        <f t="shared" si="1"/>
        <v>135680.75069229439</v>
      </c>
      <c r="I29" s="670">
        <f t="shared" si="1"/>
        <v>0</v>
      </c>
      <c r="J29" s="670">
        <f t="shared" si="1"/>
        <v>135526.77745929861</v>
      </c>
      <c r="K29" s="670">
        <f t="shared" si="1"/>
        <v>0</v>
      </c>
      <c r="L29" s="670">
        <f t="shared" si="1"/>
        <v>130166.55929517129</v>
      </c>
      <c r="M29" s="670">
        <f t="shared" si="1"/>
        <v>0</v>
      </c>
      <c r="N29" s="670">
        <f t="shared" si="1"/>
        <v>418822.34796459577</v>
      </c>
      <c r="O29" s="670">
        <f t="shared" si="1"/>
        <v>0</v>
      </c>
      <c r="P29" s="670">
        <f t="shared" si="1"/>
        <v>410657.17636778089</v>
      </c>
      <c r="Q29" s="670">
        <f t="shared" si="1"/>
        <v>0</v>
      </c>
      <c r="R29" s="670">
        <f t="shared" si="2"/>
        <v>13308629.397706844</v>
      </c>
      <c r="S29" s="670">
        <f t="shared" si="2"/>
        <v>1513.9328902962454</v>
      </c>
      <c r="T29" s="670">
        <f t="shared" si="3"/>
        <v>14901516.68</v>
      </c>
      <c r="U29" s="670">
        <f t="shared" si="3"/>
        <v>7558.1299999999992</v>
      </c>
    </row>
    <row r="30" spans="1:23" ht="16.5">
      <c r="A30" s="673" t="s">
        <v>34</v>
      </c>
      <c r="B30" s="670">
        <f t="shared" si="1"/>
        <v>7274434.0848347666</v>
      </c>
      <c r="C30" s="670">
        <f t="shared" si="1"/>
        <v>1024.2730654304517</v>
      </c>
      <c r="D30" s="670">
        <f t="shared" si="1"/>
        <v>2830608.6648484222</v>
      </c>
      <c r="E30" s="670">
        <f t="shared" si="1"/>
        <v>1038.3077088244263</v>
      </c>
      <c r="F30" s="670">
        <f t="shared" si="1"/>
        <v>2749334.604740262</v>
      </c>
      <c r="G30" s="670">
        <f t="shared" si="1"/>
        <v>1040.874729069136</v>
      </c>
      <c r="H30" s="670">
        <f t="shared" si="1"/>
        <v>2791449.1068871808</v>
      </c>
      <c r="I30" s="670">
        <f t="shared" si="1"/>
        <v>1066.7928368981227</v>
      </c>
      <c r="J30" s="670">
        <f t="shared" si="1"/>
        <v>2636975.7607697118</v>
      </c>
      <c r="K30" s="670">
        <f t="shared" si="1"/>
        <v>1070.6633596346946</v>
      </c>
      <c r="L30" s="670">
        <f t="shared" si="1"/>
        <v>2529513.8797740182</v>
      </c>
      <c r="M30" s="670">
        <f t="shared" si="1"/>
        <v>1085.8015818254603</v>
      </c>
      <c r="N30" s="670">
        <f t="shared" si="1"/>
        <v>7149751.3525259113</v>
      </c>
      <c r="O30" s="670">
        <f t="shared" si="1"/>
        <v>3369.2740482902327</v>
      </c>
      <c r="P30" s="670">
        <f t="shared" si="1"/>
        <v>6196984.6032610126</v>
      </c>
      <c r="Q30" s="670">
        <f t="shared" si="1"/>
        <v>3517.2335765382772</v>
      </c>
      <c r="R30" s="670">
        <f t="shared" si="2"/>
        <v>65362505.982358716</v>
      </c>
      <c r="S30" s="670">
        <f t="shared" si="2"/>
        <v>22786.779093489196</v>
      </c>
      <c r="T30" s="670">
        <f t="shared" si="3"/>
        <v>99521558.039999992</v>
      </c>
      <c r="U30" s="670">
        <f t="shared" si="3"/>
        <v>36000</v>
      </c>
    </row>
    <row r="31" spans="1:23" s="71" customFormat="1" ht="16.5" customHeight="1">
      <c r="A31" s="156"/>
      <c r="B31" s="155"/>
      <c r="V31"/>
      <c r="W31"/>
    </row>
    <row r="32" spans="1:23" s="71" customFormat="1" ht="28.5" customHeight="1">
      <c r="A32" s="156"/>
      <c r="B32" s="155"/>
      <c r="C32" s="120"/>
      <c r="D32" s="636" t="s">
        <v>490</v>
      </c>
      <c r="E32" s="637"/>
      <c r="F32" s="638"/>
      <c r="G32" s="120"/>
      <c r="H32" s="120"/>
    </row>
    <row r="33" spans="1:19" s="71" customFormat="1">
      <c r="A33" s="156"/>
      <c r="B33" s="155"/>
      <c r="C33" s="120"/>
      <c r="D33" s="154"/>
      <c r="E33" s="154"/>
      <c r="F33" s="154"/>
      <c r="G33" s="120"/>
      <c r="H33" s="120"/>
    </row>
    <row r="34" spans="1:19" ht="16.5">
      <c r="C34" s="120"/>
      <c r="D34" s="639" t="s">
        <v>244</v>
      </c>
      <c r="E34" s="651">
        <f>(+I38+I39+I40)/(I41)</f>
        <v>8.0305219716549706E-2</v>
      </c>
      <c r="F34" s="152"/>
      <c r="G34" s="120"/>
      <c r="H34" s="120"/>
    </row>
    <row r="35" spans="1:19" ht="16.5">
      <c r="C35" s="120"/>
      <c r="D35" s="640" t="s">
        <v>243</v>
      </c>
      <c r="E35" s="129"/>
      <c r="F35" s="152"/>
      <c r="G35" s="120"/>
      <c r="H35" s="120"/>
      <c r="I35" s="647" t="s">
        <v>242</v>
      </c>
    </row>
    <row r="36" spans="1:19" ht="16.5">
      <c r="C36" s="120"/>
      <c r="D36" s="641" t="s">
        <v>241</v>
      </c>
      <c r="E36" s="642" t="s">
        <v>240</v>
      </c>
      <c r="F36" s="152"/>
      <c r="G36" s="120"/>
      <c r="H36" s="653" t="s">
        <v>239</v>
      </c>
      <c r="I36" s="652">
        <f>Creditos!I36</f>
        <v>44255</v>
      </c>
      <c r="J36" s="140"/>
    </row>
    <row r="37" spans="1:19" ht="16.5">
      <c r="C37" s="120"/>
      <c r="D37" s="642" t="s">
        <v>491</v>
      </c>
      <c r="E37" s="642" t="s">
        <v>238</v>
      </c>
      <c r="F37" s="152"/>
      <c r="G37" s="120"/>
      <c r="H37" s="151"/>
      <c r="I37" s="153"/>
    </row>
    <row r="38" spans="1:19" ht="16.5">
      <c r="C38" s="120"/>
      <c r="D38" s="642" t="s">
        <v>492</v>
      </c>
      <c r="E38" s="642" t="s">
        <v>237</v>
      </c>
      <c r="F38" s="152"/>
      <c r="G38" s="120"/>
      <c r="H38" s="648">
        <v>1404</v>
      </c>
      <c r="I38" s="650">
        <f>Creditos!I38</f>
        <v>11772184</v>
      </c>
      <c r="J38" s="422"/>
    </row>
    <row r="39" spans="1:19" ht="16.5">
      <c r="C39" s="120"/>
      <c r="D39" s="642" t="s">
        <v>493</v>
      </c>
      <c r="E39" s="642" t="s">
        <v>236</v>
      </c>
      <c r="F39" s="152"/>
      <c r="G39" s="120"/>
      <c r="H39" s="648">
        <v>1405</v>
      </c>
      <c r="I39" s="650">
        <f>Creditos!I39</f>
        <v>9913450.1899999995</v>
      </c>
    </row>
    <row r="40" spans="1:19" ht="16.5">
      <c r="C40" s="120"/>
      <c r="D40" s="642" t="s">
        <v>494</v>
      </c>
      <c r="E40" s="642" t="s">
        <v>235</v>
      </c>
      <c r="F40" s="152"/>
      <c r="G40" s="120"/>
      <c r="H40" s="648">
        <v>1406</v>
      </c>
      <c r="I40" s="650">
        <f>Creditos!I40</f>
        <v>13242582.57</v>
      </c>
    </row>
    <row r="41" spans="1:19" ht="16.5">
      <c r="C41" s="120"/>
      <c r="D41" s="642" t="s">
        <v>495</v>
      </c>
      <c r="E41" s="642" t="s">
        <v>234</v>
      </c>
      <c r="F41" s="152"/>
      <c r="G41" s="120"/>
      <c r="H41" s="648" t="s">
        <v>497</v>
      </c>
      <c r="I41" s="650">
        <f>+I42-I43-I44</f>
        <v>434943293.63999999</v>
      </c>
    </row>
    <row r="42" spans="1:19" s="120" customFormat="1" ht="16.5">
      <c r="A42" s="140"/>
      <c r="D42" s="643" t="s">
        <v>498</v>
      </c>
      <c r="E42" s="628"/>
      <c r="F42" s="628"/>
      <c r="G42" s="628"/>
      <c r="H42" s="649">
        <v>1400</v>
      </c>
      <c r="I42" s="650">
        <f>Creditos!I42</f>
        <v>402561004.13</v>
      </c>
      <c r="O42" s="149"/>
      <c r="P42" s="123"/>
      <c r="Q42" s="123"/>
      <c r="R42" s="123"/>
      <c r="S42" s="123"/>
    </row>
    <row r="43" spans="1:19" s="120" customFormat="1" ht="16.5">
      <c r="A43" s="140"/>
      <c r="C43"/>
      <c r="D43"/>
      <c r="E43"/>
      <c r="F43"/>
      <c r="G43"/>
      <c r="H43" s="648">
        <v>1408</v>
      </c>
      <c r="I43" s="650">
        <f>Creditos!I43</f>
        <v>7890555.3700000001</v>
      </c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>
      <c r="A44" s="140"/>
      <c r="C44"/>
      <c r="D44" s="636" t="s">
        <v>436</v>
      </c>
      <c r="E44" s="644"/>
      <c r="F44" s="645"/>
      <c r="H44" s="648">
        <v>1409</v>
      </c>
      <c r="I44" s="650">
        <f>Creditos!I44</f>
        <v>-40272844.880000003</v>
      </c>
      <c r="J44" s="150"/>
      <c r="K44" s="150"/>
      <c r="O44" s="149"/>
      <c r="P44" s="123"/>
      <c r="Q44" s="123"/>
      <c r="R44" s="123"/>
      <c r="S44" s="123"/>
    </row>
    <row r="45" spans="1:19" ht="16.5">
      <c r="D45" s="646" t="s">
        <v>232</v>
      </c>
      <c r="E45" s="646" t="s">
        <v>231</v>
      </c>
      <c r="F45" s="628"/>
    </row>
    <row r="46" spans="1:19" ht="16.5">
      <c r="D46" s="646" t="s">
        <v>230</v>
      </c>
      <c r="E46" s="646" t="s">
        <v>229</v>
      </c>
      <c r="F46" s="628"/>
    </row>
    <row r="48" spans="1:19" ht="16.5">
      <c r="G48" s="631">
        <v>25170301</v>
      </c>
      <c r="H48" s="670">
        <f>Anx16AMN!T47</f>
        <v>0</v>
      </c>
      <c r="I48" s="629">
        <v>25270301</v>
      </c>
      <c r="J48" s="670">
        <f>Anx16AME!T47</f>
        <v>0</v>
      </c>
    </row>
    <row r="49" spans="1:21" ht="16.5">
      <c r="G49" s="632">
        <v>25170302</v>
      </c>
      <c r="H49" s="670">
        <f>Anx16AMN!T48</f>
        <v>1397.06</v>
      </c>
      <c r="I49" s="630">
        <v>25270302</v>
      </c>
      <c r="J49" s="670">
        <f>Anx16AME!T48</f>
        <v>0</v>
      </c>
    </row>
    <row r="50" spans="1:21" ht="16.5">
      <c r="F50" s="80"/>
      <c r="G50" s="630">
        <v>25170303</v>
      </c>
      <c r="H50" s="670">
        <f>Anx16AMN!T49</f>
        <v>10867.36</v>
      </c>
      <c r="I50" s="630">
        <v>25270303</v>
      </c>
      <c r="J50" s="670">
        <f>Anx16AME!T49</f>
        <v>0</v>
      </c>
    </row>
    <row r="51" spans="1:21" ht="16.5">
      <c r="A51" s="148" t="s">
        <v>228</v>
      </c>
      <c r="B51" s="627">
        <v>251703</v>
      </c>
      <c r="C51" s="670">
        <f>Creditos!C51</f>
        <v>-1324677.3400000001</v>
      </c>
      <c r="D51" s="627">
        <v>252703</v>
      </c>
      <c r="E51" s="670">
        <f>Creditos!E51</f>
        <v>0</v>
      </c>
      <c r="G51" s="631">
        <v>25170309</v>
      </c>
      <c r="H51" s="670">
        <f>Anx16AMN!T50</f>
        <v>123049.91</v>
      </c>
      <c r="I51" s="629">
        <v>25270309</v>
      </c>
      <c r="J51" s="670">
        <f>Anx16AME!T50</f>
        <v>0</v>
      </c>
    </row>
    <row r="52" spans="1:21" ht="16.5">
      <c r="A52" s="148" t="s">
        <v>228</v>
      </c>
      <c r="B52" s="627">
        <v>251704</v>
      </c>
      <c r="C52" s="670">
        <f>Creditos!C52</f>
        <v>169491.33</v>
      </c>
      <c r="D52" s="627">
        <v>252704</v>
      </c>
      <c r="E52" s="670">
        <f>Creditos!E52</f>
        <v>0</v>
      </c>
      <c r="G52" s="632">
        <v>251704</v>
      </c>
      <c r="H52" s="670">
        <f>Anx16AMN!T51</f>
        <v>169491.33</v>
      </c>
      <c r="I52" s="630">
        <v>252704</v>
      </c>
      <c r="J52" s="670">
        <f>Anx16AME!T51</f>
        <v>0</v>
      </c>
    </row>
    <row r="53" spans="1:21" ht="16.5">
      <c r="B53" s="627" t="s">
        <v>298</v>
      </c>
      <c r="C53" s="670">
        <f>Creditos!C53</f>
        <v>84351.360000000001</v>
      </c>
      <c r="D53" s="627" t="s">
        <v>299</v>
      </c>
      <c r="E53" s="670">
        <f>Creditos!E53</f>
        <v>0</v>
      </c>
      <c r="G53" s="631">
        <v>25170501</v>
      </c>
      <c r="H53" s="670">
        <f>Anx16AMN!T52</f>
        <v>77644.28</v>
      </c>
      <c r="I53" s="629">
        <v>25270501</v>
      </c>
      <c r="J53" s="670">
        <f>Anx16AME!T52</f>
        <v>0</v>
      </c>
    </row>
    <row r="54" spans="1:21" ht="16.5">
      <c r="B54" s="627">
        <v>2116</v>
      </c>
      <c r="C54" s="676">
        <f>Creditos!C54</f>
        <v>609459.59</v>
      </c>
      <c r="D54" s="627">
        <v>2126</v>
      </c>
      <c r="E54" s="670">
        <f>Creditos!E54</f>
        <v>0</v>
      </c>
      <c r="G54" s="631">
        <v>2517050201</v>
      </c>
      <c r="H54" s="670">
        <f>Anx16AMN!T53</f>
        <v>6589.15</v>
      </c>
      <c r="I54" s="629">
        <v>2527050201</v>
      </c>
      <c r="J54" s="670">
        <f>Anx16AME!T53</f>
        <v>0</v>
      </c>
    </row>
    <row r="55" spans="1:21" ht="16.5">
      <c r="B55" s="627">
        <v>2312</v>
      </c>
      <c r="C55" s="670">
        <f>Creditos!C55</f>
        <v>7176.65</v>
      </c>
      <c r="D55" s="627">
        <v>2322</v>
      </c>
      <c r="E55" s="670">
        <f>Creditos!E55</f>
        <v>1748.47</v>
      </c>
      <c r="G55" s="632">
        <v>251706</v>
      </c>
      <c r="H55" s="670">
        <f>Anx16AMN!T54</f>
        <v>0</v>
      </c>
      <c r="I55" s="630">
        <v>252706</v>
      </c>
      <c r="J55" s="670">
        <f>Anx16AME!T54</f>
        <v>0</v>
      </c>
    </row>
    <row r="56" spans="1:21" ht="16.5">
      <c r="B56" s="627">
        <v>2313</v>
      </c>
      <c r="C56" s="670">
        <f>Creditos!C56</f>
        <v>1000000</v>
      </c>
      <c r="D56" s="627">
        <v>2323</v>
      </c>
      <c r="E56" s="670">
        <f>Creditos!E56</f>
        <v>0</v>
      </c>
      <c r="G56" s="632">
        <v>2518</v>
      </c>
      <c r="H56" s="670">
        <f>Anx16AMN!T59</f>
        <v>39732.230000000003</v>
      </c>
      <c r="I56" s="630">
        <v>2528</v>
      </c>
      <c r="J56" s="670">
        <f>Anx16AME!T59</f>
        <v>0</v>
      </c>
    </row>
    <row r="57" spans="1:21" ht="16.5">
      <c r="C57" s="272"/>
      <c r="H57" s="670">
        <f>SUM(H48:H56)</f>
        <v>428771.32000000007</v>
      </c>
      <c r="J57" s="670">
        <f>SUM(J48:J56)</f>
        <v>0</v>
      </c>
    </row>
    <row r="58" spans="1:21" s="71" customFormat="1" ht="15">
      <c r="A58" s="677"/>
    </row>
    <row r="59" spans="1:21" s="71" customFormat="1" ht="15">
      <c r="A59" s="677"/>
    </row>
    <row r="60" spans="1:21" s="71" customFormat="1" ht="15">
      <c r="A60" s="677"/>
      <c r="B60" s="661"/>
      <c r="C60" s="661"/>
      <c r="D60" s="661"/>
      <c r="E60" s="661"/>
      <c r="F60" s="661"/>
      <c r="G60" s="661"/>
      <c r="H60" s="661"/>
      <c r="I60" s="661"/>
      <c r="J60" s="661"/>
      <c r="K60" s="661"/>
      <c r="L60" s="661"/>
      <c r="M60" s="661"/>
      <c r="O60" s="661"/>
    </row>
    <row r="61" spans="1:21" ht="16.5">
      <c r="A61" s="662" t="s">
        <v>499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68" t="s">
        <v>227</v>
      </c>
      <c r="K61" s="71"/>
      <c r="L61" s="666" t="s">
        <v>226</v>
      </c>
      <c r="M61" s="661"/>
      <c r="N61" s="71"/>
      <c r="O61" s="661"/>
      <c r="P61" s="71"/>
      <c r="Q61" s="71"/>
      <c r="R61" s="71"/>
      <c r="S61" s="71"/>
      <c r="T61" s="71"/>
      <c r="U61" s="71"/>
    </row>
    <row r="62" spans="1:21" ht="16.5">
      <c r="A62" s="663" t="s">
        <v>42</v>
      </c>
      <c r="B62" s="669">
        <f>Anx16AMN!C49+Anx16AMN!C83</f>
        <v>9344691.1799999997</v>
      </c>
      <c r="C62" s="669">
        <f>Anx16AMN!D49+Anx16AMN!D83</f>
        <v>6326732.8157837633</v>
      </c>
      <c r="D62" s="669">
        <f>Anx16AMN!E49+Anx16AMN!E83</f>
        <v>6829531.6005121283</v>
      </c>
      <c r="E62" s="669">
        <f>Anx16AMN!F49+Anx16AMN!F83</f>
        <v>6569459.1500000004</v>
      </c>
      <c r="F62" s="669">
        <f>Anx16AMN!G49+Anx16AMN!G83</f>
        <v>5437058.3300000001</v>
      </c>
      <c r="G62" s="669">
        <f>Anx16AMN!H49+Anx16AMN!H83</f>
        <v>4970182.2</v>
      </c>
      <c r="H62" s="669">
        <f>Anx16AMN!I49+Anx16AMN!I83</f>
        <v>10635453.9</v>
      </c>
      <c r="I62" s="669">
        <f>Anx16AMN!J49+Anx16AMN!J83</f>
        <v>12752010.82</v>
      </c>
      <c r="J62" s="664">
        <f>SUM(Anx16AMN!K49:M49)+SUM(Anx16AMN!K83:M83)</f>
        <v>71937449.299999997</v>
      </c>
      <c r="K62" s="71"/>
      <c r="L62" s="666">
        <f>SUM(B62:J62)</f>
        <v>134802569.29629588</v>
      </c>
      <c r="M62" s="665"/>
      <c r="O62" s="24"/>
    </row>
    <row r="63" spans="1:21" ht="16.5">
      <c r="A63" s="663" t="s">
        <v>43</v>
      </c>
      <c r="B63" s="669">
        <f>Anx16AMN!C50+Anx16AMN!C84</f>
        <v>3009527.83</v>
      </c>
      <c r="C63" s="669">
        <f>Anx16AMN!D50+Anx16AMN!D84</f>
        <v>3736786.3107807199</v>
      </c>
      <c r="D63" s="669">
        <f>Anx16AMN!E50+Anx16AMN!E84</f>
        <v>3345688.0585431135</v>
      </c>
      <c r="E63" s="669">
        <f>Anx16AMN!F50+Anx16AMN!F84</f>
        <v>4503239.3899999997</v>
      </c>
      <c r="F63" s="669">
        <f>Anx16AMN!G50+Anx16AMN!G84</f>
        <v>3983613.35</v>
      </c>
      <c r="G63" s="669">
        <f>Anx16AMN!H50+Anx16AMN!H84</f>
        <v>4187939.88</v>
      </c>
      <c r="H63" s="669">
        <f>Anx16AMN!I50+Anx16AMN!I84</f>
        <v>10703341.380000001</v>
      </c>
      <c r="I63" s="669">
        <f>Anx16AMN!J50+Anx16AMN!J84</f>
        <v>10328606.779999999</v>
      </c>
      <c r="J63" s="664">
        <f>SUM(Anx16AMN!K50:M50)+SUM(Anx16AMN!K84:M84)</f>
        <v>28379955.960000001</v>
      </c>
      <c r="K63" s="71"/>
      <c r="L63" s="666">
        <f>SUM(B63:J63)</f>
        <v>72178698.939323843</v>
      </c>
      <c r="M63" s="665"/>
      <c r="N63" s="147"/>
      <c r="O63" s="24"/>
    </row>
    <row r="64" spans="1:21" ht="16.5">
      <c r="A64" s="663" t="s">
        <v>68</v>
      </c>
      <c r="B64" s="669">
        <f>Anx16AMN!C51+Anx16AMN!C85</f>
        <v>2544365.42</v>
      </c>
      <c r="C64" s="669">
        <f>Anx16AMN!D51+Anx16AMN!D85</f>
        <v>522166.62062857585</v>
      </c>
      <c r="D64" s="669">
        <f>Anx16AMN!E51+Anx16AMN!E85</f>
        <v>1615795.122491786</v>
      </c>
      <c r="E64" s="669">
        <f>Anx16AMN!F51+Anx16AMN!F85</f>
        <v>1554616.89</v>
      </c>
      <c r="F64" s="669">
        <f>Anx16AMN!G51+Anx16AMN!G85</f>
        <v>6109800.9800000004</v>
      </c>
      <c r="G64" s="669">
        <f>Anx16AMN!H51+Anx16AMN!H85</f>
        <v>1000000</v>
      </c>
      <c r="H64" s="669">
        <f>Anx16AMN!I51+Anx16AMN!I85</f>
        <v>1298418.18</v>
      </c>
      <c r="I64" s="669">
        <f>Anx16AMN!J51+Anx16AMN!J85</f>
        <v>9221591.6999999993</v>
      </c>
      <c r="J64" s="664">
        <f>SUM(Anx16AMN!K51:M51)+SUM(Anx16AMN!K85:M85)</f>
        <v>10157717.33</v>
      </c>
      <c r="K64" s="71"/>
      <c r="L64" s="666">
        <f>SUM(B64:J64)</f>
        <v>34024472.243120357</v>
      </c>
      <c r="M64" s="665"/>
      <c r="O64" s="24"/>
    </row>
    <row r="65" spans="1:15" ht="15">
      <c r="A65" s="655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5"/>
      <c r="M65" s="665"/>
      <c r="O65" s="24"/>
    </row>
    <row r="66" spans="1:15" ht="16.5">
      <c r="A66" s="168" t="s">
        <v>512</v>
      </c>
      <c r="B66" s="661"/>
      <c r="C66" s="661"/>
      <c r="D66" s="661"/>
      <c r="E66" s="661"/>
      <c r="F66" s="661"/>
      <c r="G66" s="661"/>
      <c r="H66" s="661"/>
      <c r="I66" s="661"/>
      <c r="J66" s="71"/>
      <c r="K66" s="666" t="s">
        <v>226</v>
      </c>
      <c r="L66" s="666" t="s">
        <v>225</v>
      </c>
      <c r="M66" s="666" t="s">
        <v>224</v>
      </c>
      <c r="O66" s="24"/>
    </row>
    <row r="67" spans="1:15" ht="16.5">
      <c r="A67" s="660" t="s">
        <v>42</v>
      </c>
      <c r="B67" s="669">
        <f>(B62)+(C62*$M$67)</f>
        <v>12508057.58789188</v>
      </c>
      <c r="C67" s="670">
        <f t="shared" ref="C67:J67" si="4">(C62*$L$67)+(D62*$M$67)</f>
        <v>6578132.2081479458</v>
      </c>
      <c r="D67" s="670">
        <f t="shared" si="4"/>
        <v>6699495.3752560643</v>
      </c>
      <c r="E67" s="670">
        <f t="shared" si="4"/>
        <v>6003258.7400000002</v>
      </c>
      <c r="F67" s="670">
        <f t="shared" si="4"/>
        <v>5203620.2650000006</v>
      </c>
      <c r="G67" s="670">
        <f t="shared" si="4"/>
        <v>7802818.0500000007</v>
      </c>
      <c r="H67" s="670">
        <f t="shared" si="4"/>
        <v>11693732.359999999</v>
      </c>
      <c r="I67" s="670">
        <f t="shared" si="4"/>
        <v>42344730.060000002</v>
      </c>
      <c r="J67" s="664">
        <f t="shared" si="4"/>
        <v>35968724.649999999</v>
      </c>
      <c r="K67" s="666">
        <f>SUM(B67:J67)</f>
        <v>134802569.29629588</v>
      </c>
      <c r="L67" s="667">
        <v>0.5</v>
      </c>
      <c r="M67" s="667">
        <f>100%-L67</f>
        <v>0.5</v>
      </c>
      <c r="O67" s="24"/>
    </row>
    <row r="68" spans="1:15" ht="16.5">
      <c r="A68" s="660" t="s">
        <v>43</v>
      </c>
      <c r="B68" s="670">
        <f>(B63)+(C63*$M$68)</f>
        <v>5625278.2475465033</v>
      </c>
      <c r="C68" s="670">
        <f t="shared" ref="C68:J68" si="5">(C63*$L$68)+(D63*$M$68)</f>
        <v>3463017.5342143951</v>
      </c>
      <c r="D68" s="670">
        <f t="shared" si="5"/>
        <v>4155973.9905629335</v>
      </c>
      <c r="E68" s="670">
        <f t="shared" si="5"/>
        <v>4139501.1619999995</v>
      </c>
      <c r="F68" s="670">
        <f t="shared" si="5"/>
        <v>4126641.9209999996</v>
      </c>
      <c r="G68" s="670">
        <f t="shared" si="5"/>
        <v>8748720.9299999997</v>
      </c>
      <c r="H68" s="670">
        <f t="shared" si="5"/>
        <v>10441027.16</v>
      </c>
      <c r="I68" s="670">
        <f t="shared" si="5"/>
        <v>22964551.205999997</v>
      </c>
      <c r="J68" s="664">
        <f t="shared" si="5"/>
        <v>8513986.7880000006</v>
      </c>
      <c r="K68" s="666">
        <f>SUM(B68:J68)</f>
        <v>72178698.939323828</v>
      </c>
      <c r="L68" s="667">
        <v>0.3</v>
      </c>
      <c r="M68" s="667">
        <f>100%-L68</f>
        <v>0.7</v>
      </c>
      <c r="O68" s="24"/>
    </row>
    <row r="69" spans="1:15" ht="16.5">
      <c r="A69" s="660" t="s">
        <v>68</v>
      </c>
      <c r="B69" s="670">
        <f>(B64)+(C64*$M$69)</f>
        <v>2909882.0544400029</v>
      </c>
      <c r="C69" s="670">
        <f t="shared" ref="C69:J69" si="6">(C64*$L$69)+(D64*$M$69)</f>
        <v>1287706.5719328229</v>
      </c>
      <c r="D69" s="669">
        <f t="shared" si="6"/>
        <v>1572970.3597475355</v>
      </c>
      <c r="E69" s="670">
        <f t="shared" si="6"/>
        <v>4743245.7529999996</v>
      </c>
      <c r="F69" s="670">
        <f t="shared" si="6"/>
        <v>2532940.2939999998</v>
      </c>
      <c r="G69" s="670">
        <f t="shared" si="6"/>
        <v>1208892.7259999998</v>
      </c>
      <c r="H69" s="670">
        <f t="shared" si="6"/>
        <v>6844639.6439999994</v>
      </c>
      <c r="I69" s="670">
        <f t="shared" si="6"/>
        <v>9876879.6409999989</v>
      </c>
      <c r="J69" s="664">
        <f t="shared" si="6"/>
        <v>3047315.199</v>
      </c>
      <c r="K69" s="666">
        <f>SUM(B69:J69)</f>
        <v>34024472.243120357</v>
      </c>
      <c r="L69" s="667">
        <v>0.3</v>
      </c>
      <c r="M69" s="667">
        <f>100%-L69</f>
        <v>0.7</v>
      </c>
      <c r="O69" s="24"/>
    </row>
    <row r="70" spans="1:15" ht="15">
      <c r="A70" s="655"/>
      <c r="B70" s="661"/>
      <c r="C70" s="661"/>
      <c r="D70" s="661"/>
      <c r="E70" s="661"/>
      <c r="F70" s="661"/>
      <c r="G70" s="661"/>
      <c r="H70" s="661"/>
      <c r="I70" s="661"/>
      <c r="J70" s="661"/>
      <c r="K70" s="661"/>
      <c r="L70" s="661"/>
      <c r="M70" s="661"/>
      <c r="O70" s="24"/>
    </row>
    <row r="71" spans="1:15" ht="16.5">
      <c r="A71" s="168" t="s">
        <v>513</v>
      </c>
      <c r="B71" s="661"/>
      <c r="C71" s="661"/>
      <c r="D71" s="661"/>
      <c r="E71" s="661"/>
      <c r="F71" s="661"/>
      <c r="G71" s="661"/>
      <c r="H71" s="661"/>
      <c r="I71" s="661"/>
      <c r="J71" s="71"/>
      <c r="K71" s="666" t="s">
        <v>226</v>
      </c>
      <c r="L71" s="666" t="s">
        <v>225</v>
      </c>
      <c r="M71" s="666" t="s">
        <v>224</v>
      </c>
      <c r="O71" s="24"/>
    </row>
    <row r="72" spans="1:15" ht="16.5">
      <c r="A72" s="663" t="s">
        <v>42</v>
      </c>
      <c r="B72" s="669">
        <f>(B62)+(C62*$M$72)</f>
        <v>11242711.024735129</v>
      </c>
      <c r="C72" s="670">
        <f t="shared" ref="C72:J72" si="7">(C62*$L$72)+(D62*$M$72)</f>
        <v>6477572.4512022724</v>
      </c>
      <c r="D72" s="670">
        <f t="shared" si="7"/>
        <v>6751509.8653584896</v>
      </c>
      <c r="E72" s="670">
        <f t="shared" si="7"/>
        <v>6229738.904000001</v>
      </c>
      <c r="F72" s="670">
        <f t="shared" si="7"/>
        <v>5296995.4910000004</v>
      </c>
      <c r="G72" s="670">
        <f t="shared" si="7"/>
        <v>6669763.7100000009</v>
      </c>
      <c r="H72" s="670">
        <f t="shared" si="7"/>
        <v>11270420.976</v>
      </c>
      <c r="I72" s="670">
        <f t="shared" si="7"/>
        <v>30507642.364</v>
      </c>
      <c r="J72" s="664">
        <f t="shared" si="7"/>
        <v>50356214.509999998</v>
      </c>
      <c r="K72" s="666">
        <f>SUM(B72:J72)</f>
        <v>134802569.29629588</v>
      </c>
      <c r="L72" s="667">
        <v>0.7</v>
      </c>
      <c r="M72" s="667">
        <f>100%-L72</f>
        <v>0.30000000000000004</v>
      </c>
      <c r="O72" s="24"/>
    </row>
    <row r="73" spans="1:15" ht="16.5">
      <c r="A73" s="663" t="s">
        <v>43</v>
      </c>
      <c r="B73" s="670">
        <f>(B63)+(C63*$M$73)</f>
        <v>4877920.9853903595</v>
      </c>
      <c r="C73" s="670">
        <f t="shared" ref="C73:J73" si="8">(C63*$L$73)+(D63*$M$73)</f>
        <v>3541237.1846619165</v>
      </c>
      <c r="D73" s="670">
        <f t="shared" si="8"/>
        <v>3924463.7242715564</v>
      </c>
      <c r="E73" s="670">
        <f t="shared" si="8"/>
        <v>4243426.37</v>
      </c>
      <c r="F73" s="670">
        <f t="shared" si="8"/>
        <v>4085776.6150000002</v>
      </c>
      <c r="G73" s="670">
        <f t="shared" si="8"/>
        <v>7445640.6300000008</v>
      </c>
      <c r="H73" s="670">
        <f t="shared" si="8"/>
        <v>10515974.08</v>
      </c>
      <c r="I73" s="670">
        <f t="shared" si="8"/>
        <v>19354281.370000001</v>
      </c>
      <c r="J73" s="664">
        <f t="shared" si="8"/>
        <v>14189977.98</v>
      </c>
      <c r="K73" s="666">
        <f>SUM(B73:J73)</f>
        <v>72178698.939323843</v>
      </c>
      <c r="L73" s="667">
        <v>0.5</v>
      </c>
      <c r="M73" s="667">
        <f>100%-L73</f>
        <v>0.5</v>
      </c>
      <c r="O73" s="24"/>
    </row>
    <row r="74" spans="1:15" ht="16.5">
      <c r="A74" s="663" t="s">
        <v>68</v>
      </c>
      <c r="B74" s="670">
        <f>(B64)+(C64*$M$74)</f>
        <v>2805448.7303142878</v>
      </c>
      <c r="C74" s="670">
        <f t="shared" ref="C74:J74" si="9">(C64*$L$74)+(D64*$M$74)</f>
        <v>1068980.871560181</v>
      </c>
      <c r="D74" s="669">
        <f t="shared" si="9"/>
        <v>1585206.006245893</v>
      </c>
      <c r="E74" s="670">
        <f t="shared" si="9"/>
        <v>3832208.9350000001</v>
      </c>
      <c r="F74" s="670">
        <f t="shared" si="9"/>
        <v>3554900.49</v>
      </c>
      <c r="G74" s="670">
        <f t="shared" si="9"/>
        <v>1149209.0899999999</v>
      </c>
      <c r="H74" s="670">
        <f t="shared" si="9"/>
        <v>5260004.9399999995</v>
      </c>
      <c r="I74" s="670">
        <f t="shared" si="9"/>
        <v>9689654.5150000006</v>
      </c>
      <c r="J74" s="664">
        <f t="shared" si="9"/>
        <v>5078858.665</v>
      </c>
      <c r="K74" s="666">
        <f>SUM(B74:J74)</f>
        <v>34024472.243120365</v>
      </c>
      <c r="L74" s="667">
        <v>0.5</v>
      </c>
      <c r="M74" s="667">
        <f>100%-L74</f>
        <v>0.5</v>
      </c>
      <c r="O74" s="24"/>
    </row>
    <row r="75" spans="1:15" ht="15">
      <c r="A75" s="655"/>
      <c r="B75" s="661"/>
      <c r="C75" s="661"/>
      <c r="D75" s="661"/>
      <c r="E75" s="661"/>
      <c r="F75" s="661"/>
      <c r="G75" s="661"/>
      <c r="H75" s="661"/>
      <c r="I75" s="661"/>
      <c r="J75" s="661"/>
      <c r="K75" s="661"/>
      <c r="L75" s="661"/>
      <c r="M75" s="661"/>
      <c r="O75" s="24"/>
    </row>
    <row r="76" spans="1:15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>
      <c r="A77" s="659" t="s">
        <v>499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68" t="s">
        <v>227</v>
      </c>
      <c r="K77" s="71"/>
      <c r="L77" s="666" t="s">
        <v>226</v>
      </c>
      <c r="M77" s="661"/>
    </row>
    <row r="78" spans="1:15" ht="16.5">
      <c r="A78" s="660" t="s">
        <v>505</v>
      </c>
      <c r="B78" s="670">
        <f>Anx16AMN!C80</f>
        <v>4842275.97</v>
      </c>
      <c r="C78" s="670">
        <f>Anx16AMN!D80</f>
        <v>2005736.3778733234</v>
      </c>
      <c r="D78" s="670">
        <f>Anx16AMN!E80</f>
        <v>1539055.6535133661</v>
      </c>
      <c r="E78" s="670">
        <f>Anx16AMN!F80</f>
        <v>0</v>
      </c>
      <c r="F78" s="670">
        <f>Anx16AMN!G80</f>
        <v>0</v>
      </c>
      <c r="G78" s="670">
        <f>Anx16AMN!H80</f>
        <v>0</v>
      </c>
      <c r="H78" s="670">
        <f>Anx16AMN!I80</f>
        <v>0</v>
      </c>
      <c r="I78" s="670">
        <f>Anx16AMN!J80</f>
        <v>0</v>
      </c>
      <c r="J78" s="670">
        <f>SUM(Anx16AMN!K80:M80)</f>
        <v>34843842.359999999</v>
      </c>
      <c r="K78" s="71"/>
      <c r="L78" s="666">
        <f>SUM(B78:J78)</f>
        <v>43230910.361386687</v>
      </c>
      <c r="M78" s="665"/>
      <c r="N78" s="142"/>
    </row>
    <row r="79" spans="1:15" ht="16.5">
      <c r="A79" s="660" t="s">
        <v>506</v>
      </c>
      <c r="B79" s="670">
        <f>Anx16AMN!C81</f>
        <v>1936977.14</v>
      </c>
      <c r="C79" s="670">
        <f>Anx16AMN!D81</f>
        <v>802322.20244769321</v>
      </c>
      <c r="D79" s="670">
        <f>Anx16AMN!E81</f>
        <v>615643.47899283364</v>
      </c>
      <c r="E79" s="670">
        <f>Anx16AMN!F81</f>
        <v>0</v>
      </c>
      <c r="F79" s="670">
        <f>Anx16AMN!G81</f>
        <v>0</v>
      </c>
      <c r="G79" s="670">
        <f>Anx16AMN!H81</f>
        <v>0</v>
      </c>
      <c r="H79" s="670">
        <f>Anx16AMN!I81</f>
        <v>0</v>
      </c>
      <c r="I79" s="670">
        <f>Anx16AMN!J81</f>
        <v>0</v>
      </c>
      <c r="J79" s="670">
        <f>SUM(Anx16AMN!K81:M81)</f>
        <v>13938017.310000001</v>
      </c>
      <c r="K79" s="71"/>
      <c r="L79" s="666">
        <f>SUM(B79:J79)</f>
        <v>17292960.131440528</v>
      </c>
      <c r="M79" s="665"/>
      <c r="N79" s="142"/>
    </row>
    <row r="80" spans="1:15" ht="16.5">
      <c r="A80" s="660" t="s">
        <v>507</v>
      </c>
      <c r="B80" s="670">
        <f>Anx16AMN!C82</f>
        <v>448534.35</v>
      </c>
      <c r="C80" s="670">
        <f>Anx16AMN!D82</f>
        <v>185789.01135032633</v>
      </c>
      <c r="D80" s="670">
        <f>Anx16AMN!E82</f>
        <v>142560.92247903469</v>
      </c>
      <c r="E80" s="670">
        <f>Anx16AMN!F82</f>
        <v>0</v>
      </c>
      <c r="F80" s="670">
        <f>Anx16AMN!G82</f>
        <v>0</v>
      </c>
      <c r="G80" s="670">
        <f>Anx16AMN!H82</f>
        <v>0</v>
      </c>
      <c r="H80" s="670">
        <f>Anx16AMN!I82</f>
        <v>0</v>
      </c>
      <c r="I80" s="670">
        <f>Anx16AMN!J82</f>
        <v>0</v>
      </c>
      <c r="J80" s="670">
        <f>SUM(Anx16AMN!K82:M82)</f>
        <v>3227544.31</v>
      </c>
      <c r="K80" s="71"/>
      <c r="L80" s="666">
        <f>SUM(B80:J80)</f>
        <v>4004428.5938293608</v>
      </c>
      <c r="M80" s="665"/>
      <c r="N80" s="142"/>
    </row>
    <row r="81" spans="1:14" ht="15">
      <c r="A81" s="655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5"/>
      <c r="M81" s="665"/>
    </row>
    <row r="82" spans="1:14" ht="16.5">
      <c r="A82" s="58" t="s">
        <v>512</v>
      </c>
      <c r="B82" s="661"/>
      <c r="C82" s="661"/>
      <c r="D82" s="661"/>
      <c r="E82" s="661"/>
      <c r="F82" s="661"/>
      <c r="G82" s="661"/>
      <c r="H82" s="661"/>
      <c r="I82" s="661"/>
      <c r="J82" s="71"/>
      <c r="K82" s="666" t="s">
        <v>226</v>
      </c>
      <c r="L82" s="666" t="s">
        <v>225</v>
      </c>
      <c r="M82" s="666" t="s">
        <v>224</v>
      </c>
      <c r="N82" s="666"/>
    </row>
    <row r="83" spans="1:14" ht="16.5">
      <c r="A83" s="663" t="s">
        <v>220</v>
      </c>
      <c r="B83" s="670">
        <f>(B78)+(C78*$M$67)</f>
        <v>5845144.1589366617</v>
      </c>
      <c r="C83" s="670">
        <f t="shared" ref="C83:J83" si="10">(C78*$L$67)+(D78*$M$67)</f>
        <v>1772396.0156933446</v>
      </c>
      <c r="D83" s="670">
        <f t="shared" si="10"/>
        <v>769527.82675668306</v>
      </c>
      <c r="E83" s="670">
        <f t="shared" si="10"/>
        <v>0</v>
      </c>
      <c r="F83" s="670">
        <f t="shared" si="10"/>
        <v>0</v>
      </c>
      <c r="G83" s="670">
        <f t="shared" si="10"/>
        <v>0</v>
      </c>
      <c r="H83" s="670">
        <f t="shared" si="10"/>
        <v>0</v>
      </c>
      <c r="I83" s="670">
        <f t="shared" si="10"/>
        <v>17421921.18</v>
      </c>
      <c r="J83" s="670">
        <f t="shared" si="10"/>
        <v>17421921.18</v>
      </c>
      <c r="K83" s="666">
        <f>SUM(B83:J83)</f>
        <v>43230910.361386687</v>
      </c>
      <c r="L83" s="667">
        <v>0.5</v>
      </c>
      <c r="M83" s="667">
        <f>100%-L83</f>
        <v>0.5</v>
      </c>
    </row>
    <row r="84" spans="1:14" ht="16.5">
      <c r="A84" s="663" t="s">
        <v>219</v>
      </c>
      <c r="B84" s="670">
        <f>(B79)+(C79*$M$68)</f>
        <v>2498602.681713385</v>
      </c>
      <c r="C84" s="670">
        <f t="shared" ref="C84:J84" si="11">(C79*$L$68)+(D79*$M$68)</f>
        <v>671647.0960292914</v>
      </c>
      <c r="D84" s="670">
        <f t="shared" si="11"/>
        <v>184693.04369785008</v>
      </c>
      <c r="E84" s="670">
        <f t="shared" si="11"/>
        <v>0</v>
      </c>
      <c r="F84" s="670">
        <f t="shared" si="11"/>
        <v>0</v>
      </c>
      <c r="G84" s="670">
        <f t="shared" si="11"/>
        <v>0</v>
      </c>
      <c r="H84" s="670">
        <f t="shared" si="11"/>
        <v>0</v>
      </c>
      <c r="I84" s="670">
        <f t="shared" si="11"/>
        <v>9756612.1170000006</v>
      </c>
      <c r="J84" s="670">
        <f t="shared" si="11"/>
        <v>4181405.193</v>
      </c>
      <c r="K84" s="666">
        <f>SUM(B84:J84)</f>
        <v>17292960.131440528</v>
      </c>
      <c r="L84" s="667">
        <v>0.3</v>
      </c>
      <c r="M84" s="667">
        <f>100%-L84</f>
        <v>0.7</v>
      </c>
    </row>
    <row r="85" spans="1:14" ht="16.5">
      <c r="A85" s="663" t="s">
        <v>218</v>
      </c>
      <c r="B85" s="670">
        <f>(B80)+(C80*$M$69)</f>
        <v>578586.65794522839</v>
      </c>
      <c r="C85" s="670">
        <f t="shared" ref="C85:J85" si="12">(C80*$L$69)+(D80*$M$69)</f>
        <v>155529.34914042219</v>
      </c>
      <c r="D85" s="670">
        <f t="shared" si="12"/>
        <v>42768.276743710405</v>
      </c>
      <c r="E85" s="670">
        <f t="shared" si="12"/>
        <v>0</v>
      </c>
      <c r="F85" s="670">
        <f t="shared" si="12"/>
        <v>0</v>
      </c>
      <c r="G85" s="670">
        <f t="shared" si="12"/>
        <v>0</v>
      </c>
      <c r="H85" s="670">
        <f t="shared" si="12"/>
        <v>0</v>
      </c>
      <c r="I85" s="670">
        <f t="shared" si="12"/>
        <v>2259281.017</v>
      </c>
      <c r="J85" s="670">
        <f t="shared" si="12"/>
        <v>968263.29299999995</v>
      </c>
      <c r="K85" s="666">
        <f>SUM(B85:J85)</f>
        <v>4004428.5938293613</v>
      </c>
      <c r="L85" s="667">
        <v>0.3</v>
      </c>
      <c r="M85" s="667">
        <f>100%-L85</f>
        <v>0.7</v>
      </c>
    </row>
    <row r="86" spans="1:14" ht="15">
      <c r="A86" s="655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</row>
    <row r="87" spans="1:14" ht="16.5">
      <c r="A87" s="168" t="s">
        <v>513</v>
      </c>
      <c r="B87" s="661"/>
      <c r="C87" s="661"/>
      <c r="D87" s="661"/>
      <c r="E87" s="661"/>
      <c r="F87" s="661"/>
      <c r="G87" s="661"/>
      <c r="H87" s="661"/>
      <c r="I87" s="661"/>
      <c r="J87" s="71"/>
      <c r="K87" s="666" t="s">
        <v>226</v>
      </c>
      <c r="L87" s="666" t="s">
        <v>225</v>
      </c>
      <c r="M87" s="666" t="s">
        <v>224</v>
      </c>
      <c r="N87" s="666"/>
    </row>
    <row r="88" spans="1:14" ht="16.5">
      <c r="A88" s="663" t="s">
        <v>220</v>
      </c>
      <c r="B88" s="670">
        <f>(B78)+(C78*$M$72)</f>
        <v>5443996.8833619971</v>
      </c>
      <c r="C88" s="670">
        <f t="shared" ref="C88:J88" si="13">(C78*$L$72)+(D78*$M$72)</f>
        <v>1865732.1605653362</v>
      </c>
      <c r="D88" s="670">
        <f t="shared" si="13"/>
        <v>1077338.9574593562</v>
      </c>
      <c r="E88" s="670">
        <f t="shared" si="13"/>
        <v>0</v>
      </c>
      <c r="F88" s="670">
        <f t="shared" si="13"/>
        <v>0</v>
      </c>
      <c r="G88" s="670">
        <f t="shared" si="13"/>
        <v>0</v>
      </c>
      <c r="H88" s="670">
        <f t="shared" si="13"/>
        <v>0</v>
      </c>
      <c r="I88" s="670">
        <f t="shared" si="13"/>
        <v>10453152.708000001</v>
      </c>
      <c r="J88" s="670">
        <f t="shared" si="13"/>
        <v>24390689.651999999</v>
      </c>
      <c r="K88" s="666">
        <f>SUM(B88:J88)</f>
        <v>43230910.361386687</v>
      </c>
      <c r="L88" s="667">
        <v>0.7</v>
      </c>
      <c r="M88" s="667">
        <f>100%-L88</f>
        <v>0.30000000000000004</v>
      </c>
    </row>
    <row r="89" spans="1:14" ht="16.5">
      <c r="A89" s="663" t="s">
        <v>219</v>
      </c>
      <c r="B89" s="670">
        <f>(B79)+(C79*$M$73)</f>
        <v>2338138.2412238466</v>
      </c>
      <c r="C89" s="670">
        <f t="shared" ref="C89:J89" si="14">(C79*$L$73)+(D79*$M$73)</f>
        <v>708982.84072026343</v>
      </c>
      <c r="D89" s="670">
        <f t="shared" si="14"/>
        <v>307821.73949641682</v>
      </c>
      <c r="E89" s="670">
        <f t="shared" si="14"/>
        <v>0</v>
      </c>
      <c r="F89" s="670">
        <f t="shared" si="14"/>
        <v>0</v>
      </c>
      <c r="G89" s="670">
        <f t="shared" si="14"/>
        <v>0</v>
      </c>
      <c r="H89" s="670">
        <f t="shared" si="14"/>
        <v>0</v>
      </c>
      <c r="I89" s="670">
        <f t="shared" si="14"/>
        <v>6969008.6550000003</v>
      </c>
      <c r="J89" s="670">
        <f t="shared" si="14"/>
        <v>6969008.6550000003</v>
      </c>
      <c r="K89" s="666">
        <f>SUM(B89:J89)</f>
        <v>17292960.131440528</v>
      </c>
      <c r="L89" s="667">
        <v>0.5</v>
      </c>
      <c r="M89" s="667">
        <f>100%-L89</f>
        <v>0.5</v>
      </c>
    </row>
    <row r="90" spans="1:14" ht="16.5">
      <c r="A90" s="663" t="s">
        <v>218</v>
      </c>
      <c r="B90" s="670">
        <f>(B80)+(C80*$M$74)</f>
        <v>541428.8556751631</v>
      </c>
      <c r="C90" s="670">
        <f t="shared" ref="C90:J90" si="15">(C80*$L$74)+(D80*$M$74)</f>
        <v>164174.9669146805</v>
      </c>
      <c r="D90" s="670">
        <f t="shared" si="15"/>
        <v>71280.461239517346</v>
      </c>
      <c r="E90" s="670">
        <f t="shared" si="15"/>
        <v>0</v>
      </c>
      <c r="F90" s="670">
        <f t="shared" si="15"/>
        <v>0</v>
      </c>
      <c r="G90" s="670">
        <f t="shared" si="15"/>
        <v>0</v>
      </c>
      <c r="H90" s="670">
        <f t="shared" si="15"/>
        <v>0</v>
      </c>
      <c r="I90" s="670">
        <f t="shared" si="15"/>
        <v>1613772.155</v>
      </c>
      <c r="J90" s="670">
        <f t="shared" si="15"/>
        <v>1613772.155</v>
      </c>
      <c r="K90" s="666">
        <f>SUM(B90:J90)</f>
        <v>4004428.5938293608</v>
      </c>
      <c r="L90" s="667">
        <v>0.5</v>
      </c>
      <c r="M90" s="667">
        <f>100%-L90</f>
        <v>0.5</v>
      </c>
    </row>
    <row r="91" spans="1:14" ht="15">
      <c r="A91" s="655"/>
      <c r="B91" s="661"/>
      <c r="C91" s="661"/>
      <c r="D91" s="661"/>
      <c r="E91" s="661"/>
      <c r="F91" s="661"/>
      <c r="G91" s="661"/>
      <c r="H91" s="661"/>
      <c r="I91" s="661"/>
      <c r="J91" s="661"/>
      <c r="K91" s="661"/>
      <c r="L91" s="661"/>
      <c r="M91" s="661"/>
    </row>
    <row r="92" spans="1:14" ht="15">
      <c r="A92" s="655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</row>
    <row r="93" spans="1:14" ht="16.5">
      <c r="A93" s="659" t="s">
        <v>499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68" t="s">
        <v>227</v>
      </c>
      <c r="K93" s="71"/>
      <c r="L93" s="666" t="s">
        <v>226</v>
      </c>
      <c r="M93" s="71"/>
    </row>
    <row r="94" spans="1:14" ht="16.5">
      <c r="A94" s="663" t="s">
        <v>508</v>
      </c>
      <c r="B94" s="670">
        <f>Anx16AMN!C77</f>
        <v>137544.45000000001</v>
      </c>
      <c r="C94" s="670">
        <f>Anx16AMN!D77</f>
        <v>0</v>
      </c>
      <c r="D94" s="670">
        <f>Anx16AMN!E77</f>
        <v>0</v>
      </c>
      <c r="E94" s="670">
        <f>Anx16AMN!F77</f>
        <v>0</v>
      </c>
      <c r="F94" s="670">
        <f>Anx16AMN!G77</f>
        <v>0</v>
      </c>
      <c r="G94" s="670">
        <f>Anx16AMN!H77</f>
        <v>0</v>
      </c>
      <c r="H94" s="670">
        <f>Anx16AMN!I77</f>
        <v>0</v>
      </c>
      <c r="I94" s="670">
        <f>Anx16AMN!J77</f>
        <v>0</v>
      </c>
      <c r="J94" s="670">
        <f>SUM(Anx16AMN!K77:M77)</f>
        <v>0</v>
      </c>
      <c r="K94" s="71"/>
      <c r="L94" s="666">
        <f>SUM(B94:J94)</f>
        <v>137544.45000000001</v>
      </c>
      <c r="M94" s="665"/>
    </row>
    <row r="95" spans="1:14" ht="16.5">
      <c r="A95" s="663" t="s">
        <v>509</v>
      </c>
      <c r="B95" s="670">
        <f>Anx16AMN!C78</f>
        <v>0</v>
      </c>
      <c r="C95" s="670">
        <f>Anx16AMN!D78</f>
        <v>0</v>
      </c>
      <c r="D95" s="670">
        <f>Anx16AMN!E78</f>
        <v>0</v>
      </c>
      <c r="E95" s="670">
        <f>Anx16AMN!F78</f>
        <v>0</v>
      </c>
      <c r="F95" s="670">
        <f>Anx16AMN!G78</f>
        <v>0</v>
      </c>
      <c r="G95" s="670">
        <f>Anx16AMN!H78</f>
        <v>0</v>
      </c>
      <c r="H95" s="670">
        <f>Anx16AMN!I78</f>
        <v>0</v>
      </c>
      <c r="I95" s="670">
        <f>Anx16AMN!J78</f>
        <v>0</v>
      </c>
      <c r="J95" s="670">
        <f>SUM(Anx16AMN!K78:M78)</f>
        <v>0</v>
      </c>
      <c r="K95" s="71"/>
      <c r="L95" s="666">
        <f>SUM(B95:J95)</f>
        <v>0</v>
      </c>
      <c r="M95" s="665"/>
    </row>
    <row r="96" spans="1:14" ht="16.5">
      <c r="A96" s="663" t="s">
        <v>510</v>
      </c>
      <c r="B96" s="670">
        <f>Anx16AMN!C79</f>
        <v>0</v>
      </c>
      <c r="C96" s="670">
        <f>Anx16AMN!D79</f>
        <v>0</v>
      </c>
      <c r="D96" s="670">
        <f>Anx16AMN!E79</f>
        <v>0</v>
      </c>
      <c r="E96" s="670">
        <f>Anx16AMN!F79</f>
        <v>0</v>
      </c>
      <c r="F96" s="670">
        <f>Anx16AMN!G79</f>
        <v>0</v>
      </c>
      <c r="G96" s="670">
        <f>Anx16AMN!H79</f>
        <v>0</v>
      </c>
      <c r="H96" s="670">
        <f>Anx16AMN!I79</f>
        <v>0</v>
      </c>
      <c r="I96" s="670">
        <f>Anx16AMN!J79</f>
        <v>0</v>
      </c>
      <c r="J96" s="670">
        <f>SUM(Anx16AMN!K79:M79)</f>
        <v>0</v>
      </c>
      <c r="K96" s="71"/>
      <c r="L96" s="666">
        <f>SUM(B96:J96)</f>
        <v>0</v>
      </c>
      <c r="M96" s="665"/>
    </row>
    <row r="97" spans="1:21" ht="15">
      <c r="A97" s="655"/>
      <c r="B97" s="661"/>
      <c r="C97" s="661"/>
      <c r="D97" s="661"/>
      <c r="E97" s="661"/>
      <c r="F97" s="661"/>
      <c r="G97" s="661"/>
      <c r="H97" s="661"/>
      <c r="I97" s="661"/>
      <c r="J97" s="661"/>
      <c r="K97" s="661"/>
      <c r="L97" s="665"/>
      <c r="M97" s="665"/>
      <c r="N97" s="71"/>
      <c r="O97" s="71"/>
      <c r="P97" s="71"/>
      <c r="Q97" s="71"/>
      <c r="R97" s="71"/>
      <c r="S97" s="71"/>
      <c r="T97" s="71"/>
      <c r="U97" s="71"/>
    </row>
    <row r="98" spans="1:21" ht="16.5">
      <c r="A98" s="58" t="s">
        <v>512</v>
      </c>
      <c r="B98" s="661"/>
      <c r="C98" s="661"/>
      <c r="D98" s="661"/>
      <c r="E98" s="661"/>
      <c r="F98" s="661"/>
      <c r="G98" s="661"/>
      <c r="H98" s="661"/>
      <c r="I98" s="661"/>
      <c r="J98" s="71"/>
      <c r="K98" s="666" t="s">
        <v>226</v>
      </c>
      <c r="L98" s="666" t="s">
        <v>225</v>
      </c>
      <c r="M98" s="666" t="s">
        <v>224</v>
      </c>
      <c r="N98" s="71"/>
      <c r="O98" s="71"/>
      <c r="P98" s="71"/>
      <c r="Q98" s="71"/>
      <c r="R98" s="71"/>
      <c r="S98" s="71"/>
      <c r="T98" s="71"/>
      <c r="U98" s="71"/>
    </row>
    <row r="99" spans="1:21" ht="16.5">
      <c r="A99" s="663" t="s">
        <v>217</v>
      </c>
      <c r="B99" s="670">
        <f>(B94)+(C94*$M$68)</f>
        <v>137544.45000000001</v>
      </c>
      <c r="C99" s="670">
        <f t="shared" ref="C99:J99" si="16">(C94*$L$68)+(D94*$M$68)</f>
        <v>0</v>
      </c>
      <c r="D99" s="670">
        <f t="shared" si="16"/>
        <v>0</v>
      </c>
      <c r="E99" s="670">
        <f t="shared" si="16"/>
        <v>0</v>
      </c>
      <c r="F99" s="670">
        <f t="shared" si="16"/>
        <v>0</v>
      </c>
      <c r="G99" s="670">
        <f t="shared" si="16"/>
        <v>0</v>
      </c>
      <c r="H99" s="670">
        <f t="shared" si="16"/>
        <v>0</v>
      </c>
      <c r="I99" s="670">
        <f t="shared" si="16"/>
        <v>0</v>
      </c>
      <c r="J99" s="670">
        <f t="shared" si="16"/>
        <v>0</v>
      </c>
      <c r="K99" s="666">
        <f>SUM(B99:J99)</f>
        <v>137544.45000000001</v>
      </c>
      <c r="L99" s="667">
        <v>0.5</v>
      </c>
      <c r="M99" s="667">
        <f>100%-L99</f>
        <v>0.5</v>
      </c>
      <c r="N99" s="71"/>
      <c r="O99" s="71"/>
      <c r="P99" s="71"/>
      <c r="Q99" s="71"/>
      <c r="R99" s="71"/>
      <c r="S99" s="71"/>
      <c r="T99" s="71"/>
      <c r="U99" s="71"/>
    </row>
    <row r="100" spans="1:21" ht="16.5">
      <c r="A100" s="663" t="s">
        <v>216</v>
      </c>
      <c r="B100" s="670">
        <f>(B95)+(C95*$M$69)</f>
        <v>0</v>
      </c>
      <c r="C100" s="670">
        <f t="shared" ref="C100:J100" si="17">(C95*$L$69)+(D95*$M$69)</f>
        <v>0</v>
      </c>
      <c r="D100" s="670">
        <f t="shared" si="17"/>
        <v>0</v>
      </c>
      <c r="E100" s="670">
        <f t="shared" si="17"/>
        <v>0</v>
      </c>
      <c r="F100" s="670">
        <f t="shared" si="17"/>
        <v>0</v>
      </c>
      <c r="G100" s="670">
        <f t="shared" si="17"/>
        <v>0</v>
      </c>
      <c r="H100" s="670">
        <f t="shared" si="17"/>
        <v>0</v>
      </c>
      <c r="I100" s="670">
        <f t="shared" si="17"/>
        <v>0</v>
      </c>
      <c r="J100" s="670">
        <f t="shared" si="17"/>
        <v>0</v>
      </c>
      <c r="K100" s="666">
        <f>SUM(B100:J100)</f>
        <v>0</v>
      </c>
      <c r="L100" s="667">
        <v>0.3</v>
      </c>
      <c r="M100" s="667">
        <f>100%-L100</f>
        <v>0.7</v>
      </c>
      <c r="N100" s="71"/>
      <c r="O100" s="71"/>
      <c r="P100" s="71"/>
      <c r="Q100" s="71"/>
      <c r="R100" s="71"/>
      <c r="S100" s="71"/>
      <c r="T100" s="71"/>
      <c r="U100" s="71"/>
    </row>
    <row r="101" spans="1:21" ht="16.5">
      <c r="A101" s="663" t="s">
        <v>215</v>
      </c>
      <c r="B101" s="670">
        <f>(B96)+(C96*$M$70)</f>
        <v>0</v>
      </c>
      <c r="C101" s="670">
        <f t="shared" ref="C101:J101" si="18">(C96*$L$70)+(D96*$M$70)</f>
        <v>0</v>
      </c>
      <c r="D101" s="670">
        <f t="shared" si="18"/>
        <v>0</v>
      </c>
      <c r="E101" s="670">
        <f t="shared" si="18"/>
        <v>0</v>
      </c>
      <c r="F101" s="670">
        <f t="shared" si="18"/>
        <v>0</v>
      </c>
      <c r="G101" s="670">
        <f t="shared" si="18"/>
        <v>0</v>
      </c>
      <c r="H101" s="670">
        <f t="shared" si="18"/>
        <v>0</v>
      </c>
      <c r="I101" s="670">
        <f t="shared" si="18"/>
        <v>0</v>
      </c>
      <c r="J101" s="670">
        <f t="shared" si="18"/>
        <v>0</v>
      </c>
      <c r="K101" s="666">
        <f>SUM(B101:J101)</f>
        <v>0</v>
      </c>
      <c r="L101" s="667">
        <v>0.3</v>
      </c>
      <c r="M101" s="667">
        <f>100%-L101</f>
        <v>0.7</v>
      </c>
      <c r="N101" s="71"/>
      <c r="O101" s="71"/>
      <c r="P101" s="71"/>
      <c r="Q101" s="71"/>
      <c r="R101" s="71"/>
      <c r="S101" s="71"/>
      <c r="T101" s="71"/>
      <c r="U101" s="71"/>
    </row>
    <row r="102" spans="1:21" ht="15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  <c r="N102" s="71"/>
      <c r="O102" s="71"/>
      <c r="P102" s="71"/>
      <c r="Q102" s="71"/>
      <c r="R102" s="71"/>
      <c r="S102" s="71"/>
      <c r="T102" s="71"/>
      <c r="U102" s="71"/>
    </row>
    <row r="103" spans="1:21" ht="16.5">
      <c r="A103" s="168" t="s">
        <v>513</v>
      </c>
      <c r="B103" s="661"/>
      <c r="C103" s="661"/>
      <c r="D103" s="661"/>
      <c r="E103" s="661"/>
      <c r="F103" s="661"/>
      <c r="G103" s="661"/>
      <c r="H103" s="661"/>
      <c r="I103" s="661"/>
      <c r="J103" s="71"/>
      <c r="K103" s="666" t="s">
        <v>226</v>
      </c>
      <c r="L103" s="666" t="s">
        <v>225</v>
      </c>
      <c r="M103" s="666" t="s">
        <v>224</v>
      </c>
      <c r="N103" s="71"/>
      <c r="O103" s="71"/>
      <c r="P103" s="71"/>
      <c r="Q103" s="71"/>
      <c r="R103" s="71"/>
      <c r="S103" s="71"/>
      <c r="T103" s="71"/>
      <c r="U103" s="71"/>
    </row>
    <row r="104" spans="1:21" ht="16.5">
      <c r="A104" s="663" t="s">
        <v>217</v>
      </c>
      <c r="B104" s="670">
        <f>(B94)+(C94*$M$72)</f>
        <v>137544.45000000001</v>
      </c>
      <c r="C104" s="670">
        <f t="shared" ref="C104:J104" si="19">(C94*$L$72)+(D94*$M$72)</f>
        <v>0</v>
      </c>
      <c r="D104" s="670">
        <f t="shared" si="19"/>
        <v>0</v>
      </c>
      <c r="E104" s="670">
        <f t="shared" si="19"/>
        <v>0</v>
      </c>
      <c r="F104" s="670">
        <f t="shared" si="19"/>
        <v>0</v>
      </c>
      <c r="G104" s="670">
        <f t="shared" si="19"/>
        <v>0</v>
      </c>
      <c r="H104" s="670">
        <f t="shared" si="19"/>
        <v>0</v>
      </c>
      <c r="I104" s="670">
        <f t="shared" si="19"/>
        <v>0</v>
      </c>
      <c r="J104" s="670">
        <f t="shared" si="19"/>
        <v>0</v>
      </c>
      <c r="K104" s="666">
        <f>SUM(B104:J104)</f>
        <v>137544.45000000001</v>
      </c>
      <c r="L104" s="667">
        <v>0.7</v>
      </c>
      <c r="M104" s="667">
        <f>100%-L104</f>
        <v>0.30000000000000004</v>
      </c>
      <c r="N104" s="71"/>
      <c r="O104" s="71"/>
      <c r="P104" s="71"/>
      <c r="Q104" s="71"/>
      <c r="R104" s="71"/>
      <c r="S104" s="71"/>
      <c r="T104" s="71"/>
      <c r="U104" s="71"/>
    </row>
    <row r="105" spans="1:21" ht="16.5">
      <c r="A105" s="663" t="s">
        <v>216</v>
      </c>
      <c r="B105" s="670">
        <f>(B95)+(C95*$M$73)</f>
        <v>0</v>
      </c>
      <c r="C105" s="670">
        <f t="shared" ref="C105:J105" si="20">(C95*$L$73)+(D95*$M$73)</f>
        <v>0</v>
      </c>
      <c r="D105" s="670">
        <f t="shared" si="20"/>
        <v>0</v>
      </c>
      <c r="E105" s="670">
        <f t="shared" si="20"/>
        <v>0</v>
      </c>
      <c r="F105" s="670">
        <f t="shared" si="20"/>
        <v>0</v>
      </c>
      <c r="G105" s="670">
        <f t="shared" si="20"/>
        <v>0</v>
      </c>
      <c r="H105" s="670">
        <f t="shared" si="20"/>
        <v>0</v>
      </c>
      <c r="I105" s="670">
        <f t="shared" si="20"/>
        <v>0</v>
      </c>
      <c r="J105" s="670">
        <f t="shared" si="20"/>
        <v>0</v>
      </c>
      <c r="K105" s="666">
        <f>SUM(B105:J105)</f>
        <v>0</v>
      </c>
      <c r="L105" s="667">
        <v>0.5</v>
      </c>
      <c r="M105" s="667">
        <f>100%-L105</f>
        <v>0.5</v>
      </c>
      <c r="N105" s="71"/>
      <c r="O105" s="71"/>
      <c r="P105" s="71"/>
      <c r="Q105" s="71"/>
      <c r="R105" s="71"/>
      <c r="S105" s="71"/>
      <c r="T105" s="71"/>
      <c r="U105" s="71"/>
    </row>
    <row r="106" spans="1:21" ht="16.5">
      <c r="A106" s="663" t="s">
        <v>215</v>
      </c>
      <c r="B106" s="670">
        <f>(B96)+(C96*$M$74)</f>
        <v>0</v>
      </c>
      <c r="C106" s="670">
        <f t="shared" ref="C106:J106" si="21">(C96*$L$74)+(D96*$M$74)</f>
        <v>0</v>
      </c>
      <c r="D106" s="670">
        <f t="shared" si="21"/>
        <v>0</v>
      </c>
      <c r="E106" s="670">
        <f t="shared" si="21"/>
        <v>0</v>
      </c>
      <c r="F106" s="670">
        <f t="shared" si="21"/>
        <v>0</v>
      </c>
      <c r="G106" s="670">
        <f t="shared" si="21"/>
        <v>0</v>
      </c>
      <c r="H106" s="670">
        <f t="shared" si="21"/>
        <v>0</v>
      </c>
      <c r="I106" s="670">
        <f t="shared" si="21"/>
        <v>0</v>
      </c>
      <c r="J106" s="670">
        <f t="shared" si="21"/>
        <v>0</v>
      </c>
      <c r="K106" s="666">
        <f>SUM(B106:J106)</f>
        <v>0</v>
      </c>
      <c r="L106" s="667">
        <v>0.5</v>
      </c>
      <c r="M106" s="667">
        <f>100%-L106</f>
        <v>0.5</v>
      </c>
      <c r="N106" s="71"/>
      <c r="O106" s="71"/>
      <c r="P106" s="71"/>
      <c r="Q106" s="71"/>
      <c r="R106" s="71"/>
      <c r="S106" s="71"/>
      <c r="T106" s="71"/>
      <c r="U106" s="71"/>
    </row>
    <row r="107" spans="1:21" ht="16.5">
      <c r="A107" s="475"/>
      <c r="B107" s="654"/>
      <c r="C107" s="483"/>
      <c r="D107" s="483"/>
      <c r="E107" s="483"/>
      <c r="F107" s="483"/>
      <c r="G107" s="483"/>
      <c r="H107" s="483"/>
      <c r="I107" s="483"/>
      <c r="J107" s="483"/>
      <c r="K107" s="483"/>
      <c r="L107" s="483"/>
      <c r="M107" s="483"/>
      <c r="N107" s="71"/>
      <c r="O107" s="71"/>
      <c r="P107" s="71"/>
      <c r="Q107" s="71"/>
      <c r="R107" s="71"/>
      <c r="S107" s="71"/>
      <c r="T107" s="71"/>
      <c r="U107" s="71"/>
    </row>
    <row r="108" spans="1:21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483"/>
      <c r="O108" s="483"/>
      <c r="P108" s="483"/>
      <c r="Q108" s="483"/>
      <c r="R108" s="483"/>
      <c r="S108" s="483"/>
      <c r="T108" s="483"/>
      <c r="U108" s="483"/>
    </row>
    <row r="109" spans="1:21" ht="16.5">
      <c r="A109" s="659" t="s">
        <v>511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68" t="s">
        <v>227</v>
      </c>
      <c r="K109" s="71"/>
      <c r="L109" s="666" t="s">
        <v>226</v>
      </c>
      <c r="M109" s="661"/>
    </row>
    <row r="110" spans="1:21" ht="16.5">
      <c r="A110" s="660" t="s">
        <v>500</v>
      </c>
      <c r="B110" s="670">
        <f>Anx16AME!C49+Anx16AME!C83</f>
        <v>100433.70999999999</v>
      </c>
      <c r="C110" s="670">
        <f>Anx16AME!D49+Anx16AME!D83</f>
        <v>47680.91</v>
      </c>
      <c r="D110" s="670">
        <f>Anx16AME!E49+Anx16AME!E83</f>
        <v>55322.89</v>
      </c>
      <c r="E110" s="670">
        <f>Anx16AME!F49+Anx16AME!F83</f>
        <v>77980.66</v>
      </c>
      <c r="F110" s="670">
        <f>Anx16AME!G49+Anx16AME!G83</f>
        <v>74781.34</v>
      </c>
      <c r="G110" s="670">
        <f>Anx16AME!H49+Anx16AME!H83</f>
        <v>11108.91</v>
      </c>
      <c r="H110" s="670">
        <f>Anx16AME!I49+Anx16AME!I83</f>
        <v>60237.32</v>
      </c>
      <c r="I110" s="670">
        <f>Anx16AME!J49+Anx16AME!J83</f>
        <v>174972.14</v>
      </c>
      <c r="J110" s="670">
        <f>SUM(Anx16AME!K49:M49)+SUM(Anx16AME!K83:M83)</f>
        <v>785700.74</v>
      </c>
      <c r="K110" s="71"/>
      <c r="L110" s="666">
        <f>SUM(B110:J110)</f>
        <v>1388218.62</v>
      </c>
      <c r="M110" s="665"/>
      <c r="N110" s="142"/>
      <c r="P110" s="147"/>
    </row>
    <row r="111" spans="1:21" ht="16.5">
      <c r="A111" s="660" t="s">
        <v>501</v>
      </c>
      <c r="B111" s="670">
        <f>Anx16AME!C50+Anx16AME!C84</f>
        <v>105772.09</v>
      </c>
      <c r="C111" s="670">
        <f>Anx16AME!D50+Anx16AME!D84</f>
        <v>11595.039999999999</v>
      </c>
      <c r="D111" s="670">
        <f>Anx16AME!E50+Anx16AME!E84</f>
        <v>63785.83</v>
      </c>
      <c r="E111" s="670">
        <f>Anx16AME!F50+Anx16AME!F84</f>
        <v>0</v>
      </c>
      <c r="F111" s="670">
        <f>Anx16AME!G50+Anx16AME!G84</f>
        <v>13209.21</v>
      </c>
      <c r="G111" s="670">
        <f>Anx16AME!H50+Anx16AME!H84</f>
        <v>31646.73</v>
      </c>
      <c r="H111" s="670">
        <f>Anx16AME!I50+Anx16AME!I84</f>
        <v>3598.28</v>
      </c>
      <c r="I111" s="670">
        <f>Anx16AME!J50+Anx16AME!J84</f>
        <v>10105.07</v>
      </c>
      <c r="J111" s="670">
        <f>SUM(Anx16AME!K50:M50)+SUM(Anx16AME!K84:M84)</f>
        <v>130586.18</v>
      </c>
      <c r="K111" s="71"/>
      <c r="L111" s="666">
        <f>SUM(B111:J111)</f>
        <v>370298.43</v>
      </c>
      <c r="M111" s="665"/>
      <c r="N111" s="142"/>
      <c r="P111" s="147"/>
    </row>
    <row r="112" spans="1:21" ht="16.5">
      <c r="A112" s="660" t="s">
        <v>502</v>
      </c>
      <c r="B112" s="670">
        <f>Anx16AME!C51+Anx16AME!C85</f>
        <v>8464.0499999999993</v>
      </c>
      <c r="C112" s="670">
        <f>Anx16AME!D51+Anx16AME!D85</f>
        <v>101360.46999999999</v>
      </c>
      <c r="D112" s="670">
        <f>Anx16AME!E51+Anx16AME!E85</f>
        <v>2690.19</v>
      </c>
      <c r="E112" s="670">
        <f>Anx16AME!F51+Anx16AME!F85</f>
        <v>0</v>
      </c>
      <c r="F112" s="670">
        <f>Anx16AME!G51+Anx16AME!G85</f>
        <v>0</v>
      </c>
      <c r="G112" s="670">
        <f>Anx16AME!H51+Anx16AME!H85</f>
        <v>13312.57</v>
      </c>
      <c r="H112" s="670">
        <f>Anx16AME!I51+Anx16AME!I85</f>
        <v>9262.58</v>
      </c>
      <c r="I112" s="670">
        <f>Anx16AME!J51+Anx16AME!J85</f>
        <v>84988.6</v>
      </c>
      <c r="J112" s="670">
        <f>SUM(Anx16AME!K51:M51)+SUM(Anx16AME!K85:M85)</f>
        <v>759145.90999999992</v>
      </c>
      <c r="K112" s="71"/>
      <c r="L112" s="666">
        <f>SUM(B112:J112)</f>
        <v>979224.36999999988</v>
      </c>
      <c r="M112" s="665"/>
      <c r="N112" s="142"/>
      <c r="P112" s="147"/>
    </row>
    <row r="113" spans="1:13" ht="15">
      <c r="A113" s="655"/>
      <c r="B113" s="661"/>
      <c r="C113" s="661"/>
      <c r="D113" s="661"/>
      <c r="E113" s="661"/>
      <c r="F113" s="661"/>
      <c r="G113" s="661"/>
      <c r="H113" s="661"/>
      <c r="I113" s="661"/>
      <c r="J113" s="661"/>
      <c r="K113" s="661"/>
      <c r="L113" s="665"/>
      <c r="M113" s="665"/>
    </row>
    <row r="114" spans="1:13" ht="16.5">
      <c r="A114" s="58" t="s">
        <v>512</v>
      </c>
      <c r="B114" s="661"/>
      <c r="C114" s="661"/>
      <c r="D114" s="661"/>
      <c r="E114" s="661"/>
      <c r="F114" s="661"/>
      <c r="G114" s="661"/>
      <c r="H114" s="661"/>
      <c r="I114" s="661"/>
      <c r="J114" s="71"/>
      <c r="K114" s="666" t="s">
        <v>226</v>
      </c>
      <c r="L114" s="666" t="s">
        <v>225</v>
      </c>
      <c r="M114" s="666" t="s">
        <v>224</v>
      </c>
    </row>
    <row r="115" spans="1:13" ht="16.5">
      <c r="A115" s="660" t="s">
        <v>42</v>
      </c>
      <c r="B115" s="670">
        <f>(B110)+(C110*$M$67)</f>
        <v>124274.16499999999</v>
      </c>
      <c r="C115" s="670">
        <f t="shared" ref="C115:J115" si="22">(C110*$L$67)+(D110*$M$67)</f>
        <v>51501.9</v>
      </c>
      <c r="D115" s="670">
        <f t="shared" si="22"/>
        <v>66651.774999999994</v>
      </c>
      <c r="E115" s="670">
        <f t="shared" si="22"/>
        <v>76381</v>
      </c>
      <c r="F115" s="670">
        <f t="shared" si="22"/>
        <v>42945.125</v>
      </c>
      <c r="G115" s="670">
        <f t="shared" si="22"/>
        <v>35673.114999999998</v>
      </c>
      <c r="H115" s="670">
        <f t="shared" si="22"/>
        <v>117604.73000000001</v>
      </c>
      <c r="I115" s="670">
        <f t="shared" si="22"/>
        <v>480336.44</v>
      </c>
      <c r="J115" s="670">
        <f t="shared" si="22"/>
        <v>392850.37</v>
      </c>
      <c r="K115" s="666">
        <f>SUM(B115:J115)</f>
        <v>1388218.62</v>
      </c>
      <c r="L115" s="667">
        <v>0.5</v>
      </c>
      <c r="M115" s="667">
        <f>100%-L115</f>
        <v>0.5</v>
      </c>
    </row>
    <row r="116" spans="1:13" ht="16.5">
      <c r="A116" s="660" t="s">
        <v>43</v>
      </c>
      <c r="B116" s="670">
        <f>(B111)+(C111*$M$68)</f>
        <v>113888.61799999999</v>
      </c>
      <c r="C116" s="670">
        <f t="shared" ref="C116:J116" si="23">(C111*$L$68)+(D111*$M$68)</f>
        <v>48128.593000000001</v>
      </c>
      <c r="D116" s="670">
        <f t="shared" si="23"/>
        <v>19135.749</v>
      </c>
      <c r="E116" s="670">
        <f t="shared" si="23"/>
        <v>9246.4469999999983</v>
      </c>
      <c r="F116" s="670">
        <f t="shared" si="23"/>
        <v>26115.473999999998</v>
      </c>
      <c r="G116" s="670">
        <f t="shared" si="23"/>
        <v>12012.815000000001</v>
      </c>
      <c r="H116" s="670">
        <f t="shared" si="23"/>
        <v>8153.0329999999994</v>
      </c>
      <c r="I116" s="670">
        <f t="shared" si="23"/>
        <v>94441.84699999998</v>
      </c>
      <c r="J116" s="670">
        <f t="shared" si="23"/>
        <v>39175.853999999999</v>
      </c>
      <c r="K116" s="666">
        <f>SUM(B116:J116)</f>
        <v>370298.42999999993</v>
      </c>
      <c r="L116" s="667">
        <v>0.3</v>
      </c>
      <c r="M116" s="667">
        <f>100%-L116</f>
        <v>0.7</v>
      </c>
    </row>
    <row r="117" spans="1:13" ht="16.5">
      <c r="A117" s="660" t="s">
        <v>68</v>
      </c>
      <c r="B117" s="670">
        <f>(B112)+(C112*$M$69)</f>
        <v>79416.378999999986</v>
      </c>
      <c r="C117" s="670">
        <f t="shared" ref="C117:J117" si="24">(C112*$L$69)+(D112*$M$69)</f>
        <v>32291.273999999998</v>
      </c>
      <c r="D117" s="670">
        <f t="shared" si="24"/>
        <v>807.05700000000002</v>
      </c>
      <c r="E117" s="670">
        <f t="shared" si="24"/>
        <v>0</v>
      </c>
      <c r="F117" s="670">
        <f t="shared" si="24"/>
        <v>9318.7989999999991</v>
      </c>
      <c r="G117" s="670">
        <f t="shared" si="24"/>
        <v>10477.576999999999</v>
      </c>
      <c r="H117" s="670">
        <f t="shared" si="24"/>
        <v>62270.793999999994</v>
      </c>
      <c r="I117" s="670">
        <f t="shared" si="24"/>
        <v>556898.71699999983</v>
      </c>
      <c r="J117" s="670">
        <f t="shared" si="24"/>
        <v>227743.77299999996</v>
      </c>
      <c r="K117" s="666">
        <f>SUM(B117:J117)</f>
        <v>979224.36999999976</v>
      </c>
      <c r="L117" s="667">
        <v>0.3</v>
      </c>
      <c r="M117" s="667">
        <f>100%-L117</f>
        <v>0.7</v>
      </c>
    </row>
    <row r="118" spans="1:13" ht="15">
      <c r="A118" s="655"/>
      <c r="B118" s="661"/>
      <c r="C118" s="661"/>
      <c r="D118" s="661"/>
      <c r="E118" s="661"/>
      <c r="F118" s="661"/>
      <c r="G118" s="661"/>
      <c r="H118" s="661"/>
      <c r="I118" s="661"/>
      <c r="J118" s="661"/>
      <c r="K118" s="661"/>
      <c r="L118" s="661"/>
      <c r="M118" s="661"/>
    </row>
    <row r="119" spans="1:13" ht="16.5">
      <c r="A119" s="168" t="s">
        <v>513</v>
      </c>
      <c r="B119" s="661"/>
      <c r="C119" s="661"/>
      <c r="D119" s="661"/>
      <c r="E119" s="661"/>
      <c r="F119" s="661"/>
      <c r="G119" s="661"/>
      <c r="H119" s="661"/>
      <c r="I119" s="661"/>
      <c r="J119" s="71"/>
      <c r="K119" s="666" t="s">
        <v>226</v>
      </c>
      <c r="L119" s="666" t="s">
        <v>225</v>
      </c>
      <c r="M119" s="666" t="s">
        <v>224</v>
      </c>
    </row>
    <row r="120" spans="1:13" ht="16.5">
      <c r="A120" s="660" t="s">
        <v>42</v>
      </c>
      <c r="B120" s="670">
        <f>(B110)+(C110*$M$72)</f>
        <v>114737.98299999999</v>
      </c>
      <c r="C120" s="670">
        <f t="shared" ref="C120:J120" si="25">(C110*$L$72)+(D110*$M$72)</f>
        <v>49973.504000000001</v>
      </c>
      <c r="D120" s="670">
        <f t="shared" si="25"/>
        <v>62120.220999999998</v>
      </c>
      <c r="E120" s="670">
        <f t="shared" si="25"/>
        <v>77020.864000000001</v>
      </c>
      <c r="F120" s="670">
        <f t="shared" si="25"/>
        <v>55679.610999999997</v>
      </c>
      <c r="G120" s="670">
        <f t="shared" si="25"/>
        <v>25847.433000000005</v>
      </c>
      <c r="H120" s="670">
        <f t="shared" si="25"/>
        <v>94657.766000000003</v>
      </c>
      <c r="I120" s="670">
        <f t="shared" si="25"/>
        <v>358190.72000000003</v>
      </c>
      <c r="J120" s="670">
        <f t="shared" si="25"/>
        <v>549990.51799999992</v>
      </c>
      <c r="K120" s="666">
        <f>SUM(B120:J120)</f>
        <v>1388218.6199999999</v>
      </c>
      <c r="L120" s="667">
        <v>0.7</v>
      </c>
      <c r="M120" s="667">
        <f>100%-L120</f>
        <v>0.30000000000000004</v>
      </c>
    </row>
    <row r="121" spans="1:13" ht="16.5">
      <c r="A121" s="660" t="s">
        <v>43</v>
      </c>
      <c r="B121" s="670">
        <f>(B111)+(C111*$M$73)</f>
        <v>111569.61</v>
      </c>
      <c r="C121" s="670">
        <f t="shared" ref="C121:J121" si="26">(C111*$L$73)+(D111*$M$73)</f>
        <v>37690.434999999998</v>
      </c>
      <c r="D121" s="670">
        <f t="shared" si="26"/>
        <v>31892.915000000001</v>
      </c>
      <c r="E121" s="670">
        <f t="shared" si="26"/>
        <v>6604.6049999999996</v>
      </c>
      <c r="F121" s="670">
        <f t="shared" si="26"/>
        <v>22427.97</v>
      </c>
      <c r="G121" s="670">
        <f t="shared" si="26"/>
        <v>17622.505000000001</v>
      </c>
      <c r="H121" s="670">
        <f t="shared" si="26"/>
        <v>6851.6750000000002</v>
      </c>
      <c r="I121" s="670">
        <f t="shared" si="26"/>
        <v>70345.625</v>
      </c>
      <c r="J121" s="670">
        <f t="shared" si="26"/>
        <v>65293.09</v>
      </c>
      <c r="K121" s="666">
        <f>SUM(B121:J121)</f>
        <v>370298.42999999993</v>
      </c>
      <c r="L121" s="667">
        <v>0.5</v>
      </c>
      <c r="M121" s="667">
        <f>100%-L121</f>
        <v>0.5</v>
      </c>
    </row>
    <row r="122" spans="1:13" ht="16.5">
      <c r="A122" s="660" t="s">
        <v>68</v>
      </c>
      <c r="B122" s="670">
        <f>(B112)+(C112*$M$74)</f>
        <v>59144.284999999989</v>
      </c>
      <c r="C122" s="670">
        <f t="shared" ref="C122:J122" si="27">(C112*$L$74)+(D112*$M$74)</f>
        <v>52025.329999999994</v>
      </c>
      <c r="D122" s="670">
        <f t="shared" si="27"/>
        <v>1345.095</v>
      </c>
      <c r="E122" s="670">
        <f t="shared" si="27"/>
        <v>0</v>
      </c>
      <c r="F122" s="670">
        <f t="shared" si="27"/>
        <v>6656.2849999999999</v>
      </c>
      <c r="G122" s="670">
        <f t="shared" si="27"/>
        <v>11287.575000000001</v>
      </c>
      <c r="H122" s="670">
        <f t="shared" si="27"/>
        <v>47125.590000000004</v>
      </c>
      <c r="I122" s="670">
        <f t="shared" si="27"/>
        <v>422067.25499999995</v>
      </c>
      <c r="J122" s="670">
        <f t="shared" si="27"/>
        <v>379572.95499999996</v>
      </c>
      <c r="K122" s="666">
        <f>SUM(B122:J122)</f>
        <v>979224.36999999988</v>
      </c>
      <c r="L122" s="667">
        <v>0.5</v>
      </c>
      <c r="M122" s="667">
        <f>100%-L122</f>
        <v>0.5</v>
      </c>
    </row>
    <row r="123" spans="1:13" ht="16.5">
      <c r="A123" s="218"/>
      <c r="B123" s="654"/>
      <c r="C123" s="654"/>
      <c r="D123" s="654"/>
      <c r="E123" s="654"/>
      <c r="F123" s="654"/>
      <c r="G123" s="654"/>
      <c r="H123" s="654"/>
      <c r="I123" s="654"/>
      <c r="J123" s="654"/>
      <c r="K123" s="656"/>
      <c r="L123" s="657"/>
      <c r="M123" s="658"/>
    </row>
    <row r="124" spans="1:13" ht="15">
      <c r="A124" s="655"/>
      <c r="B124" s="661"/>
      <c r="C124" s="661"/>
      <c r="D124" s="661"/>
      <c r="E124" s="661"/>
      <c r="F124" s="661"/>
      <c r="G124" s="661"/>
      <c r="H124" s="661"/>
      <c r="I124" s="661"/>
      <c r="J124" s="661"/>
      <c r="K124" s="661"/>
      <c r="L124" s="661"/>
      <c r="M124" s="661"/>
    </row>
    <row r="125" spans="1:13" ht="16.5">
      <c r="A125" s="659" t="s">
        <v>511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68" t="s">
        <v>227</v>
      </c>
      <c r="K125" s="71"/>
      <c r="L125" s="666" t="s">
        <v>226</v>
      </c>
      <c r="M125" s="661"/>
    </row>
    <row r="126" spans="1:13" ht="16.5">
      <c r="A126" s="660" t="s">
        <v>505</v>
      </c>
      <c r="B126" s="670">
        <f>Anx16AME!C80</f>
        <v>50908.25</v>
      </c>
      <c r="C126" s="670">
        <f>Anx16AME!D80</f>
        <v>21086.89</v>
      </c>
      <c r="D126" s="670">
        <f>Anx16AME!E80</f>
        <v>16180.54</v>
      </c>
      <c r="E126" s="670">
        <f>Anx16AME!F80</f>
        <v>0</v>
      </c>
      <c r="F126" s="670">
        <f>Anx16AME!G80</f>
        <v>0</v>
      </c>
      <c r="G126" s="670">
        <f>Anx16AME!H80</f>
        <v>0</v>
      </c>
      <c r="H126" s="670">
        <f>Anx16AME!I80</f>
        <v>0</v>
      </c>
      <c r="I126" s="670">
        <f>Anx16AME!J80</f>
        <v>0</v>
      </c>
      <c r="J126" s="670">
        <f>SUM(Anx16AME!K80:M80)</f>
        <v>375223.74</v>
      </c>
      <c r="K126" s="71"/>
      <c r="L126" s="666">
        <f>SUM(B126:J126)</f>
        <v>463399.42</v>
      </c>
      <c r="M126" s="665"/>
    </row>
    <row r="127" spans="1:13" ht="16.5">
      <c r="A127" s="660" t="s">
        <v>506</v>
      </c>
      <c r="B127" s="670">
        <f>Anx16AME!C81</f>
        <v>15181.64</v>
      </c>
      <c r="C127" s="670">
        <f>Anx16AME!D81</f>
        <v>6288.44</v>
      </c>
      <c r="D127" s="670">
        <f>Anx16AME!E81</f>
        <v>4825.29</v>
      </c>
      <c r="E127" s="670">
        <f>Anx16AME!F81</f>
        <v>0</v>
      </c>
      <c r="F127" s="670">
        <f>Anx16AME!G81</f>
        <v>0</v>
      </c>
      <c r="G127" s="670">
        <f>Anx16AME!H81</f>
        <v>0</v>
      </c>
      <c r="H127" s="670">
        <f>Anx16AME!I81</f>
        <v>0</v>
      </c>
      <c r="I127" s="670">
        <f>Anx16AME!J81</f>
        <v>0</v>
      </c>
      <c r="J127" s="670">
        <f>SUM(Anx16AME!K81:M81)</f>
        <v>111897.65</v>
      </c>
      <c r="K127" s="71"/>
      <c r="L127" s="666">
        <f>SUM(B127:J127)</f>
        <v>138193.01999999999</v>
      </c>
      <c r="M127" s="665"/>
    </row>
    <row r="128" spans="1:13" ht="16.5">
      <c r="A128" s="660" t="s">
        <v>507</v>
      </c>
      <c r="B128" s="670">
        <f>Anx16AME!C82</f>
        <v>40786.660000000003</v>
      </c>
      <c r="C128" s="670">
        <f>Anx16AME!D82</f>
        <v>16894.39</v>
      </c>
      <c r="D128" s="670">
        <f>Anx16AME!E82</f>
        <v>12963.52</v>
      </c>
      <c r="E128" s="670">
        <f>Anx16AME!F82</f>
        <v>0</v>
      </c>
      <c r="F128" s="670">
        <f>Anx16AME!G82</f>
        <v>0</v>
      </c>
      <c r="G128" s="670">
        <f>Anx16AME!H82</f>
        <v>0</v>
      </c>
      <c r="H128" s="670">
        <f>Anx16AME!I82</f>
        <v>0</v>
      </c>
      <c r="I128" s="670">
        <f>Anx16AME!J82</f>
        <v>0</v>
      </c>
      <c r="J128" s="670">
        <f>SUM(Anx16AME!K82:M82)</f>
        <v>300621.67</v>
      </c>
      <c r="K128" s="71"/>
      <c r="L128" s="666">
        <f>SUM(B128:J128)</f>
        <v>371266.24</v>
      </c>
      <c r="M128" s="665"/>
    </row>
    <row r="129" spans="1:13" ht="15">
      <c r="A129" s="655"/>
      <c r="B129" s="661"/>
      <c r="C129" s="661"/>
      <c r="D129" s="661"/>
      <c r="E129" s="661"/>
      <c r="F129" s="661"/>
      <c r="G129" s="661"/>
      <c r="H129" s="661"/>
      <c r="I129" s="661"/>
      <c r="J129" s="661"/>
      <c r="K129" s="661"/>
      <c r="L129" s="661"/>
      <c r="M129" s="661"/>
    </row>
    <row r="130" spans="1:13" ht="16.5">
      <c r="A130" s="58" t="s">
        <v>512</v>
      </c>
      <c r="B130" s="661"/>
      <c r="C130" s="661"/>
      <c r="D130" s="661"/>
      <c r="E130" s="661"/>
      <c r="F130" s="661"/>
      <c r="G130" s="661"/>
      <c r="H130" s="661"/>
      <c r="I130" s="661"/>
      <c r="J130" s="71"/>
      <c r="K130" s="666" t="s">
        <v>226</v>
      </c>
      <c r="L130" s="666" t="s">
        <v>225</v>
      </c>
      <c r="M130" s="666" t="s">
        <v>224</v>
      </c>
    </row>
    <row r="131" spans="1:13" ht="16.5">
      <c r="A131" s="660" t="s">
        <v>220</v>
      </c>
      <c r="B131" s="670">
        <f>(B126)+(C126*$M$67)</f>
        <v>61451.695</v>
      </c>
      <c r="C131" s="670">
        <f t="shared" ref="C131:J131" si="28">(C126*$L$67)+(D126*$M$67)</f>
        <v>18633.715</v>
      </c>
      <c r="D131" s="670">
        <f t="shared" si="28"/>
        <v>8090.27</v>
      </c>
      <c r="E131" s="670">
        <f t="shared" si="28"/>
        <v>0</v>
      </c>
      <c r="F131" s="670">
        <f t="shared" si="28"/>
        <v>0</v>
      </c>
      <c r="G131" s="670">
        <f t="shared" si="28"/>
        <v>0</v>
      </c>
      <c r="H131" s="670">
        <f t="shared" si="28"/>
        <v>0</v>
      </c>
      <c r="I131" s="670">
        <f t="shared" si="28"/>
        <v>187611.87</v>
      </c>
      <c r="J131" s="670">
        <f t="shared" si="28"/>
        <v>187611.87</v>
      </c>
      <c r="K131" s="666">
        <f>SUM(B131:J131)</f>
        <v>463399.42</v>
      </c>
      <c r="L131" s="667">
        <v>0.5</v>
      </c>
      <c r="M131" s="667">
        <f>100%-L131</f>
        <v>0.5</v>
      </c>
    </row>
    <row r="132" spans="1:13" ht="16.5">
      <c r="A132" s="660" t="s">
        <v>219</v>
      </c>
      <c r="B132" s="670">
        <f>(B127)+(C127*$M$68)</f>
        <v>19583.547999999999</v>
      </c>
      <c r="C132" s="670">
        <f t="shared" ref="C132:J132" si="29">(C127*$L$68)+(D127*$M$68)</f>
        <v>5264.2349999999997</v>
      </c>
      <c r="D132" s="670">
        <f t="shared" si="29"/>
        <v>1447.587</v>
      </c>
      <c r="E132" s="670">
        <f t="shared" si="29"/>
        <v>0</v>
      </c>
      <c r="F132" s="670">
        <f t="shared" si="29"/>
        <v>0</v>
      </c>
      <c r="G132" s="670">
        <f t="shared" si="29"/>
        <v>0</v>
      </c>
      <c r="H132" s="670">
        <f t="shared" si="29"/>
        <v>0</v>
      </c>
      <c r="I132" s="670">
        <f t="shared" si="29"/>
        <v>78328.354999999996</v>
      </c>
      <c r="J132" s="670">
        <f t="shared" si="29"/>
        <v>33569.294999999998</v>
      </c>
      <c r="K132" s="666">
        <f>SUM(B132:J132)</f>
        <v>138193.01999999999</v>
      </c>
      <c r="L132" s="667">
        <v>0.3</v>
      </c>
      <c r="M132" s="667">
        <f>100%-L132</f>
        <v>0.7</v>
      </c>
    </row>
    <row r="133" spans="1:13" ht="16.5">
      <c r="A133" s="660" t="s">
        <v>218</v>
      </c>
      <c r="B133" s="670">
        <f>(B128)+(C128*$M$69)</f>
        <v>52612.733</v>
      </c>
      <c r="C133" s="670">
        <f t="shared" ref="C133:J133" si="30">(C128*$L$69)+(D128*$M$69)</f>
        <v>14142.780999999999</v>
      </c>
      <c r="D133" s="670">
        <f t="shared" si="30"/>
        <v>3889.056</v>
      </c>
      <c r="E133" s="670">
        <f t="shared" si="30"/>
        <v>0</v>
      </c>
      <c r="F133" s="670">
        <f t="shared" si="30"/>
        <v>0</v>
      </c>
      <c r="G133" s="670">
        <f t="shared" si="30"/>
        <v>0</v>
      </c>
      <c r="H133" s="670">
        <f t="shared" si="30"/>
        <v>0</v>
      </c>
      <c r="I133" s="670">
        <f t="shared" si="30"/>
        <v>210435.16899999997</v>
      </c>
      <c r="J133" s="670">
        <f t="shared" si="30"/>
        <v>90186.500999999989</v>
      </c>
      <c r="K133" s="666">
        <f>SUM(B133:J133)</f>
        <v>371266.23999999993</v>
      </c>
      <c r="L133" s="667">
        <v>0.3</v>
      </c>
      <c r="M133" s="667">
        <f>100%-L133</f>
        <v>0.7</v>
      </c>
    </row>
    <row r="134" spans="1:13" ht="15">
      <c r="A134" s="655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</row>
    <row r="135" spans="1:13" ht="16.5">
      <c r="A135" s="168" t="s">
        <v>513</v>
      </c>
      <c r="B135" s="661"/>
      <c r="C135" s="661"/>
      <c r="D135" s="661"/>
      <c r="E135" s="661"/>
      <c r="F135" s="661"/>
      <c r="G135" s="661"/>
      <c r="H135" s="661"/>
      <c r="I135" s="661"/>
      <c r="J135" s="71"/>
      <c r="K135" s="666" t="s">
        <v>226</v>
      </c>
      <c r="L135" s="666" t="s">
        <v>225</v>
      </c>
      <c r="M135" s="666" t="s">
        <v>224</v>
      </c>
    </row>
    <row r="136" spans="1:13" ht="16.5">
      <c r="A136" s="663" t="s">
        <v>220</v>
      </c>
      <c r="B136" s="670">
        <f>(B126)+(C126*$M$72)</f>
        <v>57234.317000000003</v>
      </c>
      <c r="C136" s="670">
        <f t="shared" ref="C136:J136" si="31">(C126*$L$72)+(D126*$M$72)</f>
        <v>19614.985000000001</v>
      </c>
      <c r="D136" s="670">
        <f t="shared" si="31"/>
        <v>11326.378000000001</v>
      </c>
      <c r="E136" s="670">
        <f t="shared" si="31"/>
        <v>0</v>
      </c>
      <c r="F136" s="670">
        <f t="shared" si="31"/>
        <v>0</v>
      </c>
      <c r="G136" s="670">
        <f t="shared" si="31"/>
        <v>0</v>
      </c>
      <c r="H136" s="670">
        <f t="shared" si="31"/>
        <v>0</v>
      </c>
      <c r="I136" s="670">
        <f t="shared" si="31"/>
        <v>112567.12200000002</v>
      </c>
      <c r="J136" s="670">
        <f t="shared" si="31"/>
        <v>262656.61799999996</v>
      </c>
      <c r="K136" s="666">
        <f>SUM(B136:J136)</f>
        <v>463399.42</v>
      </c>
      <c r="L136" s="667">
        <v>0.7</v>
      </c>
      <c r="M136" s="667">
        <f>100%-L136</f>
        <v>0.30000000000000004</v>
      </c>
    </row>
    <row r="137" spans="1:13" ht="16.5">
      <c r="A137" s="663" t="s">
        <v>219</v>
      </c>
      <c r="B137" s="670">
        <f>(B127)+(C127*$M$73)</f>
        <v>18325.86</v>
      </c>
      <c r="C137" s="670">
        <f t="shared" ref="C137:J137" si="32">(C127*$L$73)+(D127*$M$73)</f>
        <v>5556.8649999999998</v>
      </c>
      <c r="D137" s="670">
        <f t="shared" si="32"/>
        <v>2412.645</v>
      </c>
      <c r="E137" s="670">
        <f t="shared" si="32"/>
        <v>0</v>
      </c>
      <c r="F137" s="670">
        <f t="shared" si="32"/>
        <v>0</v>
      </c>
      <c r="G137" s="670">
        <f t="shared" si="32"/>
        <v>0</v>
      </c>
      <c r="H137" s="670">
        <f t="shared" si="32"/>
        <v>0</v>
      </c>
      <c r="I137" s="670">
        <f t="shared" si="32"/>
        <v>55948.824999999997</v>
      </c>
      <c r="J137" s="670">
        <f t="shared" si="32"/>
        <v>55948.824999999997</v>
      </c>
      <c r="K137" s="666">
        <f>SUM(B137:J137)</f>
        <v>138193.01999999999</v>
      </c>
      <c r="L137" s="667">
        <v>0.5</v>
      </c>
      <c r="M137" s="667">
        <f>100%-L137</f>
        <v>0.5</v>
      </c>
    </row>
    <row r="138" spans="1:13" ht="16.5">
      <c r="A138" s="663" t="s">
        <v>218</v>
      </c>
      <c r="B138" s="670">
        <f>(B128)+(C128*$M$74)</f>
        <v>49233.855000000003</v>
      </c>
      <c r="C138" s="670">
        <f t="shared" ref="C138:J138" si="33">(C128*$L$74)+(D128*$M$74)</f>
        <v>14928.955</v>
      </c>
      <c r="D138" s="670">
        <f t="shared" si="33"/>
        <v>6481.76</v>
      </c>
      <c r="E138" s="670">
        <f t="shared" si="33"/>
        <v>0</v>
      </c>
      <c r="F138" s="670">
        <f t="shared" si="33"/>
        <v>0</v>
      </c>
      <c r="G138" s="670">
        <f t="shared" si="33"/>
        <v>0</v>
      </c>
      <c r="H138" s="670">
        <f t="shared" si="33"/>
        <v>0</v>
      </c>
      <c r="I138" s="670">
        <f t="shared" si="33"/>
        <v>150310.83499999999</v>
      </c>
      <c r="J138" s="670">
        <f t="shared" si="33"/>
        <v>150310.83499999999</v>
      </c>
      <c r="K138" s="666">
        <f>SUM(B138:J138)</f>
        <v>371266.24</v>
      </c>
      <c r="L138" s="667">
        <v>0.5</v>
      </c>
      <c r="M138" s="667">
        <f>100%-L138</f>
        <v>0.5</v>
      </c>
    </row>
    <row r="139" spans="1:13" ht="15">
      <c r="A139" s="655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</row>
    <row r="140" spans="1:13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>
      <c r="A141" s="659" t="s">
        <v>511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68" t="s">
        <v>227</v>
      </c>
      <c r="K141" s="71"/>
      <c r="L141" s="666" t="s">
        <v>226</v>
      </c>
      <c r="M141" s="661"/>
    </row>
    <row r="142" spans="1:13" ht="16.5">
      <c r="A142" s="663" t="s">
        <v>508</v>
      </c>
      <c r="B142" s="670">
        <f>Anx16AME!C77</f>
        <v>71.040000000000006</v>
      </c>
      <c r="C142" s="670">
        <f>Anx16AME!D77</f>
        <v>42.32</v>
      </c>
      <c r="D142" s="670">
        <f>Anx16AME!E77</f>
        <v>0</v>
      </c>
      <c r="E142" s="670">
        <f>Anx16AME!F77</f>
        <v>0</v>
      </c>
      <c r="F142" s="670">
        <f>Anx16AME!G77</f>
        <v>0</v>
      </c>
      <c r="G142" s="670">
        <f>Anx16AME!H77</f>
        <v>0</v>
      </c>
      <c r="H142" s="670">
        <f>Anx16AME!I77</f>
        <v>0</v>
      </c>
      <c r="I142" s="670">
        <f>Anx16AME!J77</f>
        <v>0</v>
      </c>
      <c r="J142" s="670">
        <f>SUM(Anx16AMN!K77:M77)</f>
        <v>0</v>
      </c>
      <c r="K142" s="71"/>
      <c r="L142" s="666">
        <f>SUM(B142:J142)</f>
        <v>113.36000000000001</v>
      </c>
      <c r="M142" s="665"/>
    </row>
    <row r="143" spans="1:13" ht="16.5">
      <c r="A143" s="663" t="s">
        <v>509</v>
      </c>
      <c r="B143" s="670">
        <f>Anx16AME!C78</f>
        <v>0</v>
      </c>
      <c r="C143" s="670">
        <f>Anx16AME!D78</f>
        <v>0</v>
      </c>
      <c r="D143" s="670">
        <f>Anx16AME!E78</f>
        <v>0</v>
      </c>
      <c r="E143" s="670">
        <f>Anx16AME!F78</f>
        <v>0</v>
      </c>
      <c r="F143" s="670">
        <f>Anx16AME!G78</f>
        <v>0</v>
      </c>
      <c r="G143" s="670">
        <f>Anx16AME!H78</f>
        <v>0</v>
      </c>
      <c r="H143" s="670">
        <f>Anx16AME!I78</f>
        <v>0</v>
      </c>
      <c r="I143" s="670">
        <f>Anx16AME!J78</f>
        <v>0</v>
      </c>
      <c r="J143" s="670">
        <f>SUM(Anx16AMN!K78:M78)</f>
        <v>0</v>
      </c>
      <c r="K143" s="71"/>
      <c r="L143" s="666">
        <f>SUM(B143:J143)</f>
        <v>0</v>
      </c>
      <c r="M143" s="665"/>
    </row>
    <row r="144" spans="1:13" ht="16.5">
      <c r="A144" s="663" t="s">
        <v>510</v>
      </c>
      <c r="B144" s="670">
        <f>Anx16AME!C79</f>
        <v>0</v>
      </c>
      <c r="C144" s="670">
        <f>Anx16AME!D79</f>
        <v>0</v>
      </c>
      <c r="D144" s="670">
        <f>Anx16AME!E79</f>
        <v>0</v>
      </c>
      <c r="E144" s="670">
        <f>Anx16AME!F79</f>
        <v>0</v>
      </c>
      <c r="F144" s="670">
        <f>Anx16AME!G79</f>
        <v>0</v>
      </c>
      <c r="G144" s="670">
        <f>Anx16AME!H79</f>
        <v>0</v>
      </c>
      <c r="H144" s="670">
        <f>Anx16AME!I79</f>
        <v>0</v>
      </c>
      <c r="I144" s="670">
        <f>Anx16AME!J79</f>
        <v>0</v>
      </c>
      <c r="J144" s="670">
        <f>SUM(Anx16AMN!K79:M79)</f>
        <v>0</v>
      </c>
      <c r="K144" s="71"/>
      <c r="L144" s="666">
        <f>SUM(B144:J144)</f>
        <v>0</v>
      </c>
      <c r="M144" s="665"/>
    </row>
    <row r="145" spans="1:23" ht="15">
      <c r="A145" s="655"/>
      <c r="B145" s="661"/>
      <c r="C145" s="661"/>
      <c r="D145" s="661"/>
      <c r="E145" s="661"/>
      <c r="F145" s="661"/>
      <c r="G145" s="661"/>
      <c r="H145" s="661"/>
      <c r="I145" s="661"/>
      <c r="J145" s="661"/>
      <c r="K145" s="661"/>
      <c r="L145" s="665"/>
      <c r="M145" s="665"/>
    </row>
    <row r="146" spans="1:23" ht="16.5">
      <c r="A146" s="58" t="s">
        <v>512</v>
      </c>
      <c r="B146" s="661"/>
      <c r="C146" s="661"/>
      <c r="D146" s="661"/>
      <c r="E146" s="661"/>
      <c r="F146" s="661"/>
      <c r="G146" s="661"/>
      <c r="H146" s="661"/>
      <c r="I146" s="661"/>
      <c r="J146" s="71"/>
      <c r="K146" s="666" t="s">
        <v>226</v>
      </c>
      <c r="L146" s="666" t="s">
        <v>225</v>
      </c>
      <c r="M146" s="666" t="s">
        <v>224</v>
      </c>
    </row>
    <row r="147" spans="1:23" ht="16.5">
      <c r="A147" s="663" t="s">
        <v>217</v>
      </c>
      <c r="B147" s="670">
        <f>(B142)+(C142*$M$67)</f>
        <v>92.2</v>
      </c>
      <c r="C147" s="670">
        <f t="shared" ref="C147:J147" si="34">(C142*$L$67)+(D142*$M$67)</f>
        <v>21.16</v>
      </c>
      <c r="D147" s="670">
        <f t="shared" si="34"/>
        <v>0</v>
      </c>
      <c r="E147" s="670">
        <f t="shared" si="34"/>
        <v>0</v>
      </c>
      <c r="F147" s="670">
        <f t="shared" si="34"/>
        <v>0</v>
      </c>
      <c r="G147" s="670">
        <f t="shared" si="34"/>
        <v>0</v>
      </c>
      <c r="H147" s="670">
        <f t="shared" si="34"/>
        <v>0</v>
      </c>
      <c r="I147" s="670">
        <f t="shared" si="34"/>
        <v>0</v>
      </c>
      <c r="J147" s="670">
        <f t="shared" si="34"/>
        <v>0</v>
      </c>
      <c r="K147" s="666">
        <f>SUM(B147:J147)</f>
        <v>113.36</v>
      </c>
      <c r="L147" s="667">
        <v>0.5</v>
      </c>
      <c r="M147" s="667">
        <f>100%-L147</f>
        <v>0.5</v>
      </c>
    </row>
    <row r="148" spans="1:23" ht="16.5">
      <c r="A148" s="663" t="s">
        <v>216</v>
      </c>
      <c r="B148" s="670">
        <f>(B143)+(C143*$M$68)</f>
        <v>0</v>
      </c>
      <c r="C148" s="670">
        <f t="shared" ref="C148:J148" si="35">(C143*$L$68)+(D143*$M$68)</f>
        <v>0</v>
      </c>
      <c r="D148" s="670">
        <f t="shared" si="35"/>
        <v>0</v>
      </c>
      <c r="E148" s="670">
        <f t="shared" si="35"/>
        <v>0</v>
      </c>
      <c r="F148" s="670">
        <f t="shared" si="35"/>
        <v>0</v>
      </c>
      <c r="G148" s="670">
        <f t="shared" si="35"/>
        <v>0</v>
      </c>
      <c r="H148" s="670">
        <f t="shared" si="35"/>
        <v>0</v>
      </c>
      <c r="I148" s="670">
        <f t="shared" si="35"/>
        <v>0</v>
      </c>
      <c r="J148" s="670">
        <f t="shared" si="35"/>
        <v>0</v>
      </c>
      <c r="K148" s="666">
        <f>SUM(B148:J148)</f>
        <v>0</v>
      </c>
      <c r="L148" s="667">
        <v>0.3</v>
      </c>
      <c r="M148" s="667">
        <f>100%-L148</f>
        <v>0.7</v>
      </c>
    </row>
    <row r="149" spans="1:23" ht="16.5">
      <c r="A149" s="663" t="s">
        <v>215</v>
      </c>
      <c r="B149" s="670">
        <f>(B144)+(C144*$M$69)</f>
        <v>0</v>
      </c>
      <c r="C149" s="670">
        <f t="shared" ref="C149:J149" si="36">(C144*$L$69)+(D144*$M$69)</f>
        <v>0</v>
      </c>
      <c r="D149" s="670">
        <f t="shared" si="36"/>
        <v>0</v>
      </c>
      <c r="E149" s="670">
        <f t="shared" si="36"/>
        <v>0</v>
      </c>
      <c r="F149" s="670">
        <f t="shared" si="36"/>
        <v>0</v>
      </c>
      <c r="G149" s="670">
        <f t="shared" si="36"/>
        <v>0</v>
      </c>
      <c r="H149" s="670">
        <f t="shared" si="36"/>
        <v>0</v>
      </c>
      <c r="I149" s="670">
        <f t="shared" si="36"/>
        <v>0</v>
      </c>
      <c r="J149" s="670">
        <f t="shared" si="36"/>
        <v>0</v>
      </c>
      <c r="K149" s="666">
        <f>SUM(B149:J149)</f>
        <v>0</v>
      </c>
      <c r="L149" s="667">
        <v>0.3</v>
      </c>
      <c r="M149" s="667">
        <f>100%-L149</f>
        <v>0.7</v>
      </c>
    </row>
    <row r="150" spans="1:23" ht="16.5">
      <c r="A150" s="655"/>
      <c r="B150" s="661"/>
      <c r="C150" s="661"/>
      <c r="D150" s="661"/>
      <c r="E150" s="661"/>
      <c r="F150" s="661"/>
      <c r="G150" s="661"/>
      <c r="H150" s="661"/>
      <c r="I150" s="661"/>
      <c r="J150" s="661"/>
      <c r="K150" s="661"/>
      <c r="L150" s="667"/>
      <c r="M150" s="667"/>
    </row>
    <row r="151" spans="1:23" ht="16.5">
      <c r="A151" s="168" t="s">
        <v>513</v>
      </c>
      <c r="B151" s="661"/>
      <c r="C151" s="661"/>
      <c r="D151" s="661"/>
      <c r="E151" s="661"/>
      <c r="F151" s="661"/>
      <c r="G151" s="661"/>
      <c r="H151" s="661"/>
      <c r="I151" s="661"/>
      <c r="J151" s="71"/>
      <c r="K151" s="666" t="s">
        <v>226</v>
      </c>
      <c r="L151" s="666" t="s">
        <v>225</v>
      </c>
      <c r="M151" s="666" t="s">
        <v>224</v>
      </c>
    </row>
    <row r="152" spans="1:23" ht="16.5">
      <c r="A152" s="663" t="s">
        <v>217</v>
      </c>
      <c r="B152" s="670">
        <f>(B142)+(C142*$M$72)</f>
        <v>83.736000000000004</v>
      </c>
      <c r="C152" s="670">
        <f t="shared" ref="C152:J152" si="37">(C142*$L$72)+(D142*$M$72)</f>
        <v>29.623999999999999</v>
      </c>
      <c r="D152" s="670">
        <f t="shared" si="37"/>
        <v>0</v>
      </c>
      <c r="E152" s="670">
        <f t="shared" si="37"/>
        <v>0</v>
      </c>
      <c r="F152" s="670">
        <f t="shared" si="37"/>
        <v>0</v>
      </c>
      <c r="G152" s="670">
        <f t="shared" si="37"/>
        <v>0</v>
      </c>
      <c r="H152" s="670">
        <f t="shared" si="37"/>
        <v>0</v>
      </c>
      <c r="I152" s="670">
        <f t="shared" si="37"/>
        <v>0</v>
      </c>
      <c r="J152" s="670">
        <f t="shared" si="37"/>
        <v>0</v>
      </c>
      <c r="K152" s="666">
        <f>SUM(B152:J152)</f>
        <v>113.36</v>
      </c>
      <c r="L152" s="667">
        <v>0.7</v>
      </c>
      <c r="M152" s="667">
        <f>100%-L152</f>
        <v>0.30000000000000004</v>
      </c>
    </row>
    <row r="153" spans="1:23" ht="16.5">
      <c r="A153" s="663" t="s">
        <v>216</v>
      </c>
      <c r="B153" s="670">
        <f>(B143)+(C143*$M$73)</f>
        <v>0</v>
      </c>
      <c r="C153" s="670">
        <f t="shared" ref="C153:J153" si="38">(C143*$L$73)+(D143*$M$73)</f>
        <v>0</v>
      </c>
      <c r="D153" s="670">
        <f t="shared" si="38"/>
        <v>0</v>
      </c>
      <c r="E153" s="670">
        <f t="shared" si="38"/>
        <v>0</v>
      </c>
      <c r="F153" s="670">
        <f t="shared" si="38"/>
        <v>0</v>
      </c>
      <c r="G153" s="670">
        <f t="shared" si="38"/>
        <v>0</v>
      </c>
      <c r="H153" s="670">
        <f t="shared" si="38"/>
        <v>0</v>
      </c>
      <c r="I153" s="670">
        <f t="shared" si="38"/>
        <v>0</v>
      </c>
      <c r="J153" s="670">
        <f t="shared" si="38"/>
        <v>0</v>
      </c>
      <c r="K153" s="666">
        <f>SUM(B153:J153)</f>
        <v>0</v>
      </c>
      <c r="L153" s="667">
        <v>0.5</v>
      </c>
      <c r="M153" s="667">
        <f>100%-L153</f>
        <v>0.5</v>
      </c>
    </row>
    <row r="154" spans="1:23" ht="16.5">
      <c r="A154" s="663" t="s">
        <v>215</v>
      </c>
      <c r="B154" s="670">
        <f>(B144)+(C144*$M$74)</f>
        <v>0</v>
      </c>
      <c r="C154" s="670">
        <f t="shared" ref="C154:J154" si="39">(C144*$L$74)+(D144*$M$74)</f>
        <v>0</v>
      </c>
      <c r="D154" s="670">
        <f t="shared" si="39"/>
        <v>0</v>
      </c>
      <c r="E154" s="670">
        <f t="shared" si="39"/>
        <v>0</v>
      </c>
      <c r="F154" s="670">
        <f t="shared" si="39"/>
        <v>0</v>
      </c>
      <c r="G154" s="670">
        <f t="shared" si="39"/>
        <v>0</v>
      </c>
      <c r="H154" s="670">
        <f t="shared" si="39"/>
        <v>0</v>
      </c>
      <c r="I154" s="670">
        <f t="shared" si="39"/>
        <v>0</v>
      </c>
      <c r="J154" s="670">
        <f t="shared" si="39"/>
        <v>0</v>
      </c>
      <c r="K154" s="666">
        <f>SUM(B154:J154)</f>
        <v>0</v>
      </c>
      <c r="L154" s="667">
        <v>0.5</v>
      </c>
      <c r="M154" s="667">
        <f>100%-L154</f>
        <v>0.5</v>
      </c>
    </row>
    <row r="156" spans="1:23" ht="15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V156" s="142"/>
      <c r="W156" s="142"/>
    </row>
    <row r="157" spans="1:23" ht="16.5">
      <c r="B157" s="858" t="s">
        <v>12</v>
      </c>
      <c r="C157" s="859"/>
      <c r="D157" s="858" t="s">
        <v>13</v>
      </c>
      <c r="E157" s="859"/>
      <c r="F157" s="858" t="s">
        <v>14</v>
      </c>
      <c r="G157" s="859"/>
      <c r="H157" s="858" t="s">
        <v>15</v>
      </c>
      <c r="I157" s="859"/>
      <c r="J157" s="858" t="s">
        <v>16</v>
      </c>
      <c r="K157" s="859"/>
      <c r="L157" s="858" t="s">
        <v>17</v>
      </c>
      <c r="M157" s="859"/>
      <c r="N157" s="858" t="s">
        <v>223</v>
      </c>
      <c r="O157" s="859"/>
      <c r="P157" s="858" t="s">
        <v>222</v>
      </c>
      <c r="Q157" s="859"/>
      <c r="R157" s="875" t="s">
        <v>221</v>
      </c>
      <c r="S157" s="876"/>
      <c r="T157" s="858" t="s">
        <v>20</v>
      </c>
      <c r="U157" s="859"/>
      <c r="V157" s="142"/>
      <c r="W157" s="142"/>
    </row>
    <row r="158" spans="1:23" ht="16.5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68" t="s">
        <v>205</v>
      </c>
      <c r="S158" s="668" t="s">
        <v>204</v>
      </c>
      <c r="T158" s="44" t="s">
        <v>205</v>
      </c>
      <c r="U158" s="44" t="s">
        <v>204</v>
      </c>
      <c r="V158" s="142"/>
      <c r="W158" s="142"/>
    </row>
    <row r="159" spans="1:23" ht="16.5">
      <c r="A159" s="141" t="s">
        <v>42</v>
      </c>
      <c r="B159" s="670">
        <f>IF(Anx16AInd!$C$7&lt;0.2,Creditos!B72,Creditos!B67)</f>
        <v>11242711.024735129</v>
      </c>
      <c r="C159" s="670">
        <f>IF(Anx16AInd!$C$7&lt;0.2,Creditos!B120,Creditos!B115)</f>
        <v>114737.98299999999</v>
      </c>
      <c r="D159" s="670">
        <f>IF(Anx16AInd!$C$7&lt;0.2,Creditos!C72,Creditos!C67)</f>
        <v>6477572.4512022724</v>
      </c>
      <c r="E159" s="670">
        <f>IF(Anx16AInd!$C$7&lt;0.2,Creditos!C120,Creditos!C115)</f>
        <v>49973.504000000001</v>
      </c>
      <c r="F159" s="670">
        <f>IF(Anx16AInd!$C$7&lt;0.2,Creditos!D72,Creditos!D67)</f>
        <v>6751509.8653584896</v>
      </c>
      <c r="G159" s="670">
        <f>IF(Anx16AInd!$C$7&lt;0.2,Creditos!D120,Creditos!D115)</f>
        <v>62120.220999999998</v>
      </c>
      <c r="H159" s="670">
        <f>IF(Anx16AInd!$C$7&lt;0.2,Creditos!E72,Creditos!E67)</f>
        <v>6229738.904000001</v>
      </c>
      <c r="I159" s="670">
        <f>IF(Anx16AInd!$C$7&lt;0.2,Creditos!E120,Creditos!E115)</f>
        <v>77020.864000000001</v>
      </c>
      <c r="J159" s="670">
        <f>IF(Anx16AInd!$C$7&lt;0.2,Creditos!F72,Creditos!F67)</f>
        <v>5296995.4910000004</v>
      </c>
      <c r="K159" s="670">
        <f>IF(Anx16AInd!$C$7&lt;0.2,Creditos!F120,Creditos!F115)</f>
        <v>55679.610999999997</v>
      </c>
      <c r="L159" s="670">
        <f>IF(Anx16AInd!$C$7&lt;0.2,Creditos!G72,Creditos!G67)</f>
        <v>6669763.7100000009</v>
      </c>
      <c r="M159" s="670">
        <f>IF(Anx16AInd!$C$7&lt;0.2,Creditos!G120,Creditos!G115)</f>
        <v>25847.433000000005</v>
      </c>
      <c r="N159" s="670">
        <f>IF(Anx16AInd!$C$7&lt;0.2,Creditos!H72,Creditos!H67)</f>
        <v>11270420.976</v>
      </c>
      <c r="O159" s="670">
        <f>IF(Anx16AInd!$C$7&lt;0.2,Creditos!H120,Creditos!H115)</f>
        <v>94657.766000000003</v>
      </c>
      <c r="P159" s="670">
        <f>IF(Anx16AInd!$C$7&lt;0.2,Creditos!I72,Creditos!I67)</f>
        <v>30507642.364</v>
      </c>
      <c r="Q159" s="670">
        <f>IF(Anx16AInd!$C$7&lt;0.2,Creditos!I120,Creditos!I115)</f>
        <v>358190.72000000003</v>
      </c>
      <c r="R159" s="670">
        <f>IF(Anx16AInd!$C$7&lt;0.2,Creditos!J72,Creditos!J67)</f>
        <v>50356214.509999998</v>
      </c>
      <c r="S159" s="670">
        <f>IF(Anx16AInd!$C$7&lt;0.2,Creditos!J120,Creditos!J115)</f>
        <v>549990.51799999992</v>
      </c>
      <c r="T159" s="670">
        <f t="shared" ref="T159:U161" si="40">+B159+D159+F159+H159+J159+L159+N159+P159+R159</f>
        <v>134802569.29629588</v>
      </c>
      <c r="U159" s="670">
        <f t="shared" si="40"/>
        <v>1388218.6199999999</v>
      </c>
    </row>
    <row r="160" spans="1:23" ht="16.5">
      <c r="A160" s="141" t="s">
        <v>43</v>
      </c>
      <c r="B160" s="670">
        <f>IF(Anx16AInd!$C$7&lt;0.2,Creditos!B73,Creditos!B68)</f>
        <v>4877920.9853903595</v>
      </c>
      <c r="C160" s="670">
        <f>IF(Anx16AInd!$C$7&lt;0.2,Creditos!B121,Creditos!B116)</f>
        <v>111569.61</v>
      </c>
      <c r="D160" s="670">
        <f>IF(Anx16AInd!$C$7&lt;0.2,Creditos!C73,Creditos!C68)</f>
        <v>3541237.1846619165</v>
      </c>
      <c r="E160" s="670">
        <f>IF(Anx16AInd!$C$7&lt;0.2,Creditos!C121,Creditos!C116)</f>
        <v>37690.434999999998</v>
      </c>
      <c r="F160" s="670">
        <f>IF(Anx16AInd!$C$7&lt;0.2,Creditos!D73,Creditos!D68)</f>
        <v>3924463.7242715564</v>
      </c>
      <c r="G160" s="670">
        <f>IF(Anx16AInd!$C$7&lt;0.2,Creditos!D121,Creditos!D116)</f>
        <v>31892.915000000001</v>
      </c>
      <c r="H160" s="670">
        <f>IF(Anx16AInd!$C$7&lt;0.2,Creditos!E73,Creditos!E68)</f>
        <v>4243426.37</v>
      </c>
      <c r="I160" s="670">
        <f>IF(Anx16AInd!$C$7&lt;0.2,Creditos!E121,Creditos!E116)</f>
        <v>6604.6049999999996</v>
      </c>
      <c r="J160" s="670">
        <f>IF(Anx16AInd!$C$7&lt;0.2,Creditos!F73,Creditos!F68)</f>
        <v>4085776.6150000002</v>
      </c>
      <c r="K160" s="670">
        <f>IF(Anx16AInd!$C$7&lt;0.2,Creditos!F121,Creditos!F116)</f>
        <v>22427.97</v>
      </c>
      <c r="L160" s="670">
        <f>IF(Anx16AInd!$C$7&lt;0.2,Creditos!G73,Creditos!G68)</f>
        <v>7445640.6300000008</v>
      </c>
      <c r="M160" s="670">
        <f>IF(Anx16AInd!$C$7&lt;0.2,Creditos!G121,Creditos!G116)</f>
        <v>17622.505000000001</v>
      </c>
      <c r="N160" s="670">
        <f>IF(Anx16AInd!$C$7&lt;0.2,Creditos!H73,Creditos!H68)</f>
        <v>10515974.08</v>
      </c>
      <c r="O160" s="670">
        <f>IF(Anx16AInd!$C$7&lt;0.2,Creditos!H121,Creditos!H116)</f>
        <v>6851.6750000000002</v>
      </c>
      <c r="P160" s="670">
        <f>IF(Anx16AInd!$C$7&lt;0.2,Creditos!I73,Creditos!I68)</f>
        <v>19354281.370000001</v>
      </c>
      <c r="Q160" s="670">
        <f>IF(Anx16AInd!$C$7&lt;0.2,Creditos!I121,Creditos!I116)</f>
        <v>70345.625</v>
      </c>
      <c r="R160" s="670">
        <f>IF(Anx16AInd!$C$7&lt;0.2,Creditos!J73,Creditos!J68)</f>
        <v>14189977.98</v>
      </c>
      <c r="S160" s="670">
        <f>IF(Anx16AInd!$C$7&lt;0.2,Creditos!J121,Creditos!J116)</f>
        <v>65293.09</v>
      </c>
      <c r="T160" s="670">
        <f t="shared" si="40"/>
        <v>72178698.939323843</v>
      </c>
      <c r="U160" s="670">
        <f t="shared" si="40"/>
        <v>370298.42999999993</v>
      </c>
    </row>
    <row r="161" spans="1:23" ht="16.5">
      <c r="A161" s="141" t="s">
        <v>68</v>
      </c>
      <c r="B161" s="670">
        <f>IF(Anx16AInd!$C$7&lt;0.2,Creditos!B74,Creditos!B69)</f>
        <v>2805448.7303142878</v>
      </c>
      <c r="C161" s="670">
        <f>IF(Anx16AInd!$C$7&lt;0.2,Creditos!B122,Creditos!B117)</f>
        <v>59144.284999999989</v>
      </c>
      <c r="D161" s="670">
        <f>IF(Anx16AInd!$C$7&lt;0.2,Creditos!C74,Creditos!C69)</f>
        <v>1068980.871560181</v>
      </c>
      <c r="E161" s="670">
        <f>IF(Anx16AInd!$C$7&lt;0.2,Creditos!C122,Creditos!C117)</f>
        <v>52025.329999999994</v>
      </c>
      <c r="F161" s="670">
        <f>IF(Anx16AInd!$C$7&lt;0.2,Creditos!D74,Creditos!D69)</f>
        <v>1585206.006245893</v>
      </c>
      <c r="G161" s="670">
        <f>IF(Anx16AInd!$C$7&lt;0.2,Creditos!D122,Creditos!D117)</f>
        <v>1345.095</v>
      </c>
      <c r="H161" s="670">
        <f>IF(Anx16AInd!$C$7&lt;0.2,Creditos!E74,Creditos!E69)</f>
        <v>3832208.9350000001</v>
      </c>
      <c r="I161" s="670">
        <f>IF(Anx16AInd!$C$7&lt;0.2,Creditos!E122,Creditos!E117)</f>
        <v>0</v>
      </c>
      <c r="J161" s="670">
        <f>IF(Anx16AInd!$C$7&lt;0.2,Creditos!F74,Creditos!F69)</f>
        <v>3554900.49</v>
      </c>
      <c r="K161" s="670">
        <f>IF(Anx16AInd!$C$7&lt;0.2,Creditos!F122,Creditos!F117)</f>
        <v>6656.2849999999999</v>
      </c>
      <c r="L161" s="670">
        <f>IF(Anx16AInd!$C$7&lt;0.2,Creditos!G74,Creditos!G69)</f>
        <v>1149209.0899999999</v>
      </c>
      <c r="M161" s="670">
        <f>IF(Anx16AInd!$C$7&lt;0.2,Creditos!G122,Creditos!G117)</f>
        <v>11287.575000000001</v>
      </c>
      <c r="N161" s="670">
        <f>IF(Anx16AInd!$C$7&lt;0.2,Creditos!H74,Creditos!H69)</f>
        <v>5260004.9399999995</v>
      </c>
      <c r="O161" s="670">
        <f>IF(Anx16AInd!$C$7&lt;0.2,Creditos!H122,Creditos!H117)</f>
        <v>47125.590000000004</v>
      </c>
      <c r="P161" s="670">
        <f>IF(Anx16AInd!$C$7&lt;0.2,Creditos!I74,Creditos!I69)</f>
        <v>9689654.5150000006</v>
      </c>
      <c r="Q161" s="670">
        <f>IF(Anx16AInd!$C$7&lt;0.2,Creditos!I122,Creditos!I117)</f>
        <v>422067.25499999995</v>
      </c>
      <c r="R161" s="670">
        <f>IF(Anx16AInd!$C$7&lt;0.2,Creditos!J74,Creditos!J69)</f>
        <v>5078858.665</v>
      </c>
      <c r="S161" s="670">
        <f>IF(Anx16AInd!$C$7&lt;0.2,Creditos!J122,Creditos!J117)</f>
        <v>379572.95499999996</v>
      </c>
      <c r="T161" s="670">
        <f t="shared" si="40"/>
        <v>34024472.243120365</v>
      </c>
      <c r="U161" s="670">
        <f t="shared" si="40"/>
        <v>979224.36999999988</v>
      </c>
    </row>
    <row r="164" spans="1:23" ht="16.5">
      <c r="B164" s="858" t="s">
        <v>12</v>
      </c>
      <c r="C164" s="859"/>
      <c r="D164" s="858" t="s">
        <v>13</v>
      </c>
      <c r="E164" s="859"/>
      <c r="F164" s="858" t="s">
        <v>14</v>
      </c>
      <c r="G164" s="859"/>
      <c r="H164" s="858" t="s">
        <v>15</v>
      </c>
      <c r="I164" s="859"/>
      <c r="J164" s="858" t="s">
        <v>16</v>
      </c>
      <c r="K164" s="859"/>
      <c r="L164" s="858" t="s">
        <v>17</v>
      </c>
      <c r="M164" s="859"/>
      <c r="N164" s="858" t="s">
        <v>223</v>
      </c>
      <c r="O164" s="859"/>
      <c r="P164" s="858" t="s">
        <v>222</v>
      </c>
      <c r="Q164" s="859"/>
      <c r="R164" s="875" t="s">
        <v>221</v>
      </c>
      <c r="S164" s="876"/>
      <c r="T164" s="858" t="s">
        <v>20</v>
      </c>
      <c r="U164" s="859"/>
      <c r="V164" s="423"/>
      <c r="W164" s="142"/>
    </row>
    <row r="165" spans="1:23" ht="16.5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68" t="s">
        <v>205</v>
      </c>
      <c r="S165" s="668" t="s">
        <v>204</v>
      </c>
      <c r="T165" s="44" t="s">
        <v>205</v>
      </c>
      <c r="U165" s="44" t="s">
        <v>204</v>
      </c>
      <c r="V165" s="423"/>
      <c r="W165" s="142"/>
    </row>
    <row r="166" spans="1:23" ht="16.5">
      <c r="A166" s="141" t="s">
        <v>220</v>
      </c>
      <c r="B166" s="670">
        <f>IF(Anx16AInd!$C$7&lt;0.2,Creditos!B88,Creditos!B83)</f>
        <v>5443996.8833619971</v>
      </c>
      <c r="C166" s="670">
        <f>IF(Anx16AInd!$C$7&lt;0.2,Creditos!B136,Creditos!B131)</f>
        <v>57234.317000000003</v>
      </c>
      <c r="D166" s="670">
        <f>IF(Anx16AInd!$C$7&lt;0.2,Creditos!C88,Creditos!C83)</f>
        <v>1865732.1605653362</v>
      </c>
      <c r="E166" s="670">
        <f>IF(Anx16AInd!$C$7&lt;0.2,Creditos!C136,Creditos!C131)</f>
        <v>19614.985000000001</v>
      </c>
      <c r="F166" s="670">
        <f>IF(Anx16AInd!$C$7&lt;0.2,Creditos!D88,Creditos!D83)</f>
        <v>1077338.9574593562</v>
      </c>
      <c r="G166" s="670">
        <f>IF(Anx16AInd!$C$7&lt;0.2,Creditos!D136,Creditos!D131)</f>
        <v>11326.378000000001</v>
      </c>
      <c r="H166" s="670">
        <f>IF(Anx16AInd!$C$7&lt;0.2,Creditos!E88,Creditos!E83)</f>
        <v>0</v>
      </c>
      <c r="I166" s="670">
        <f>IF(Anx16AInd!$C$7&lt;0.2,Creditos!E136,Creditos!E131)</f>
        <v>0</v>
      </c>
      <c r="J166" s="670">
        <f>IF(Anx16AInd!$C$7&lt;0.2,Creditos!F88,Creditos!F83)</f>
        <v>0</v>
      </c>
      <c r="K166" s="670">
        <f>IF(Anx16AInd!$C$7&lt;0.2,Creditos!F136,Creditos!F131)</f>
        <v>0</v>
      </c>
      <c r="L166" s="670">
        <f>IF(Anx16AInd!$C$7&lt;0.2,Creditos!G88,Creditos!G83)</f>
        <v>0</v>
      </c>
      <c r="M166" s="670">
        <f>IF(Anx16AInd!$C$7&lt;0.2,Creditos!G136,Creditos!G131)</f>
        <v>0</v>
      </c>
      <c r="N166" s="670">
        <f>IF(Anx16AInd!$C$7&lt;0.2,Creditos!H88,Creditos!H83)</f>
        <v>0</v>
      </c>
      <c r="O166" s="670">
        <f>IF(Anx16AInd!$C$7&lt;0.2,Creditos!H136,Creditos!H131)</f>
        <v>0</v>
      </c>
      <c r="P166" s="670">
        <f>IF(Anx16AInd!$C$7&lt;0.2,Creditos!I88,Creditos!I83)</f>
        <v>10453152.708000001</v>
      </c>
      <c r="Q166" s="670">
        <f>IF(Anx16AInd!$C$7&lt;0.2,Creditos!I136,Creditos!I131)</f>
        <v>112567.12200000002</v>
      </c>
      <c r="R166" s="670">
        <f>IF(Anx16AInd!$C$7&lt;0.2,Creditos!J88,Creditos!J83)</f>
        <v>24390689.651999999</v>
      </c>
      <c r="S166" s="670">
        <f>IF(Anx16AInd!$C$7&lt;0.2,Creditos!J136,Creditos!J131)</f>
        <v>262656.61799999996</v>
      </c>
      <c r="T166" s="670">
        <f t="shared" ref="T166:U168" si="41">+B166+D166+F166+H166+J166+L166+N166+P166+R166</f>
        <v>43230910.361386687</v>
      </c>
      <c r="U166" s="670">
        <f t="shared" si="41"/>
        <v>463399.42</v>
      </c>
      <c r="V166" s="423"/>
      <c r="W166" s="142"/>
    </row>
    <row r="167" spans="1:23" ht="16.5">
      <c r="A167" s="141" t="s">
        <v>219</v>
      </c>
      <c r="B167" s="670">
        <f>IF(Anx16AInd!$C$7&lt;0.2,Creditos!B89,Creditos!B84)</f>
        <v>2338138.2412238466</v>
      </c>
      <c r="C167" s="670">
        <f>IF(Anx16AInd!$C$7&lt;0.2,Creditos!B137,Creditos!B132)</f>
        <v>18325.86</v>
      </c>
      <c r="D167" s="670">
        <f>IF(Anx16AInd!$C$7&lt;0.2,Creditos!C89,Creditos!C84)</f>
        <v>708982.84072026343</v>
      </c>
      <c r="E167" s="670">
        <f>IF(Anx16AInd!$C$7&lt;0.2,Creditos!C137,Creditos!C132)</f>
        <v>5556.8649999999998</v>
      </c>
      <c r="F167" s="670">
        <f>IF(Anx16AInd!$C$7&lt;0.2,Creditos!D89,Creditos!D84)</f>
        <v>307821.73949641682</v>
      </c>
      <c r="G167" s="670">
        <f>IF(Anx16AInd!$C$7&lt;0.2,Creditos!D137,Creditos!D132)</f>
        <v>2412.645</v>
      </c>
      <c r="H167" s="670">
        <f>IF(Anx16AInd!$C$7&lt;0.2,Creditos!E89,Creditos!E84)</f>
        <v>0</v>
      </c>
      <c r="I167" s="670">
        <f>IF(Anx16AInd!$C$7&lt;0.2,Creditos!E137,Creditos!E132)</f>
        <v>0</v>
      </c>
      <c r="J167" s="670">
        <f>IF(Anx16AInd!$C$7&lt;0.2,Creditos!F89,Creditos!F84)</f>
        <v>0</v>
      </c>
      <c r="K167" s="670">
        <f>IF(Anx16AInd!$C$7&lt;0.2,Creditos!F137,Creditos!F132)</f>
        <v>0</v>
      </c>
      <c r="L167" s="670">
        <f>IF(Anx16AInd!$C$7&lt;0.2,Creditos!G89,Creditos!G84)</f>
        <v>0</v>
      </c>
      <c r="M167" s="670">
        <f>IF(Anx16AInd!$C$7&lt;0.2,Creditos!G137,Creditos!G132)</f>
        <v>0</v>
      </c>
      <c r="N167" s="670">
        <f>IF(Anx16AInd!$C$7&lt;0.2,Creditos!H89,Creditos!H84)</f>
        <v>0</v>
      </c>
      <c r="O167" s="670">
        <f>IF(Anx16AInd!$C$7&lt;0.2,Creditos!H137,Creditos!H132)</f>
        <v>0</v>
      </c>
      <c r="P167" s="670">
        <f>IF(Anx16AInd!$C$7&lt;0.2,Creditos!I89,Creditos!I84)</f>
        <v>6969008.6550000003</v>
      </c>
      <c r="Q167" s="670">
        <f>IF(Anx16AInd!$C$7&lt;0.2,Creditos!I137,Creditos!I132)</f>
        <v>55948.824999999997</v>
      </c>
      <c r="R167" s="670">
        <f>IF(Anx16AInd!$C$7&lt;0.2,Creditos!J89,Creditos!J84)</f>
        <v>6969008.6550000003</v>
      </c>
      <c r="S167" s="670">
        <f>IF(Anx16AInd!$C$7&lt;0.2,Creditos!J137,Creditos!J132)</f>
        <v>55948.824999999997</v>
      </c>
      <c r="T167" s="670">
        <f t="shared" si="41"/>
        <v>17292960.131440528</v>
      </c>
      <c r="U167" s="670">
        <f t="shared" si="41"/>
        <v>138193.01999999999</v>
      </c>
    </row>
    <row r="168" spans="1:23" ht="16.5">
      <c r="A168" s="141" t="s">
        <v>218</v>
      </c>
      <c r="B168" s="670">
        <f>IF(Anx16AInd!$C$7&lt;0.2,Creditos!B90,Creditos!B85)</f>
        <v>541428.8556751631</v>
      </c>
      <c r="C168" s="670">
        <f>IF(Anx16AInd!$C$7&lt;0.2,Creditos!B138,Creditos!B133)</f>
        <v>49233.855000000003</v>
      </c>
      <c r="D168" s="670">
        <f>IF(Anx16AInd!$C$7&lt;0.2,Creditos!C90,Creditos!C85)</f>
        <v>164174.9669146805</v>
      </c>
      <c r="E168" s="670">
        <f>IF(Anx16AInd!$C$7&lt;0.2,Creditos!C138,Creditos!C133)</f>
        <v>14928.955</v>
      </c>
      <c r="F168" s="670">
        <f>IF(Anx16AInd!$C$7&lt;0.2,Creditos!D90,Creditos!D85)</f>
        <v>71280.461239517346</v>
      </c>
      <c r="G168" s="670">
        <f>IF(Anx16AInd!$C$7&lt;0.2,Creditos!D138,Creditos!D133)</f>
        <v>6481.76</v>
      </c>
      <c r="H168" s="670">
        <f>IF(Anx16AInd!$C$7&lt;0.2,Creditos!E90,Creditos!E85)</f>
        <v>0</v>
      </c>
      <c r="I168" s="670">
        <f>IF(Anx16AInd!$C$7&lt;0.2,Creditos!E138,Creditos!E133)</f>
        <v>0</v>
      </c>
      <c r="J168" s="670">
        <f>IF(Anx16AInd!$C$7&lt;0.2,Creditos!F90,Creditos!F85)</f>
        <v>0</v>
      </c>
      <c r="K168" s="670">
        <f>IF(Anx16AInd!$C$7&lt;0.2,Creditos!F138,Creditos!F133)</f>
        <v>0</v>
      </c>
      <c r="L168" s="670">
        <f>IF(Anx16AInd!$C$7&lt;0.2,Creditos!G90,Creditos!G85)</f>
        <v>0</v>
      </c>
      <c r="M168" s="670">
        <f>IF(Anx16AInd!$C$7&lt;0.2,Creditos!G138,Creditos!G133)</f>
        <v>0</v>
      </c>
      <c r="N168" s="670">
        <f>IF(Anx16AInd!$C$7&lt;0.2,Creditos!H90,Creditos!H85)</f>
        <v>0</v>
      </c>
      <c r="O168" s="670">
        <f>IF(Anx16AInd!$C$7&lt;0.2,Creditos!H138,Creditos!H133)</f>
        <v>0</v>
      </c>
      <c r="P168" s="670">
        <f>IF(Anx16AInd!$C$7&lt;0.2,Creditos!I90,Creditos!I85)</f>
        <v>1613772.155</v>
      </c>
      <c r="Q168" s="670">
        <f>IF(Anx16AInd!$C$7&lt;0.2,Creditos!I138,Creditos!I133)</f>
        <v>150310.83499999999</v>
      </c>
      <c r="R168" s="670">
        <f>IF(Anx16AInd!$C$7&lt;0.2,Creditos!J90,Creditos!J85)</f>
        <v>1613772.155</v>
      </c>
      <c r="S168" s="670">
        <f>IF(Anx16AInd!$C$7&lt;0.2,Creditos!J138,Creditos!J133)</f>
        <v>150310.83499999999</v>
      </c>
      <c r="T168" s="670">
        <f t="shared" si="41"/>
        <v>4004428.5938293608</v>
      </c>
      <c r="U168" s="670">
        <f t="shared" si="41"/>
        <v>371266.24</v>
      </c>
    </row>
    <row r="171" spans="1:23" ht="16.5">
      <c r="B171" s="858" t="s">
        <v>12</v>
      </c>
      <c r="C171" s="859"/>
      <c r="D171" s="858" t="s">
        <v>13</v>
      </c>
      <c r="E171" s="859"/>
      <c r="F171" s="858" t="s">
        <v>14</v>
      </c>
      <c r="G171" s="859"/>
      <c r="H171" s="858" t="s">
        <v>15</v>
      </c>
      <c r="I171" s="859"/>
      <c r="J171" s="858" t="s">
        <v>16</v>
      </c>
      <c r="K171" s="859"/>
      <c r="L171" s="858" t="s">
        <v>17</v>
      </c>
      <c r="M171" s="859"/>
      <c r="N171" s="858" t="s">
        <v>223</v>
      </c>
      <c r="O171" s="859"/>
      <c r="P171" s="858" t="s">
        <v>222</v>
      </c>
      <c r="Q171" s="859"/>
      <c r="R171" s="875" t="s">
        <v>221</v>
      </c>
      <c r="S171" s="876"/>
      <c r="T171" s="858" t="s">
        <v>20</v>
      </c>
      <c r="U171" s="859"/>
    </row>
    <row r="172" spans="1:23" ht="16.5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68" t="s">
        <v>205</v>
      </c>
      <c r="S172" s="668" t="s">
        <v>204</v>
      </c>
      <c r="T172" s="44" t="s">
        <v>205</v>
      </c>
      <c r="U172" s="44" t="s">
        <v>204</v>
      </c>
    </row>
    <row r="173" spans="1:23" ht="16.5">
      <c r="A173" s="141" t="s">
        <v>217</v>
      </c>
      <c r="B173" s="670">
        <f>IF(Anx16AInd!$C$7&lt;0.2,Creditos!B104,Creditos!B99)</f>
        <v>137544.45000000001</v>
      </c>
      <c r="C173" s="670">
        <f>IF(Anx16AInd!$C$7&lt;0.2,Creditos!B152,Creditos!B147)</f>
        <v>83.736000000000004</v>
      </c>
      <c r="D173" s="670">
        <f>IF(Anx16AInd!$C$7&lt;0.2,Creditos!C104,Creditos!C99)</f>
        <v>0</v>
      </c>
      <c r="E173" s="670">
        <f>IF(Anx16AInd!$C$7&lt;0.2,Creditos!C152,Creditos!C147)</f>
        <v>29.623999999999999</v>
      </c>
      <c r="F173" s="670">
        <f>IF(Anx16AInd!$C$7&lt;0.2,Creditos!D104,Creditos!D99)</f>
        <v>0</v>
      </c>
      <c r="G173" s="670">
        <f>IF(Anx16AInd!$C$7&lt;0.2,Creditos!D152,Creditos!D147)</f>
        <v>0</v>
      </c>
      <c r="H173" s="670">
        <f>IF(Anx16AInd!$C$7&lt;0.2,Creditos!E104,Creditos!E99)</f>
        <v>0</v>
      </c>
      <c r="I173" s="670">
        <f>IF(Anx16AInd!$C$7&lt;0.2,Creditos!E152,Creditos!E147)</f>
        <v>0</v>
      </c>
      <c r="J173" s="670">
        <f>IF(Anx16AInd!$C$7&lt;0.2,Creditos!F104,Creditos!F99)</f>
        <v>0</v>
      </c>
      <c r="K173" s="670">
        <f>IF(Anx16AInd!$C$7&lt;0.2,Creditos!F152,Creditos!F147)</f>
        <v>0</v>
      </c>
      <c r="L173" s="670">
        <f>IF(Anx16AInd!$C$7&lt;0.2,Creditos!G104,Creditos!G99)</f>
        <v>0</v>
      </c>
      <c r="M173" s="670">
        <f>IF(Anx16AInd!$C$7&lt;0.2,Creditos!G152,Creditos!G147)</f>
        <v>0</v>
      </c>
      <c r="N173" s="670">
        <f>IF(Anx16AInd!$C$7&lt;0.2,Creditos!H104,Creditos!H99)</f>
        <v>0</v>
      </c>
      <c r="O173" s="670">
        <f>IF(Anx16AInd!$C$7&lt;0.2,Creditos!H152,Creditos!H147)</f>
        <v>0</v>
      </c>
      <c r="P173" s="670">
        <f>IF(Anx16AInd!$C$7&lt;0.2,Creditos!I104,Creditos!I99)</f>
        <v>0</v>
      </c>
      <c r="Q173" s="670">
        <f>IF(Anx16AInd!$C$7&lt;0.2,Creditos!I152,Creditos!I147)</f>
        <v>0</v>
      </c>
      <c r="R173" s="670">
        <f>IF(Anx16AInd!$C$7&lt;0.2,Creditos!J104,Creditos!J99)</f>
        <v>0</v>
      </c>
      <c r="S173" s="670">
        <f>IF(Anx16AInd!$C$7&lt;0.2,Creditos!J152,Creditos!J147)</f>
        <v>0</v>
      </c>
      <c r="T173" s="670">
        <f t="shared" ref="T173:U175" si="42">+B173+D173+F173+H173+J173+L173+N173+P173+R173</f>
        <v>137544.45000000001</v>
      </c>
      <c r="U173" s="670">
        <f t="shared" si="42"/>
        <v>113.36</v>
      </c>
    </row>
    <row r="174" spans="1:23" ht="16.5">
      <c r="A174" s="141" t="s">
        <v>216</v>
      </c>
      <c r="B174" s="670">
        <f>IF(Anx16AInd!$C$7&lt;0.2,Creditos!B105,Creditos!B100)</f>
        <v>0</v>
      </c>
      <c r="C174" s="670">
        <f>IF(Anx16AInd!$C$7&lt;0.2,Creditos!B153,Creditos!B148)</f>
        <v>0</v>
      </c>
      <c r="D174" s="670">
        <f>IF(Anx16AInd!$C$7&lt;0.2,Creditos!C105,Creditos!C100)</f>
        <v>0</v>
      </c>
      <c r="E174" s="670">
        <f>IF(Anx16AInd!$C$7&lt;0.2,Creditos!C153,Creditos!C148)</f>
        <v>0</v>
      </c>
      <c r="F174" s="670">
        <f>IF(Anx16AInd!$C$7&lt;0.2,Creditos!D105,Creditos!D100)</f>
        <v>0</v>
      </c>
      <c r="G174" s="670">
        <f>IF(Anx16AInd!$C$7&lt;0.2,Creditos!D153,Creditos!D148)</f>
        <v>0</v>
      </c>
      <c r="H174" s="670">
        <f>IF(Anx16AInd!$C$7&lt;0.2,Creditos!E105,Creditos!E100)</f>
        <v>0</v>
      </c>
      <c r="I174" s="670">
        <f>IF(Anx16AInd!$C$7&lt;0.2,Creditos!E153,Creditos!E148)</f>
        <v>0</v>
      </c>
      <c r="J174" s="670">
        <f>IF(Anx16AInd!$C$7&lt;0.2,Creditos!F105,Creditos!F100)</f>
        <v>0</v>
      </c>
      <c r="K174" s="670">
        <f>IF(Anx16AInd!$C$7&lt;0.2,Creditos!F153,Creditos!F148)</f>
        <v>0</v>
      </c>
      <c r="L174" s="670">
        <f>IF(Anx16AInd!$C$7&lt;0.2,Creditos!G105,Creditos!G100)</f>
        <v>0</v>
      </c>
      <c r="M174" s="670">
        <f>IF(Anx16AInd!$C$7&lt;0.2,Creditos!G153,Creditos!G148)</f>
        <v>0</v>
      </c>
      <c r="N174" s="670">
        <f>IF(Anx16AInd!$C$7&lt;0.2,Creditos!H105,Creditos!H100)</f>
        <v>0</v>
      </c>
      <c r="O174" s="670">
        <f>IF(Anx16AInd!$C$7&lt;0.2,Creditos!H153,Creditos!H148)</f>
        <v>0</v>
      </c>
      <c r="P174" s="670">
        <f>IF(Anx16AInd!$C$7&lt;0.2,Creditos!I105,Creditos!I100)</f>
        <v>0</v>
      </c>
      <c r="Q174" s="670">
        <f>IF(Anx16AInd!$C$7&lt;0.2,Creditos!I153,Creditos!I148)</f>
        <v>0</v>
      </c>
      <c r="R174" s="670">
        <f>IF(Anx16AInd!$C$7&lt;0.2,Creditos!J105,Creditos!J100)</f>
        <v>0</v>
      </c>
      <c r="S174" s="670">
        <f>IF(Anx16AInd!$C$7&lt;0.2,Creditos!J153,Creditos!J148)</f>
        <v>0</v>
      </c>
      <c r="T174" s="670">
        <f t="shared" si="42"/>
        <v>0</v>
      </c>
      <c r="U174" s="670">
        <f t="shared" si="42"/>
        <v>0</v>
      </c>
    </row>
    <row r="175" spans="1:23" ht="16.5">
      <c r="A175" s="141" t="s">
        <v>215</v>
      </c>
      <c r="B175" s="670">
        <f>IF(Anx16AInd!$C$7&lt;0.2,Creditos!B106,Creditos!B101)</f>
        <v>0</v>
      </c>
      <c r="C175" s="670">
        <f>IF(Anx16AInd!$C$7&lt;0.2,Creditos!B154,Creditos!B149)</f>
        <v>0</v>
      </c>
      <c r="D175" s="670">
        <f>IF(Anx16AInd!$C$7&lt;0.2,Creditos!C106,Creditos!C101)</f>
        <v>0</v>
      </c>
      <c r="E175" s="670">
        <f>IF(Anx16AInd!$C$7&lt;0.2,Creditos!C154,Creditos!C149)</f>
        <v>0</v>
      </c>
      <c r="F175" s="670">
        <f>IF(Anx16AInd!$C$7&lt;0.2,Creditos!D106,Creditos!D101)</f>
        <v>0</v>
      </c>
      <c r="G175" s="670">
        <f>IF(Anx16AInd!$C$7&lt;0.2,Creditos!D154,Creditos!D149)</f>
        <v>0</v>
      </c>
      <c r="H175" s="670">
        <f>IF(Anx16AInd!$C$7&lt;0.2,Creditos!E106,Creditos!E101)</f>
        <v>0</v>
      </c>
      <c r="I175" s="670">
        <f>IF(Anx16AInd!$C$7&lt;0.2,Creditos!E154,Creditos!E149)</f>
        <v>0</v>
      </c>
      <c r="J175" s="670">
        <f>IF(Anx16AInd!$C$7&lt;0.2,Creditos!F106,Creditos!F101)</f>
        <v>0</v>
      </c>
      <c r="K175" s="670">
        <f>IF(Anx16AInd!$C$7&lt;0.2,Creditos!F154,Creditos!F149)</f>
        <v>0</v>
      </c>
      <c r="L175" s="670">
        <f>IF(Anx16AInd!$C$7&lt;0.2,Creditos!G106,Creditos!G101)</f>
        <v>0</v>
      </c>
      <c r="M175" s="670">
        <f>IF(Anx16AInd!$C$7&lt;0.2,Creditos!G154,Creditos!G149)</f>
        <v>0</v>
      </c>
      <c r="N175" s="670">
        <f>IF(Anx16AInd!$C$7&lt;0.2,Creditos!H106,Creditos!H101)</f>
        <v>0</v>
      </c>
      <c r="O175" s="670">
        <f>IF(Anx16AInd!$C$7&lt;0.2,Creditos!H154,Creditos!H149)</f>
        <v>0</v>
      </c>
      <c r="P175" s="670">
        <f>IF(Anx16AInd!$C$7&lt;0.2,Creditos!I106,Creditos!I101)</f>
        <v>0</v>
      </c>
      <c r="Q175" s="670">
        <f>IF(Anx16AInd!$C$7&lt;0.2,Creditos!I154,Creditos!I149)</f>
        <v>0</v>
      </c>
      <c r="R175" s="670">
        <f>IF(Anx16AInd!$C$7&lt;0.2,Creditos!J106,Creditos!J101)</f>
        <v>0</v>
      </c>
      <c r="S175" s="670">
        <f>IF(Anx16AInd!$C$7&lt;0.2,Creditos!J154,Creditos!J149)</f>
        <v>0</v>
      </c>
      <c r="T175" s="670">
        <f t="shared" si="42"/>
        <v>0</v>
      </c>
      <c r="U175" s="670">
        <f t="shared" si="42"/>
        <v>0</v>
      </c>
    </row>
  </sheetData>
  <mergeCells count="50">
    <mergeCell ref="L171:M171"/>
    <mergeCell ref="N171:O171"/>
    <mergeCell ref="P171:Q171"/>
    <mergeCell ref="R171:S171"/>
    <mergeCell ref="T171:U171"/>
    <mergeCell ref="B171:C171"/>
    <mergeCell ref="D171:E171"/>
    <mergeCell ref="F171:G171"/>
    <mergeCell ref="H171:I171"/>
    <mergeCell ref="J171:K171"/>
    <mergeCell ref="L164:M164"/>
    <mergeCell ref="N164:O164"/>
    <mergeCell ref="P164:Q164"/>
    <mergeCell ref="R164:S164"/>
    <mergeCell ref="T164:U164"/>
    <mergeCell ref="B164:C164"/>
    <mergeCell ref="D164:E164"/>
    <mergeCell ref="F164:G164"/>
    <mergeCell ref="H164:I164"/>
    <mergeCell ref="J164:K164"/>
    <mergeCell ref="L157:M157"/>
    <mergeCell ref="N157:O157"/>
    <mergeCell ref="P157:Q157"/>
    <mergeCell ref="R157:S157"/>
    <mergeCell ref="T157:U157"/>
    <mergeCell ref="B157:C157"/>
    <mergeCell ref="D157:E157"/>
    <mergeCell ref="F157:G157"/>
    <mergeCell ref="H157:I157"/>
    <mergeCell ref="J157:K15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1"/>
  <sheetViews>
    <sheetView showGridLines="0" topLeftCell="L58" zoomScale="85" zoomScaleNormal="85" workbookViewId="0">
      <selection activeCell="R93" sqref="R93"/>
    </sheetView>
  </sheetViews>
  <sheetFormatPr baseColWidth="10" defaultRowHeight="15"/>
  <cols>
    <col min="1" max="1" width="13" style="26" customWidth="1"/>
    <col min="2" max="2" width="68.7109375" style="25" customWidth="1"/>
    <col min="3" max="3" width="13" style="24" bestFit="1" customWidth="1"/>
    <col min="4" max="10" width="11.42578125" style="24"/>
    <col min="11" max="11" width="16.7109375" style="24" customWidth="1"/>
    <col min="12" max="12" width="19.140625" style="24" customWidth="1"/>
    <col min="13" max="13" width="15.140625" style="24" customWidth="1"/>
    <col min="14" max="14" width="12.28515625" style="24" bestFit="1" customWidth="1"/>
    <col min="15" max="15" width="5" style="66" customWidth="1"/>
    <col min="16" max="16" width="19.28515625" style="23" customWidth="1"/>
    <col min="17" max="17" width="26.140625" style="211" customWidth="1"/>
    <col min="18" max="18" width="15.42578125" style="23" customWidth="1"/>
    <col min="19" max="19" width="15.28515625" style="23" bestFit="1" customWidth="1"/>
    <col min="20" max="20" width="13.42578125" style="23" bestFit="1" customWidth="1"/>
    <col min="21" max="21" width="17.28515625" style="23" customWidth="1"/>
    <col min="22" max="22" width="16.85546875" style="23" customWidth="1"/>
    <col min="23" max="23" width="14.140625" style="23" bestFit="1" customWidth="1"/>
    <col min="24" max="24" width="13.28515625" style="23" bestFit="1" customWidth="1"/>
    <col min="25" max="25" width="12.140625" style="66" bestFit="1" customWidth="1"/>
    <col min="26" max="16384" width="11.42578125" style="60"/>
  </cols>
  <sheetData>
    <row r="1" spans="1:27" s="58" customFormat="1" ht="16.5">
      <c r="A1" s="853" t="s">
        <v>90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217"/>
      <c r="Q1" s="190" t="s">
        <v>282</v>
      </c>
      <c r="R1" s="784" t="str">
        <f>+Anx16AMN!R1</f>
        <v>28/02/2021</v>
      </c>
      <c r="S1" s="189"/>
      <c r="U1" s="535">
        <v>11</v>
      </c>
      <c r="V1" s="751">
        <v>4128820.38</v>
      </c>
      <c r="W1" s="535"/>
      <c r="X1" s="535"/>
      <c r="Y1" s="59"/>
    </row>
    <row r="2" spans="1:27" s="58" customFormat="1" ht="16.5">
      <c r="A2" s="853" t="s">
        <v>10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217"/>
      <c r="Q2" s="192" t="s">
        <v>283</v>
      </c>
      <c r="R2" s="534">
        <f>+Anx16AMN!R2</f>
        <v>92459563.390000001</v>
      </c>
      <c r="S2" s="189"/>
      <c r="U2" s="535"/>
      <c r="V2" s="535" t="s">
        <v>290</v>
      </c>
      <c r="W2" s="535" t="s">
        <v>291</v>
      </c>
      <c r="X2" s="535" t="s">
        <v>226</v>
      </c>
      <c r="Y2" s="59"/>
    </row>
    <row r="3" spans="1:27" s="58" customFormat="1" ht="16.5">
      <c r="A3" s="853" t="str">
        <f>+Anx16AMN!B4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217"/>
      <c r="Q3" s="189" t="s">
        <v>284</v>
      </c>
      <c r="R3" s="782">
        <f>+Anx16AMN!R3</f>
        <v>3.7570000000000001</v>
      </c>
      <c r="S3" s="189"/>
      <c r="U3" s="536">
        <v>1121</v>
      </c>
      <c r="V3" s="537"/>
      <c r="W3" s="537">
        <f t="shared" ref="W3:W6" si="0">+X3-V3</f>
        <v>378765.93</v>
      </c>
      <c r="X3" s="751">
        <v>378765.93</v>
      </c>
      <c r="Y3" s="59"/>
    </row>
    <row r="4" spans="1:27" s="58" customFormat="1" ht="16.5">
      <c r="A4" s="851" t="s">
        <v>514</v>
      </c>
      <c r="B4" s="851"/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217"/>
      <c r="Q4" s="192" t="s">
        <v>285</v>
      </c>
      <c r="R4" s="783">
        <f>+Anx16AMN!R4</f>
        <v>24609945.010000002</v>
      </c>
      <c r="S4" s="189"/>
      <c r="U4" s="536">
        <v>1122</v>
      </c>
      <c r="V4" s="512">
        <v>0</v>
      </c>
      <c r="W4" s="537">
        <f t="shared" si="0"/>
        <v>494063.27</v>
      </c>
      <c r="X4" s="751">
        <v>494063.27</v>
      </c>
      <c r="Y4" s="59"/>
    </row>
    <row r="5" spans="1:27" s="58" customFormat="1" ht="16.5">
      <c r="A5" s="29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216"/>
      <c r="P5" s="468"/>
      <c r="Q5" s="469"/>
      <c r="R5" s="468"/>
      <c r="S5" s="468"/>
      <c r="U5" s="536">
        <v>1123</v>
      </c>
      <c r="V5" s="538">
        <v>2870215.74</v>
      </c>
      <c r="W5" s="537">
        <f t="shared" si="0"/>
        <v>369804.5</v>
      </c>
      <c r="X5" s="751">
        <v>3240020.24</v>
      </c>
      <c r="Y5" s="218"/>
      <c r="Z5" s="474"/>
      <c r="AA5" s="474"/>
    </row>
    <row r="6" spans="1:27" s="58" customFormat="1" ht="16.5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216"/>
      <c r="P6" s="468"/>
      <c r="Q6" s="469"/>
      <c r="R6" s="468"/>
      <c r="S6" s="468"/>
      <c r="U6" s="536">
        <v>1125</v>
      </c>
      <c r="W6" s="537">
        <f t="shared" si="0"/>
        <v>0</v>
      </c>
      <c r="X6" s="756">
        <v>0</v>
      </c>
      <c r="Y6" s="218"/>
      <c r="Z6" s="474"/>
      <c r="AA6" s="474"/>
    </row>
    <row r="7" spans="1:27" s="58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318" t="s">
        <v>20</v>
      </c>
      <c r="O7" s="473"/>
      <c r="P7" s="189"/>
      <c r="Q7" s="198" t="s">
        <v>421</v>
      </c>
      <c r="R7" s="771" t="s">
        <v>286</v>
      </c>
      <c r="S7" s="189" t="s">
        <v>287</v>
      </c>
      <c r="U7" s="536">
        <v>1126</v>
      </c>
      <c r="V7" s="539"/>
      <c r="W7" s="537">
        <f>+X7-V7</f>
        <v>0</v>
      </c>
      <c r="X7" s="537">
        <v>0</v>
      </c>
      <c r="Y7" s="475"/>
      <c r="Z7" s="350"/>
      <c r="AA7" s="350"/>
    </row>
    <row r="8" spans="1:27" s="58" customFormat="1" ht="16.5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473"/>
      <c r="P8" s="196">
        <v>11</v>
      </c>
      <c r="Q8" s="750">
        <f>+V1</f>
        <v>4128820.38</v>
      </c>
      <c r="R8" s="721"/>
      <c r="S8" s="189"/>
      <c r="U8" s="535">
        <v>112701</v>
      </c>
      <c r="V8" s="535"/>
      <c r="W8" s="537">
        <f>+X8-V8</f>
        <v>0</v>
      </c>
      <c r="X8" s="537">
        <v>0</v>
      </c>
      <c r="Y8" s="475"/>
      <c r="Z8" s="350"/>
      <c r="AA8" s="350"/>
    </row>
    <row r="9" spans="1:27" s="58" customFormat="1" ht="16.5" customHeight="1" thickBot="1">
      <c r="A9" s="36" t="s">
        <v>87</v>
      </c>
      <c r="B9" s="41" t="s">
        <v>23</v>
      </c>
      <c r="C9" s="849">
        <v>2120000</v>
      </c>
      <c r="D9" s="849">
        <v>450215.74</v>
      </c>
      <c r="E9" s="849">
        <v>300000</v>
      </c>
      <c r="F9" s="849"/>
      <c r="G9" s="849"/>
      <c r="H9" s="849"/>
      <c r="I9" s="849"/>
      <c r="J9" s="849"/>
      <c r="K9" s="849"/>
      <c r="L9" s="849"/>
      <c r="M9" s="849"/>
      <c r="N9" s="61">
        <f>SUM(C9:M9)</f>
        <v>2870215.74</v>
      </c>
      <c r="O9" s="532"/>
      <c r="P9" s="196">
        <v>1123</v>
      </c>
      <c r="Q9" s="750">
        <f>+V10</f>
        <v>2870215.74</v>
      </c>
      <c r="R9" s="768">
        <f>+Q9-N9</f>
        <v>0</v>
      </c>
      <c r="S9" s="694">
        <f>+Q8-Q9</f>
        <v>1258604.6399999997</v>
      </c>
      <c r="U9" s="536">
        <v>1128</v>
      </c>
      <c r="V9" s="535"/>
      <c r="W9" s="537">
        <f>+X9-V9</f>
        <v>782.5</v>
      </c>
      <c r="X9" s="751">
        <v>782.5</v>
      </c>
      <c r="Y9" s="475"/>
      <c r="Z9" s="350"/>
      <c r="AA9" s="350"/>
    </row>
    <row r="10" spans="1:27" s="58" customFormat="1" ht="16.5" customHeight="1" thickBot="1">
      <c r="A10" s="40">
        <v>1220</v>
      </c>
      <c r="B10" s="32" t="s">
        <v>24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>
        <f t="shared" ref="N10:N47" si="1">SUM(C10:M10)</f>
        <v>0</v>
      </c>
      <c r="O10" s="473"/>
      <c r="P10" s="189" t="s">
        <v>288</v>
      </c>
      <c r="Q10" s="750"/>
      <c r="R10" s="721"/>
      <c r="S10" s="537"/>
      <c r="U10" s="785">
        <f>+S9-Q64</f>
        <v>0</v>
      </c>
      <c r="V10" s="540">
        <f>SUM(V3:V9)</f>
        <v>2870215.74</v>
      </c>
      <c r="W10" s="541">
        <f>SUM(W3:W9) - W8</f>
        <v>1243416.2</v>
      </c>
      <c r="X10" s="542">
        <f>SUM(X3:X9)</f>
        <v>4113631.9400000004</v>
      </c>
      <c r="Y10" s="475"/>
      <c r="Z10" s="350"/>
      <c r="AA10" s="350"/>
    </row>
    <row r="11" spans="1:27" s="58" customFormat="1" ht="16.5" customHeight="1">
      <c r="A11" s="40" t="s">
        <v>133</v>
      </c>
      <c r="B11" s="35" t="s">
        <v>25</v>
      </c>
      <c r="C11" s="879">
        <v>0</v>
      </c>
      <c r="D11" s="879"/>
      <c r="E11" s="879"/>
      <c r="F11" s="879"/>
      <c r="G11" s="879"/>
      <c r="H11" s="879"/>
      <c r="I11" s="879"/>
      <c r="J11" s="879"/>
      <c r="K11" s="879"/>
      <c r="L11" s="879"/>
      <c r="M11" s="879"/>
      <c r="N11" s="61">
        <f t="shared" si="1"/>
        <v>0</v>
      </c>
      <c r="O11" s="473"/>
      <c r="P11" s="196">
        <v>1324</v>
      </c>
      <c r="Q11" s="751">
        <v>0</v>
      </c>
      <c r="R11" s="768">
        <f>+Q11-N11</f>
        <v>0</v>
      </c>
      <c r="S11" s="536"/>
      <c r="U11" s="768">
        <f>+S9-W10</f>
        <v>15188.439999999711</v>
      </c>
      <c r="V11" s="537">
        <f>+V10-Q9</f>
        <v>0</v>
      </c>
      <c r="W11" s="537">
        <f>+W10-N64</f>
        <v>-1.0000000009313226E-2</v>
      </c>
      <c r="X11" s="765">
        <f>+V1-X10</f>
        <v>15188.439999999478</v>
      </c>
      <c r="Y11" s="475"/>
      <c r="Z11" s="350"/>
      <c r="AA11" s="350"/>
    </row>
    <row r="12" spans="1:27" s="58" customFormat="1" ht="16.5" customHeight="1">
      <c r="A12" s="42" t="s">
        <v>134</v>
      </c>
      <c r="B12" s="35" t="s">
        <v>26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>
        <f t="shared" si="1"/>
        <v>0</v>
      </c>
      <c r="O12" s="532"/>
      <c r="P12" s="196">
        <v>1325</v>
      </c>
      <c r="Q12" s="751">
        <v>0</v>
      </c>
      <c r="R12" s="768">
        <f>+Q12-N12</f>
        <v>0</v>
      </c>
      <c r="S12" s="536"/>
      <c r="T12" s="473"/>
      <c r="U12" s="536"/>
      <c r="V12" s="537"/>
      <c r="W12" s="537">
        <f>+W10-Q64</f>
        <v>-15188.439999999711</v>
      </c>
      <c r="X12" s="543"/>
      <c r="Y12" s="475"/>
      <c r="Z12" s="350"/>
      <c r="AA12" s="350"/>
    </row>
    <row r="13" spans="1:27" s="58" customFormat="1" ht="16.5" customHeight="1">
      <c r="A13" s="36" t="s">
        <v>86</v>
      </c>
      <c r="B13" s="41" t="s">
        <v>28</v>
      </c>
      <c r="C13" s="61">
        <f>+C14+C23</f>
        <v>3548.4</v>
      </c>
      <c r="D13" s="61">
        <f t="shared" ref="D13:M13" si="2">+D14+D23</f>
        <v>6042.41</v>
      </c>
      <c r="E13" s="61">
        <f t="shared" si="2"/>
        <v>9190.98</v>
      </c>
      <c r="F13" s="61">
        <f t="shared" si="2"/>
        <v>10609.44</v>
      </c>
      <c r="G13" s="61">
        <f t="shared" si="2"/>
        <v>7601.37</v>
      </c>
      <c r="H13" s="61">
        <f t="shared" si="2"/>
        <v>12657.66</v>
      </c>
      <c r="I13" s="61">
        <f t="shared" si="2"/>
        <v>38686.400000000001</v>
      </c>
      <c r="J13" s="61">
        <f t="shared" si="2"/>
        <v>39759.35</v>
      </c>
      <c r="K13" s="61">
        <f t="shared" si="2"/>
        <v>133052.29</v>
      </c>
      <c r="L13" s="61">
        <f t="shared" si="2"/>
        <v>146845.89000000001</v>
      </c>
      <c r="M13" s="61">
        <f t="shared" si="2"/>
        <v>0</v>
      </c>
      <c r="N13" s="61">
        <f t="shared" si="1"/>
        <v>407994.19000000006</v>
      </c>
      <c r="O13" s="473"/>
      <c r="P13" s="189"/>
      <c r="Q13" s="826">
        <f>+N13+N27+N36+N40</f>
        <v>537942.72000000009</v>
      </c>
      <c r="R13" s="721"/>
      <c r="S13" s="601"/>
      <c r="T13" s="471"/>
      <c r="U13" s="477"/>
      <c r="V13" s="471"/>
      <c r="W13" s="473"/>
      <c r="X13" s="471"/>
      <c r="Y13" s="475"/>
      <c r="Z13" s="350"/>
      <c r="AA13" s="350"/>
    </row>
    <row r="14" spans="1:27" s="59" customFormat="1" ht="16.5" customHeight="1">
      <c r="A14" s="55"/>
      <c r="B14" s="50" t="s">
        <v>144</v>
      </c>
      <c r="C14" s="63">
        <f>SUM(C15:C22)</f>
        <v>3548.4</v>
      </c>
      <c r="D14" s="63">
        <f t="shared" ref="D14:M14" si="3">SUM(D15:D22)</f>
        <v>6042.41</v>
      </c>
      <c r="E14" s="63">
        <f t="shared" si="3"/>
        <v>6046.19</v>
      </c>
      <c r="F14" s="63">
        <f t="shared" si="3"/>
        <v>6124.35</v>
      </c>
      <c r="G14" s="63">
        <f t="shared" si="3"/>
        <v>3102.45</v>
      </c>
      <c r="H14" s="63">
        <f t="shared" si="3"/>
        <v>8079.13</v>
      </c>
      <c r="I14" s="63">
        <f t="shared" si="3"/>
        <v>24722.22</v>
      </c>
      <c r="J14" s="63">
        <f t="shared" si="3"/>
        <v>25343.77</v>
      </c>
      <c r="K14" s="63">
        <f t="shared" si="3"/>
        <v>70541.850000000006</v>
      </c>
      <c r="L14" s="63">
        <f t="shared" si="3"/>
        <v>146845.89000000001</v>
      </c>
      <c r="M14" s="63">
        <f t="shared" si="3"/>
        <v>0</v>
      </c>
      <c r="N14" s="61">
        <f t="shared" si="1"/>
        <v>300396.66000000003</v>
      </c>
      <c r="O14" s="475"/>
      <c r="P14" s="217"/>
      <c r="Q14" s="750"/>
      <c r="R14" s="721"/>
      <c r="S14" s="601"/>
      <c r="T14" s="471"/>
      <c r="U14" s="477"/>
      <c r="V14" s="471"/>
      <c r="W14" s="473"/>
      <c r="X14" s="471"/>
      <c r="Y14" s="475"/>
      <c r="Z14" s="475"/>
      <c r="AA14" s="475"/>
    </row>
    <row r="15" spans="1:27" s="59" customFormat="1" ht="16.5" customHeight="1">
      <c r="A15" s="56" t="s">
        <v>159</v>
      </c>
      <c r="B15" s="51" t="s">
        <v>145</v>
      </c>
      <c r="C15" s="63">
        <f>AnxRendInt!D12</f>
        <v>0</v>
      </c>
      <c r="D15" s="63">
        <f>AnxRendInt!F12</f>
        <v>0</v>
      </c>
      <c r="E15" s="63">
        <f>AnxRendInt!H12</f>
        <v>0</v>
      </c>
      <c r="F15" s="63">
        <f>AnxRendInt!J12</f>
        <v>0</v>
      </c>
      <c r="G15" s="63">
        <f>AnxRendInt!L12</f>
        <v>0</v>
      </c>
      <c r="H15" s="63">
        <f>AnxRendInt!N12</f>
        <v>0</v>
      </c>
      <c r="I15" s="63">
        <f>AnxRendInt!P12</f>
        <v>0</v>
      </c>
      <c r="J15" s="63">
        <f>AnxRendInt!R12</f>
        <v>0</v>
      </c>
      <c r="K15" s="63">
        <f>AnxRendInt!T12</f>
        <v>0</v>
      </c>
      <c r="L15" s="63">
        <f>AnxRendInt!V12</f>
        <v>0</v>
      </c>
      <c r="M15" s="63">
        <f>AnxRendInt!X12</f>
        <v>0</v>
      </c>
      <c r="N15" s="61">
        <f t="shared" si="1"/>
        <v>0</v>
      </c>
      <c r="O15" s="533"/>
      <c r="P15" s="200">
        <v>142109</v>
      </c>
      <c r="Q15" s="751">
        <v>0</v>
      </c>
      <c r="R15" s="768">
        <f>+Q15-N15</f>
        <v>0</v>
      </c>
      <c r="S15" s="601"/>
      <c r="T15" s="471"/>
      <c r="U15" s="477"/>
      <c r="V15" s="471"/>
      <c r="W15" s="473"/>
      <c r="X15" s="471"/>
      <c r="Y15" s="475"/>
      <c r="Z15" s="475"/>
      <c r="AA15" s="475"/>
    </row>
    <row r="16" spans="1:27" s="59" customFormat="1" ht="16.5" customHeight="1">
      <c r="A16" s="56">
        <v>140110</v>
      </c>
      <c r="B16" s="51" t="s">
        <v>146</v>
      </c>
      <c r="C16" s="63">
        <f>AnxRendInt!D13</f>
        <v>0</v>
      </c>
      <c r="D16" s="63">
        <f>AnxRendInt!F13</f>
        <v>0</v>
      </c>
      <c r="E16" s="63">
        <f>AnxRendInt!H13</f>
        <v>0</v>
      </c>
      <c r="F16" s="63">
        <f>AnxRendInt!J13</f>
        <v>0</v>
      </c>
      <c r="G16" s="63">
        <f>AnxRendInt!L13</f>
        <v>0</v>
      </c>
      <c r="H16" s="63">
        <f>AnxRendInt!N13</f>
        <v>0</v>
      </c>
      <c r="I16" s="63">
        <f>AnxRendInt!P13</f>
        <v>0</v>
      </c>
      <c r="J16" s="63">
        <f>AnxRendInt!R13</f>
        <v>0</v>
      </c>
      <c r="K16" s="63">
        <f>AnxRendInt!T13</f>
        <v>0</v>
      </c>
      <c r="L16" s="63">
        <f>AnxRendInt!V13</f>
        <v>0</v>
      </c>
      <c r="M16" s="63">
        <f>AnxRendInt!X13</f>
        <v>0</v>
      </c>
      <c r="N16" s="61">
        <f t="shared" si="1"/>
        <v>0</v>
      </c>
      <c r="O16" s="520"/>
      <c r="P16" s="200">
        <v>142110</v>
      </c>
      <c r="Q16" s="750">
        <v>0</v>
      </c>
      <c r="R16" s="768">
        <f>+Q16-N16</f>
        <v>0</v>
      </c>
      <c r="S16" s="601"/>
      <c r="T16" s="199"/>
      <c r="U16" s="501"/>
      <c r="V16" s="199"/>
      <c r="W16" s="519"/>
      <c r="X16" s="199"/>
      <c r="Y16" s="517"/>
      <c r="Z16" s="517"/>
      <c r="AA16" s="517"/>
    </row>
    <row r="17" spans="1:27" s="59" customFormat="1" ht="16.5" customHeight="1">
      <c r="A17" s="56">
        <v>140111</v>
      </c>
      <c r="B17" s="51" t="s">
        <v>147</v>
      </c>
      <c r="C17" s="63">
        <f>AnxRendInt!D14</f>
        <v>0</v>
      </c>
      <c r="D17" s="63">
        <f>AnxRendInt!F14</f>
        <v>0</v>
      </c>
      <c r="E17" s="63">
        <f>AnxRendInt!H14</f>
        <v>0</v>
      </c>
      <c r="F17" s="63">
        <f>AnxRendInt!J14</f>
        <v>0</v>
      </c>
      <c r="G17" s="63">
        <f>AnxRendInt!L14</f>
        <v>0</v>
      </c>
      <c r="H17" s="63">
        <f>AnxRendInt!N14</f>
        <v>0</v>
      </c>
      <c r="I17" s="63">
        <f>AnxRendInt!P14</f>
        <v>0</v>
      </c>
      <c r="J17" s="63">
        <f>AnxRendInt!R14</f>
        <v>0</v>
      </c>
      <c r="K17" s="63">
        <f>AnxRendInt!T14</f>
        <v>0</v>
      </c>
      <c r="L17" s="63">
        <f>AnxRendInt!V14</f>
        <v>0</v>
      </c>
      <c r="M17" s="63">
        <f>AnxRendInt!X14</f>
        <v>0</v>
      </c>
      <c r="N17" s="61">
        <f t="shared" si="1"/>
        <v>0</v>
      </c>
      <c r="O17" s="520"/>
      <c r="P17" s="200">
        <v>142111</v>
      </c>
      <c r="Q17" s="750">
        <v>0</v>
      </c>
      <c r="R17" s="768">
        <f>+Q17-N17</f>
        <v>0</v>
      </c>
      <c r="S17" s="601"/>
      <c r="T17" s="199"/>
      <c r="U17" s="501"/>
      <c r="V17" s="199"/>
      <c r="W17" s="204"/>
      <c r="X17" s="199"/>
      <c r="Y17" s="517"/>
      <c r="Z17" s="517"/>
      <c r="AA17" s="517"/>
    </row>
    <row r="18" spans="1:27" s="59" customFormat="1" ht="16.5" customHeight="1">
      <c r="A18" s="56" t="s">
        <v>160</v>
      </c>
      <c r="B18" s="51" t="s">
        <v>148</v>
      </c>
      <c r="C18" s="63">
        <f>AnxRendInt!D15</f>
        <v>3243.86</v>
      </c>
      <c r="D18" s="63">
        <f>AnxRendInt!F15</f>
        <v>6042.41</v>
      </c>
      <c r="E18" s="63">
        <f>AnxRendInt!H15</f>
        <v>6046.19</v>
      </c>
      <c r="F18" s="63">
        <f>AnxRendInt!J15</f>
        <v>6124.35</v>
      </c>
      <c r="G18" s="63">
        <f>AnxRendInt!L15</f>
        <v>3102.45</v>
      </c>
      <c r="H18" s="63">
        <f>AnxRendInt!N15</f>
        <v>8079.13</v>
      </c>
      <c r="I18" s="63">
        <f>AnxRendInt!P15</f>
        <v>24722.22</v>
      </c>
      <c r="J18" s="63">
        <f>AnxRendInt!R15</f>
        <v>25343.77</v>
      </c>
      <c r="K18" s="63">
        <f>AnxRendInt!T15</f>
        <v>70541.850000000006</v>
      </c>
      <c r="L18" s="63">
        <f>AnxRendInt!V15</f>
        <v>146845.89000000001</v>
      </c>
      <c r="M18" s="63">
        <f>AnxRendInt!X15</f>
        <v>0</v>
      </c>
      <c r="N18" s="61">
        <f t="shared" si="1"/>
        <v>300092.12</v>
      </c>
      <c r="O18" s="520"/>
      <c r="P18" s="200">
        <v>142112</v>
      </c>
      <c r="Q18" s="750">
        <v>300092.12</v>
      </c>
      <c r="R18" s="768">
        <f>+Q18-N18</f>
        <v>0</v>
      </c>
      <c r="S18" s="601"/>
      <c r="T18" s="199"/>
      <c r="U18" s="501"/>
      <c r="V18" s="199"/>
      <c r="W18" s="204"/>
      <c r="X18" s="199"/>
      <c r="Y18" s="517"/>
      <c r="Z18" s="517"/>
      <c r="AA18" s="517"/>
    </row>
    <row r="19" spans="1:27" s="59" customFormat="1" ht="16.5" customHeight="1">
      <c r="A19" s="57" t="s">
        <v>171</v>
      </c>
      <c r="B19" s="51" t="s">
        <v>532</v>
      </c>
      <c r="C19" s="63">
        <f>AnxRendInt!D16+AnxRendInt!D20</f>
        <v>0</v>
      </c>
      <c r="D19" s="63">
        <f>AnxRendInt!F16+AnxRendInt!F20</f>
        <v>0</v>
      </c>
      <c r="E19" s="63">
        <f>AnxRendInt!H16+AnxRendInt!H20</f>
        <v>0</v>
      </c>
      <c r="F19" s="63">
        <f>AnxRendInt!J16+AnxRendInt!J20</f>
        <v>0</v>
      </c>
      <c r="G19" s="63">
        <f>AnxRendInt!L16+AnxRendInt!L20</f>
        <v>0</v>
      </c>
      <c r="H19" s="63">
        <f>AnxRendInt!N16+AnxRendInt!N20</f>
        <v>0</v>
      </c>
      <c r="I19" s="63">
        <f>AnxRendInt!P16+AnxRendInt!P20</f>
        <v>0</v>
      </c>
      <c r="J19" s="63">
        <f>AnxRendInt!R16+AnxRendInt!R20</f>
        <v>0</v>
      </c>
      <c r="K19" s="63">
        <f>AnxRendInt!T16+AnxRendInt!T20</f>
        <v>0</v>
      </c>
      <c r="L19" s="63">
        <f>AnxRendInt!V16+AnxRendInt!V20</f>
        <v>0</v>
      </c>
      <c r="M19" s="63">
        <f>AnxRendInt!X16+AnxRendInt!X20</f>
        <v>0</v>
      </c>
      <c r="N19" s="61">
        <f t="shared" si="1"/>
        <v>0</v>
      </c>
      <c r="O19" s="521"/>
      <c r="P19" s="200">
        <v>142809</v>
      </c>
      <c r="Q19" s="750">
        <v>0</v>
      </c>
      <c r="R19" s="768"/>
      <c r="S19" s="536"/>
      <c r="T19" s="204"/>
      <c r="U19" s="204"/>
      <c r="V19" s="204"/>
      <c r="W19" s="204"/>
      <c r="X19" s="204"/>
      <c r="Y19" s="517"/>
      <c r="Z19" s="517"/>
      <c r="AA19" s="517"/>
    </row>
    <row r="20" spans="1:27" s="59" customFormat="1" ht="16.5" customHeight="1">
      <c r="A20" s="57">
        <v>140810</v>
      </c>
      <c r="B20" s="51" t="s">
        <v>533</v>
      </c>
      <c r="C20" s="63">
        <f>AnxRendInt!D17+AnxRendInt!D21</f>
        <v>0</v>
      </c>
      <c r="D20" s="63">
        <f>AnxRendInt!F17+AnxRendInt!F21</f>
        <v>0</v>
      </c>
      <c r="E20" s="63">
        <f>AnxRendInt!H17+AnxRendInt!H21</f>
        <v>0</v>
      </c>
      <c r="F20" s="63">
        <f>AnxRendInt!J17+AnxRendInt!J21</f>
        <v>0</v>
      </c>
      <c r="G20" s="63">
        <f>AnxRendInt!L17+AnxRendInt!L21</f>
        <v>0</v>
      </c>
      <c r="H20" s="63">
        <f>AnxRendInt!N17+AnxRendInt!N21</f>
        <v>0</v>
      </c>
      <c r="I20" s="63">
        <f>AnxRendInt!P17+AnxRendInt!P21</f>
        <v>0</v>
      </c>
      <c r="J20" s="63">
        <f>AnxRendInt!R17+AnxRendInt!R21</f>
        <v>0</v>
      </c>
      <c r="K20" s="63">
        <f>AnxRendInt!T17+AnxRendInt!T21</f>
        <v>0</v>
      </c>
      <c r="L20" s="63">
        <f>AnxRendInt!V17+AnxRendInt!V21</f>
        <v>0</v>
      </c>
      <c r="M20" s="63">
        <f>AnxRendInt!X17+AnxRendInt!X21</f>
        <v>0</v>
      </c>
      <c r="N20" s="61">
        <f t="shared" si="1"/>
        <v>0</v>
      </c>
      <c r="O20" s="521"/>
      <c r="P20" s="200">
        <v>142810</v>
      </c>
      <c r="Q20" s="750">
        <v>0</v>
      </c>
      <c r="R20" s="721"/>
      <c r="S20" s="536"/>
      <c r="T20" s="204"/>
      <c r="U20" s="204"/>
      <c r="V20" s="204"/>
      <c r="W20" s="204"/>
      <c r="X20" s="204"/>
      <c r="Y20" s="517"/>
      <c r="Z20" s="517"/>
      <c r="AA20" s="517"/>
    </row>
    <row r="21" spans="1:27" s="59" customFormat="1" ht="16.5" customHeight="1">
      <c r="A21" s="57">
        <v>140811</v>
      </c>
      <c r="B21" s="51" t="s">
        <v>534</v>
      </c>
      <c r="C21" s="63">
        <f>AnxRendInt!D18+AnxRendInt!D22</f>
        <v>0</v>
      </c>
      <c r="D21" s="63">
        <f>AnxRendInt!F18+AnxRendInt!F22</f>
        <v>0</v>
      </c>
      <c r="E21" s="63">
        <f>AnxRendInt!H18+AnxRendInt!H22</f>
        <v>0</v>
      </c>
      <c r="F21" s="63">
        <f>AnxRendInt!J18+AnxRendInt!J22</f>
        <v>0</v>
      </c>
      <c r="G21" s="63">
        <f>AnxRendInt!L18+AnxRendInt!L22</f>
        <v>0</v>
      </c>
      <c r="H21" s="63">
        <f>AnxRendInt!N18+AnxRendInt!N22</f>
        <v>0</v>
      </c>
      <c r="I21" s="63">
        <f>AnxRendInt!P18+AnxRendInt!P22</f>
        <v>0</v>
      </c>
      <c r="J21" s="63">
        <f>AnxRendInt!R18+AnxRendInt!R22</f>
        <v>0</v>
      </c>
      <c r="K21" s="63">
        <f>AnxRendInt!T18+AnxRendInt!T22</f>
        <v>0</v>
      </c>
      <c r="L21" s="63">
        <f>AnxRendInt!V18+AnxRendInt!V22</f>
        <v>0</v>
      </c>
      <c r="M21" s="63">
        <f>AnxRendInt!X18+AnxRendInt!X22</f>
        <v>0</v>
      </c>
      <c r="N21" s="61">
        <f t="shared" si="1"/>
        <v>0</v>
      </c>
      <c r="O21" s="521"/>
      <c r="P21" s="200">
        <v>142811</v>
      </c>
      <c r="Q21" s="750">
        <v>0</v>
      </c>
      <c r="R21" s="721"/>
      <c r="S21" s="536"/>
      <c r="T21" s="204"/>
      <c r="U21" s="204"/>
      <c r="V21" s="204"/>
      <c r="W21" s="204"/>
      <c r="X21" s="204"/>
      <c r="Y21" s="517"/>
      <c r="Z21" s="517"/>
      <c r="AA21" s="517"/>
    </row>
    <row r="22" spans="1:27" s="59" customFormat="1" ht="16.5" customHeight="1">
      <c r="A22" s="57">
        <v>140812</v>
      </c>
      <c r="B22" s="51" t="s">
        <v>535</v>
      </c>
      <c r="C22" s="63">
        <f>AnxRendInt!D19+AnxRendInt!D23</f>
        <v>304.54000000000002</v>
      </c>
      <c r="D22" s="63">
        <f>AnxRendInt!F19+AnxRendInt!F23</f>
        <v>0</v>
      </c>
      <c r="E22" s="63">
        <f>AnxRendInt!H19+AnxRendInt!H23</f>
        <v>0</v>
      </c>
      <c r="F22" s="63">
        <f>AnxRendInt!J19+AnxRendInt!J23</f>
        <v>0</v>
      </c>
      <c r="G22" s="63">
        <f>AnxRendInt!L19+AnxRendInt!L23</f>
        <v>0</v>
      </c>
      <c r="H22" s="63">
        <f>AnxRendInt!N19+AnxRendInt!N23</f>
        <v>0</v>
      </c>
      <c r="I22" s="63">
        <f>AnxRendInt!P19+AnxRendInt!P23</f>
        <v>0</v>
      </c>
      <c r="J22" s="63">
        <f>AnxRendInt!R19+AnxRendInt!R23</f>
        <v>0</v>
      </c>
      <c r="K22" s="63">
        <f>AnxRendInt!T19+AnxRendInt!T23</f>
        <v>0</v>
      </c>
      <c r="L22" s="63">
        <f>AnxRendInt!V19+AnxRendInt!V23</f>
        <v>0</v>
      </c>
      <c r="M22" s="63">
        <f>AnxRendInt!X19+AnxRendInt!X23</f>
        <v>0</v>
      </c>
      <c r="N22" s="61">
        <f t="shared" si="1"/>
        <v>304.54000000000002</v>
      </c>
      <c r="O22" s="521"/>
      <c r="P22" s="200">
        <v>142812</v>
      </c>
      <c r="Q22" s="751">
        <v>304.54000000000002</v>
      </c>
      <c r="R22" s="768"/>
      <c r="S22" s="699"/>
      <c r="T22" s="204"/>
      <c r="U22" s="204"/>
      <c r="V22" s="204"/>
      <c r="W22" s="204"/>
      <c r="X22" s="204"/>
      <c r="Y22" s="517"/>
      <c r="Z22" s="517"/>
      <c r="AA22" s="517"/>
    </row>
    <row r="23" spans="1:27" s="59" customFormat="1" ht="15.75" customHeight="1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3144.79</v>
      </c>
      <c r="F23" s="63">
        <f t="shared" si="4"/>
        <v>4485.09</v>
      </c>
      <c r="G23" s="63">
        <f t="shared" si="4"/>
        <v>4498.92</v>
      </c>
      <c r="H23" s="63">
        <f>SUM(H24:H26)</f>
        <v>4578.53</v>
      </c>
      <c r="I23" s="63">
        <f t="shared" si="4"/>
        <v>13964.18</v>
      </c>
      <c r="J23" s="63">
        <f t="shared" si="4"/>
        <v>14415.58</v>
      </c>
      <c r="K23" s="63">
        <f t="shared" si="4"/>
        <v>62510.44</v>
      </c>
      <c r="L23" s="63">
        <f t="shared" si="4"/>
        <v>0</v>
      </c>
      <c r="M23" s="63">
        <f t="shared" si="4"/>
        <v>0</v>
      </c>
      <c r="N23" s="61">
        <f t="shared" si="1"/>
        <v>107597.53</v>
      </c>
      <c r="O23" s="204"/>
      <c r="P23" s="200"/>
      <c r="Q23" s="750"/>
      <c r="R23" s="721"/>
      <c r="S23" s="699"/>
      <c r="T23" s="204"/>
      <c r="U23" s="204"/>
      <c r="V23" s="204"/>
      <c r="W23" s="204"/>
      <c r="X23" s="204"/>
      <c r="Y23" s="517"/>
      <c r="Z23" s="517"/>
      <c r="AA23" s="517"/>
    </row>
    <row r="24" spans="1:27" s="59" customFormat="1" ht="16.5" customHeight="1">
      <c r="A24" s="56">
        <v>140410</v>
      </c>
      <c r="B24" s="51" t="s">
        <v>146</v>
      </c>
      <c r="C24" s="63">
        <f>+AnxRendInt!D25</f>
        <v>0</v>
      </c>
      <c r="D24" s="63">
        <f>+AnxRendInt!F25</f>
        <v>0</v>
      </c>
      <c r="E24" s="63">
        <f>+AnxRendInt!H25</f>
        <v>0</v>
      </c>
      <c r="F24" s="63">
        <f>+AnxRendInt!J25</f>
        <v>0</v>
      </c>
      <c r="G24" s="63">
        <f>+AnxRendInt!L25</f>
        <v>0</v>
      </c>
      <c r="H24" s="63">
        <f>+AnxRendInt!N25</f>
        <v>0</v>
      </c>
      <c r="I24" s="63">
        <f>+AnxRendInt!P25</f>
        <v>0</v>
      </c>
      <c r="J24" s="63">
        <f>+AnxRendInt!R25</f>
        <v>0</v>
      </c>
      <c r="K24" s="63">
        <f>+AnxRendInt!T25</f>
        <v>0</v>
      </c>
      <c r="L24" s="63">
        <f>+AnxRendInt!V25</f>
        <v>0</v>
      </c>
      <c r="M24" s="63">
        <f>+AnxRendInt!X25</f>
        <v>0</v>
      </c>
      <c r="N24" s="61">
        <f t="shared" si="1"/>
        <v>0</v>
      </c>
      <c r="O24" s="522"/>
      <c r="P24" s="200">
        <v>142410</v>
      </c>
      <c r="Q24" s="750">
        <v>0</v>
      </c>
      <c r="R24" s="768">
        <f>+Q24-N24</f>
        <v>0</v>
      </c>
      <c r="S24" s="699"/>
      <c r="T24" s="204"/>
      <c r="U24" s="204"/>
      <c r="V24" s="204"/>
      <c r="W24" s="204"/>
      <c r="X24" s="204"/>
      <c r="Y24" s="517"/>
      <c r="Z24" s="517"/>
      <c r="AA24" s="517"/>
    </row>
    <row r="25" spans="1:27" s="59" customFormat="1" ht="16.5" customHeight="1">
      <c r="A25" s="56" t="s">
        <v>545</v>
      </c>
      <c r="B25" s="51" t="s">
        <v>540</v>
      </c>
      <c r="C25" s="63">
        <f>AnxRendInt!D26+AnxRendInt!D27</f>
        <v>0</v>
      </c>
      <c r="D25" s="63">
        <f>AnxRendInt!F26+AnxRendInt!F27</f>
        <v>0</v>
      </c>
      <c r="E25" s="63">
        <f>AnxRendInt!H26+AnxRendInt!H27</f>
        <v>3144.79</v>
      </c>
      <c r="F25" s="63">
        <f>AnxRendInt!J26+AnxRendInt!J27</f>
        <v>4485.09</v>
      </c>
      <c r="G25" s="63">
        <f>AnxRendInt!L26+AnxRendInt!L27</f>
        <v>4498.92</v>
      </c>
      <c r="H25" s="63">
        <f>AnxRendInt!N26+AnxRendInt!N27</f>
        <v>4578.53</v>
      </c>
      <c r="I25" s="63">
        <f>AnxRendInt!P26+AnxRendInt!P27</f>
        <v>13964.18</v>
      </c>
      <c r="J25" s="63">
        <f>AnxRendInt!R26+AnxRendInt!R27</f>
        <v>14415.58</v>
      </c>
      <c r="K25" s="63">
        <f>AnxRendInt!T26+AnxRendInt!T27</f>
        <v>62510.44</v>
      </c>
      <c r="L25" s="63">
        <f>AnxRendInt!V26+AnxRendInt!V27</f>
        <v>0</v>
      </c>
      <c r="M25" s="63">
        <f>AnxRendInt!X26+AnxRendInt!X27</f>
        <v>0</v>
      </c>
      <c r="N25" s="61">
        <f t="shared" si="1"/>
        <v>107597.53</v>
      </c>
      <c r="O25" s="522"/>
      <c r="P25" s="200">
        <v>142411</v>
      </c>
      <c r="Q25" s="750">
        <v>0</v>
      </c>
      <c r="R25" s="768">
        <f>(Q25+Q26)-N25</f>
        <v>0</v>
      </c>
      <c r="S25" s="699"/>
      <c r="T25" s="204"/>
      <c r="U25" s="204"/>
      <c r="V25" s="204"/>
      <c r="W25" s="204"/>
      <c r="X25" s="204"/>
      <c r="Y25" s="517"/>
      <c r="Z25" s="517"/>
      <c r="AA25" s="517"/>
    </row>
    <row r="26" spans="1:27" s="59" customFormat="1" ht="16.5" customHeight="1">
      <c r="A26" s="319"/>
      <c r="B26" s="51" t="s">
        <v>544</v>
      </c>
      <c r="C26" s="63">
        <f>SUM(AnxRendInt!D28:'AnxRendInt'!D30)</f>
        <v>0</v>
      </c>
      <c r="D26" s="63">
        <f>SUM(AnxRendInt!F28:'AnxRendInt'!F30)</f>
        <v>0</v>
      </c>
      <c r="E26" s="63">
        <f>SUM(AnxRendInt!H28:'AnxRendInt'!H30)</f>
        <v>0</v>
      </c>
      <c r="F26" s="63">
        <f>SUM(AnxRendInt!J28:'AnxRendInt'!J30)</f>
        <v>0</v>
      </c>
      <c r="G26" s="63">
        <f>SUM(AnxRendInt!L28:'AnxRendInt'!L30)</f>
        <v>0</v>
      </c>
      <c r="H26" s="63">
        <f>SUM(AnxRendInt!N28:'AnxRendInt'!N30)</f>
        <v>0</v>
      </c>
      <c r="I26" s="63">
        <f>SUM(AnxRendInt!P28:'AnxRendInt'!P30)</f>
        <v>0</v>
      </c>
      <c r="J26" s="63">
        <f>SUM(AnxRendInt!R28:'AnxRendInt'!R30)</f>
        <v>0</v>
      </c>
      <c r="K26" s="63">
        <f>SUM(AnxRendInt!T28:'AnxRendInt'!T30)</f>
        <v>0</v>
      </c>
      <c r="L26" s="63">
        <f>SUM(AnxRendInt!V28:'AnxRendInt'!V30)</f>
        <v>0</v>
      </c>
      <c r="M26" s="63">
        <f>SUM(AnxRendInt!X28:'AnxRendInt'!X30)</f>
        <v>0</v>
      </c>
      <c r="N26" s="61">
        <f t="shared" si="1"/>
        <v>0</v>
      </c>
      <c r="O26" s="522"/>
      <c r="P26" s="200">
        <v>142412</v>
      </c>
      <c r="Q26" s="751">
        <v>107597.53</v>
      </c>
      <c r="R26" s="768"/>
      <c r="S26" s="699"/>
      <c r="T26" s="204"/>
      <c r="U26" s="204"/>
      <c r="V26" s="204"/>
      <c r="W26" s="204"/>
      <c r="X26" s="204"/>
      <c r="Y26" s="517"/>
      <c r="Z26" s="517"/>
      <c r="AA26" s="517"/>
    </row>
    <row r="27" spans="1:27" s="58" customFormat="1" ht="16.5" customHeight="1">
      <c r="A27" s="36" t="s">
        <v>85</v>
      </c>
      <c r="B27" s="35" t="s">
        <v>30</v>
      </c>
      <c r="C27" s="178">
        <f>+C28+C33</f>
        <v>1910.22</v>
      </c>
      <c r="D27" s="61">
        <f>+D28+D33</f>
        <v>1914.61</v>
      </c>
      <c r="E27" s="61">
        <f t="shared" ref="E27:M27" si="5">+E28+E33</f>
        <v>1938.73</v>
      </c>
      <c r="F27" s="61">
        <f t="shared" si="5"/>
        <v>2188.15</v>
      </c>
      <c r="G27" s="61">
        <f t="shared" si="5"/>
        <v>2008.35</v>
      </c>
      <c r="H27" s="61">
        <f t="shared" si="5"/>
        <v>1303.4900000000002</v>
      </c>
      <c r="I27" s="61">
        <f t="shared" si="5"/>
        <v>5059.3399999999992</v>
      </c>
      <c r="J27" s="61">
        <f t="shared" si="5"/>
        <v>5288.1500000000005</v>
      </c>
      <c r="K27" s="61">
        <f t="shared" si="5"/>
        <v>22444.14</v>
      </c>
      <c r="L27" s="61">
        <f t="shared" si="5"/>
        <v>36362.82</v>
      </c>
      <c r="M27" s="61">
        <f t="shared" si="5"/>
        <v>5785.93</v>
      </c>
      <c r="N27" s="61">
        <f t="shared" si="1"/>
        <v>86203.93</v>
      </c>
      <c r="O27" s="204"/>
      <c r="P27" s="206"/>
      <c r="Q27" s="823">
        <f>+Q28+Q34</f>
        <v>54577.21</v>
      </c>
      <c r="R27" s="721"/>
      <c r="S27" s="699"/>
      <c r="T27" s="204"/>
      <c r="U27" s="204"/>
      <c r="V27" s="204"/>
      <c r="W27" s="204"/>
      <c r="X27" s="204"/>
      <c r="Y27" s="517"/>
      <c r="Z27" s="518"/>
      <c r="AA27" s="518"/>
    </row>
    <row r="28" spans="1:27" s="59" customFormat="1" ht="16.5" customHeight="1">
      <c r="A28" s="52"/>
      <c r="B28" s="50" t="s">
        <v>144</v>
      </c>
      <c r="C28" s="255">
        <f>SUM(C29:C32)</f>
        <v>1910.22</v>
      </c>
      <c r="D28" s="63">
        <f>SUM(D29:D32)</f>
        <v>1914.61</v>
      </c>
      <c r="E28" s="63">
        <f t="shared" ref="E28:M28" si="6">SUM(E29:E32)</f>
        <v>1938.73</v>
      </c>
      <c r="F28" s="63">
        <f t="shared" si="6"/>
        <v>2188.15</v>
      </c>
      <c r="G28" s="63">
        <f t="shared" si="6"/>
        <v>2008.35</v>
      </c>
      <c r="H28" s="63">
        <f t="shared" si="6"/>
        <v>216.61</v>
      </c>
      <c r="I28" s="63">
        <f t="shared" si="6"/>
        <v>678.4</v>
      </c>
      <c r="J28" s="63">
        <f t="shared" si="6"/>
        <v>706.35</v>
      </c>
      <c r="K28" s="63">
        <f t="shared" si="6"/>
        <v>3017.45</v>
      </c>
      <c r="L28" s="63">
        <f t="shared" si="6"/>
        <v>11261.92</v>
      </c>
      <c r="M28" s="63">
        <f t="shared" si="6"/>
        <v>5785.93</v>
      </c>
      <c r="N28" s="61">
        <f t="shared" si="1"/>
        <v>31626.720000000001</v>
      </c>
      <c r="O28" s="204"/>
      <c r="P28" s="206"/>
      <c r="Q28" s="750"/>
      <c r="R28" s="721"/>
      <c r="S28" s="699"/>
      <c r="T28" s="204"/>
      <c r="U28" s="204"/>
      <c r="V28" s="204"/>
      <c r="W28" s="204"/>
      <c r="X28" s="204"/>
      <c r="Y28" s="517"/>
      <c r="Z28" s="517"/>
      <c r="AA28" s="517"/>
    </row>
    <row r="29" spans="1:27" s="59" customFormat="1" ht="16.5" customHeight="1">
      <c r="A29" s="56" t="s">
        <v>161</v>
      </c>
      <c r="B29" s="51" t="s">
        <v>150</v>
      </c>
      <c r="C29" s="63">
        <f>AnxRendInt!D33</f>
        <v>1883.77</v>
      </c>
      <c r="D29" s="63">
        <f>AnxRendInt!F33</f>
        <v>1914.61</v>
      </c>
      <c r="E29" s="63">
        <f>AnxRendInt!H33</f>
        <v>1938.73</v>
      </c>
      <c r="F29" s="63">
        <f>AnxRendInt!J33</f>
        <v>2188.15</v>
      </c>
      <c r="G29" s="63">
        <f>AnxRendInt!L33</f>
        <v>2008.35</v>
      </c>
      <c r="H29" s="63">
        <f>AnxRendInt!N33</f>
        <v>216.61</v>
      </c>
      <c r="I29" s="63">
        <f>AnxRendInt!P33</f>
        <v>678.4</v>
      </c>
      <c r="J29" s="63">
        <f>AnxRendInt!R33</f>
        <v>706.35</v>
      </c>
      <c r="K29" s="63">
        <f>AnxRendInt!T33</f>
        <v>3017.45</v>
      </c>
      <c r="L29" s="63">
        <f>AnxRendInt!V33</f>
        <v>11261.92</v>
      </c>
      <c r="M29" s="63">
        <f>AnxRendInt!X33</f>
        <v>5785.93</v>
      </c>
      <c r="N29" s="61">
        <f t="shared" si="1"/>
        <v>31600.270000000004</v>
      </c>
      <c r="O29" s="522"/>
      <c r="P29" s="200">
        <v>142113</v>
      </c>
      <c r="Q29" s="751">
        <v>31600.27</v>
      </c>
      <c r="R29" s="768">
        <f t="shared" ref="R29:R42" si="7">+Q29-N29</f>
        <v>0</v>
      </c>
      <c r="S29" s="699"/>
      <c r="T29" s="204"/>
      <c r="U29" s="204"/>
      <c r="V29" s="204"/>
      <c r="W29" s="204"/>
      <c r="X29" s="204"/>
      <c r="Y29" s="517"/>
      <c r="Z29" s="517"/>
      <c r="AA29" s="517"/>
    </row>
    <row r="30" spans="1:27" s="59" customFormat="1" ht="16.5" customHeight="1">
      <c r="A30" s="56" t="s">
        <v>156</v>
      </c>
      <c r="B30" s="51" t="s">
        <v>151</v>
      </c>
      <c r="C30" s="63">
        <f>AnxRendInt!D34</f>
        <v>0</v>
      </c>
      <c r="D30" s="63">
        <f>AnxRendInt!F34</f>
        <v>0</v>
      </c>
      <c r="E30" s="63">
        <f>AnxRendInt!H34</f>
        <v>0</v>
      </c>
      <c r="F30" s="63">
        <f>AnxRendInt!J34</f>
        <v>0</v>
      </c>
      <c r="G30" s="63">
        <f>AnxRendInt!L34</f>
        <v>0</v>
      </c>
      <c r="H30" s="63">
        <f>AnxRendInt!N34</f>
        <v>0</v>
      </c>
      <c r="I30" s="63">
        <f>AnxRendInt!P34</f>
        <v>0</v>
      </c>
      <c r="J30" s="63">
        <f>AnxRendInt!R34</f>
        <v>0</v>
      </c>
      <c r="K30" s="63">
        <f>AnxRendInt!T34</f>
        <v>0</v>
      </c>
      <c r="L30" s="63">
        <f>AnxRendInt!V34</f>
        <v>0</v>
      </c>
      <c r="M30" s="63">
        <f>AnxRendInt!X34</f>
        <v>0</v>
      </c>
      <c r="N30" s="61">
        <f t="shared" si="1"/>
        <v>0</v>
      </c>
      <c r="O30" s="522"/>
      <c r="P30" s="200">
        <v>142102</v>
      </c>
      <c r="Q30" s="750">
        <v>0</v>
      </c>
      <c r="R30" s="768">
        <f t="shared" si="7"/>
        <v>0</v>
      </c>
      <c r="S30" s="699"/>
      <c r="T30" s="204"/>
      <c r="U30" s="204"/>
      <c r="V30" s="517"/>
      <c r="W30" s="517"/>
      <c r="X30" s="517"/>
      <c r="Y30" s="517"/>
      <c r="Z30" s="517"/>
      <c r="AA30" s="517"/>
    </row>
    <row r="31" spans="1:27" s="59" customFormat="1" ht="16.5" customHeight="1">
      <c r="A31" s="57" t="s">
        <v>167</v>
      </c>
      <c r="B31" s="51" t="s">
        <v>536</v>
      </c>
      <c r="C31" s="63">
        <f>AnxRendInt!D35+AnxRendInt!D37</f>
        <v>0</v>
      </c>
      <c r="D31" s="63">
        <f>AnxRendInt!F35+AnxRendInt!F37</f>
        <v>0</v>
      </c>
      <c r="E31" s="63">
        <f>AnxRendInt!H35+AnxRendInt!H37</f>
        <v>0</v>
      </c>
      <c r="F31" s="63">
        <f>AnxRendInt!J35+AnxRendInt!J37</f>
        <v>0</v>
      </c>
      <c r="G31" s="63">
        <f>AnxRendInt!L35+AnxRendInt!L37</f>
        <v>0</v>
      </c>
      <c r="H31" s="63">
        <f>AnxRendInt!N35+AnxRendInt!N37</f>
        <v>0</v>
      </c>
      <c r="I31" s="63">
        <f>AnxRendInt!P35+AnxRendInt!P37</f>
        <v>0</v>
      </c>
      <c r="J31" s="63">
        <f>AnxRendInt!R35+AnxRendInt!R37</f>
        <v>0</v>
      </c>
      <c r="K31" s="63">
        <f>AnxRendInt!T35+AnxRendInt!T37</f>
        <v>0</v>
      </c>
      <c r="L31" s="63">
        <f>AnxRendInt!V35+AnxRendInt!V37</f>
        <v>0</v>
      </c>
      <c r="M31" s="63">
        <f>AnxRendInt!X35+AnxRendInt!X37</f>
        <v>0</v>
      </c>
      <c r="N31" s="61">
        <f t="shared" si="1"/>
        <v>0</v>
      </c>
      <c r="O31" s="206"/>
      <c r="P31" s="200">
        <v>142802</v>
      </c>
      <c r="Q31" s="750">
        <v>0</v>
      </c>
      <c r="R31" s="768"/>
      <c r="S31" s="699"/>
      <c r="T31" s="204"/>
      <c r="U31" s="204"/>
      <c r="V31" s="517"/>
      <c r="W31" s="517"/>
      <c r="X31" s="517"/>
      <c r="Y31" s="517"/>
      <c r="Z31" s="517"/>
      <c r="AA31" s="517"/>
    </row>
    <row r="32" spans="1:27" s="59" customFormat="1" ht="16.5" customHeight="1">
      <c r="A32" s="57">
        <v>140813</v>
      </c>
      <c r="B32" s="51" t="s">
        <v>537</v>
      </c>
      <c r="C32" s="63">
        <f>AnxRendInt!D36+AnxRendInt!D38</f>
        <v>26.45</v>
      </c>
      <c r="D32" s="63">
        <f>AnxRendInt!F36+AnxRendInt!F38</f>
        <v>0</v>
      </c>
      <c r="E32" s="63">
        <f>AnxRendInt!H36+AnxRendInt!H38</f>
        <v>0</v>
      </c>
      <c r="F32" s="63">
        <f>AnxRendInt!J36+AnxRendInt!J38</f>
        <v>0</v>
      </c>
      <c r="G32" s="63">
        <f>AnxRendInt!L36+AnxRendInt!L38</f>
        <v>0</v>
      </c>
      <c r="H32" s="63">
        <f>AnxRendInt!N36+AnxRendInt!N38</f>
        <v>0</v>
      </c>
      <c r="I32" s="63">
        <f>AnxRendInt!P36+AnxRendInt!P38</f>
        <v>0</v>
      </c>
      <c r="J32" s="63">
        <f>AnxRendInt!R36+AnxRendInt!R38</f>
        <v>0</v>
      </c>
      <c r="K32" s="63">
        <f>AnxRendInt!T36+AnxRendInt!T38</f>
        <v>0</v>
      </c>
      <c r="L32" s="63">
        <f>AnxRendInt!V36+AnxRendInt!V38</f>
        <v>0</v>
      </c>
      <c r="M32" s="63">
        <f>AnxRendInt!X36+AnxRendInt!X38</f>
        <v>0</v>
      </c>
      <c r="N32" s="61">
        <f t="shared" si="1"/>
        <v>26.45</v>
      </c>
      <c r="O32" s="206"/>
      <c r="P32" s="200">
        <v>142813</v>
      </c>
      <c r="Q32" s="751">
        <v>26.45</v>
      </c>
      <c r="R32" s="768"/>
      <c r="S32" s="699"/>
      <c r="T32" s="204"/>
      <c r="U32" s="204"/>
      <c r="V32" s="517"/>
      <c r="W32" s="517"/>
      <c r="X32" s="517"/>
      <c r="Y32" s="517"/>
      <c r="Z32" s="517"/>
      <c r="AA32" s="517"/>
    </row>
    <row r="33" spans="1:27" s="59" customFormat="1" ht="16.5" customHeight="1">
      <c r="A33" s="52"/>
      <c r="B33" s="50" t="s">
        <v>149</v>
      </c>
      <c r="C33" s="255">
        <f>SUM(C34:C35)</f>
        <v>0</v>
      </c>
      <c r="D33" s="63">
        <f t="shared" ref="D33:M33" si="8">SUM(D34:D35)</f>
        <v>0</v>
      </c>
      <c r="E33" s="63">
        <f t="shared" si="8"/>
        <v>0</v>
      </c>
      <c r="F33" s="63">
        <f t="shared" si="8"/>
        <v>0</v>
      </c>
      <c r="G33" s="63">
        <f t="shared" si="8"/>
        <v>0</v>
      </c>
      <c r="H33" s="63">
        <f t="shared" si="8"/>
        <v>1086.8800000000001</v>
      </c>
      <c r="I33" s="63">
        <f t="shared" si="8"/>
        <v>4380.9399999999996</v>
      </c>
      <c r="J33" s="63">
        <f t="shared" si="8"/>
        <v>4581.8</v>
      </c>
      <c r="K33" s="63">
        <f t="shared" si="8"/>
        <v>19426.689999999999</v>
      </c>
      <c r="L33" s="63">
        <f t="shared" si="8"/>
        <v>25100.9</v>
      </c>
      <c r="M33" s="63">
        <f t="shared" si="8"/>
        <v>0</v>
      </c>
      <c r="N33" s="61">
        <f t="shared" si="1"/>
        <v>54577.21</v>
      </c>
      <c r="O33" s="204"/>
      <c r="P33" s="204"/>
      <c r="Q33" s="750"/>
      <c r="R33" s="721"/>
      <c r="S33" s="699"/>
      <c r="T33" s="204"/>
      <c r="U33" s="204"/>
      <c r="V33" s="517"/>
      <c r="W33" s="517"/>
      <c r="X33" s="517"/>
      <c r="Y33" s="517"/>
      <c r="Z33" s="517"/>
      <c r="AA33" s="517"/>
    </row>
    <row r="34" spans="1:27" s="59" customFormat="1" ht="16.5" customHeight="1">
      <c r="A34" s="56" t="s">
        <v>543</v>
      </c>
      <c r="B34" s="51" t="s">
        <v>541</v>
      </c>
      <c r="C34" s="63">
        <f>AnxRendInt!D40+AnxRendInt!D41</f>
        <v>0</v>
      </c>
      <c r="D34" s="63">
        <f>AnxRendInt!F40+AnxRendInt!F41</f>
        <v>0</v>
      </c>
      <c r="E34" s="63">
        <f>AnxRendInt!H40+AnxRendInt!H41</f>
        <v>0</v>
      </c>
      <c r="F34" s="63">
        <f>AnxRendInt!J40+AnxRendInt!J41</f>
        <v>0</v>
      </c>
      <c r="G34" s="63">
        <f>AnxRendInt!L40+AnxRendInt!L41</f>
        <v>0</v>
      </c>
      <c r="H34" s="63">
        <f>AnxRendInt!N40+AnxRendInt!N41</f>
        <v>1086.8800000000001</v>
      </c>
      <c r="I34" s="63">
        <f>AnxRendInt!P40+AnxRendInt!P41</f>
        <v>4380.9399999999996</v>
      </c>
      <c r="J34" s="63">
        <f>AnxRendInt!R40+AnxRendInt!R41</f>
        <v>4581.8</v>
      </c>
      <c r="K34" s="63">
        <f>AnxRendInt!T40+AnxRendInt!T41</f>
        <v>19426.689999999999</v>
      </c>
      <c r="L34" s="63">
        <f>AnxRendInt!V40+AnxRendInt!V41</f>
        <v>25100.9</v>
      </c>
      <c r="M34" s="63">
        <f>AnxRendInt!X40+AnxRendInt!X41</f>
        <v>0</v>
      </c>
      <c r="N34" s="61">
        <f t="shared" si="1"/>
        <v>54577.21</v>
      </c>
      <c r="O34" s="520"/>
      <c r="P34" s="200">
        <v>142413</v>
      </c>
      <c r="Q34" s="751">
        <v>54577.21</v>
      </c>
      <c r="R34" s="768">
        <f>(Q34+Q35)-N34</f>
        <v>0</v>
      </c>
      <c r="S34" s="536"/>
      <c r="T34" s="204"/>
      <c r="U34" s="204"/>
      <c r="V34" s="517"/>
      <c r="W34" s="517"/>
      <c r="X34" s="517"/>
      <c r="Y34" s="517"/>
      <c r="Z34" s="517"/>
      <c r="AA34" s="517"/>
    </row>
    <row r="35" spans="1:27" s="59" customFormat="1" ht="16.5" customHeight="1">
      <c r="A35" s="321"/>
      <c r="B35" s="51" t="s">
        <v>542</v>
      </c>
      <c r="C35" s="63">
        <f>AnxRendInt!D42+AnxRendInt!D43</f>
        <v>0</v>
      </c>
      <c r="D35" s="63">
        <f>AnxRendInt!F42+AnxRendInt!F43</f>
        <v>0</v>
      </c>
      <c r="E35" s="63">
        <f>AnxRendInt!H42+AnxRendInt!H43</f>
        <v>0</v>
      </c>
      <c r="F35" s="63">
        <f>AnxRendInt!J42+AnxRendInt!J43</f>
        <v>0</v>
      </c>
      <c r="G35" s="63">
        <f>AnxRendInt!L42+AnxRendInt!L43</f>
        <v>0</v>
      </c>
      <c r="H35" s="63">
        <f>AnxRendInt!N42+AnxRendInt!N43</f>
        <v>0</v>
      </c>
      <c r="I35" s="63">
        <f>AnxRendInt!P42+AnxRendInt!P43</f>
        <v>0</v>
      </c>
      <c r="J35" s="63">
        <f>AnxRendInt!R42+AnxRendInt!R43</f>
        <v>0</v>
      </c>
      <c r="K35" s="63">
        <f>AnxRendInt!T42+AnxRendInt!T43</f>
        <v>0</v>
      </c>
      <c r="L35" s="63">
        <f>AnxRendInt!V42+AnxRendInt!V43</f>
        <v>0</v>
      </c>
      <c r="M35" s="63">
        <f>AnxRendInt!X42+AnxRendInt!X43</f>
        <v>0</v>
      </c>
      <c r="N35" s="61">
        <f t="shared" si="1"/>
        <v>0</v>
      </c>
      <c r="O35" s="520"/>
      <c r="P35" s="200">
        <v>142402</v>
      </c>
      <c r="Q35" s="750">
        <v>0</v>
      </c>
      <c r="R35" s="768"/>
      <c r="S35" s="536"/>
      <c r="T35" s="204"/>
      <c r="U35" s="204"/>
      <c r="V35" s="517"/>
      <c r="W35" s="517"/>
      <c r="X35" s="517"/>
      <c r="Y35" s="517"/>
      <c r="Z35" s="517"/>
      <c r="AA35" s="517"/>
    </row>
    <row r="36" spans="1:27" s="58" customFormat="1" ht="16.5" customHeight="1">
      <c r="A36" s="36" t="s">
        <v>84</v>
      </c>
      <c r="B36" s="35" t="s">
        <v>32</v>
      </c>
      <c r="C36" s="61">
        <f>SUM(C37:C39)</f>
        <v>6725.48</v>
      </c>
      <c r="D36" s="61">
        <f t="shared" ref="D36:M36" si="9">SUM(D37:D39)</f>
        <v>832.65</v>
      </c>
      <c r="E36" s="61">
        <f t="shared" si="9"/>
        <v>0</v>
      </c>
      <c r="F36" s="61">
        <f t="shared" si="9"/>
        <v>0</v>
      </c>
      <c r="G36" s="61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0</v>
      </c>
      <c r="K36" s="61">
        <f t="shared" si="9"/>
        <v>0</v>
      </c>
      <c r="L36" s="61">
        <f t="shared" si="9"/>
        <v>0</v>
      </c>
      <c r="M36" s="61">
        <f t="shared" si="9"/>
        <v>0</v>
      </c>
      <c r="N36" s="61">
        <f t="shared" si="1"/>
        <v>7558.1299999999992</v>
      </c>
      <c r="O36" s="204"/>
      <c r="P36" s="189"/>
      <c r="Q36" s="750"/>
      <c r="R36" s="721"/>
      <c r="S36" s="536"/>
      <c r="T36" s="204"/>
      <c r="U36" s="204"/>
      <c r="V36" s="517"/>
      <c r="W36" s="517"/>
      <c r="X36" s="517"/>
      <c r="Y36" s="517"/>
      <c r="Z36" s="518"/>
      <c r="AA36" s="518"/>
    </row>
    <row r="37" spans="1:27" s="59" customFormat="1" ht="16.5" customHeight="1">
      <c r="A37" s="56" t="s">
        <v>158</v>
      </c>
      <c r="B37" s="54" t="s">
        <v>152</v>
      </c>
      <c r="C37" s="63">
        <f>AnxRendInt!D45</f>
        <v>6725.48</v>
      </c>
      <c r="D37" s="63">
        <f>AnxRendInt!F45</f>
        <v>832.65</v>
      </c>
      <c r="E37" s="63">
        <f>AnxRendInt!H45</f>
        <v>0</v>
      </c>
      <c r="F37" s="63">
        <f>AnxRendInt!J45</f>
        <v>0</v>
      </c>
      <c r="G37" s="63">
        <f>AnxRendInt!L45</f>
        <v>0</v>
      </c>
      <c r="H37" s="63">
        <f>AnxRendInt!N45</f>
        <v>0</v>
      </c>
      <c r="I37" s="63">
        <f>AnxRendInt!P45</f>
        <v>0</v>
      </c>
      <c r="J37" s="63">
        <f>AnxRendInt!R45</f>
        <v>0</v>
      </c>
      <c r="K37" s="63">
        <f>AnxRendInt!T45</f>
        <v>0</v>
      </c>
      <c r="L37" s="63">
        <f>AnxRendInt!V45</f>
        <v>0</v>
      </c>
      <c r="M37" s="63">
        <f>AnxRendInt!X45</f>
        <v>0</v>
      </c>
      <c r="N37" s="61">
        <f t="shared" si="1"/>
        <v>7558.1299999999992</v>
      </c>
      <c r="O37" s="520"/>
      <c r="P37" s="200">
        <v>142104</v>
      </c>
      <c r="Q37" s="751">
        <v>0</v>
      </c>
      <c r="R37" s="768">
        <f t="shared" si="7"/>
        <v>-7558.1299999999992</v>
      </c>
      <c r="S37" s="684"/>
      <c r="T37" s="204"/>
      <c r="U37" s="204"/>
      <c r="V37" s="517"/>
      <c r="W37" s="517"/>
      <c r="X37" s="517"/>
      <c r="Y37" s="517"/>
      <c r="Z37" s="517"/>
      <c r="AA37" s="517"/>
    </row>
    <row r="38" spans="1:27" s="59" customFormat="1" ht="16.5" customHeight="1">
      <c r="A38" s="56" t="s">
        <v>165</v>
      </c>
      <c r="B38" s="54" t="s">
        <v>153</v>
      </c>
      <c r="C38" s="63">
        <f>AnxRendInt!D46</f>
        <v>0</v>
      </c>
      <c r="D38" s="63">
        <f>AnxRendInt!F46</f>
        <v>0</v>
      </c>
      <c r="E38" s="63">
        <f>AnxRendInt!H46</f>
        <v>0</v>
      </c>
      <c r="F38" s="63">
        <f>AnxRendInt!J46</f>
        <v>0</v>
      </c>
      <c r="G38" s="63">
        <f>AnxRendInt!L46</f>
        <v>0</v>
      </c>
      <c r="H38" s="63">
        <f>AnxRendInt!N46</f>
        <v>0</v>
      </c>
      <c r="I38" s="63">
        <f>AnxRendInt!P46</f>
        <v>0</v>
      </c>
      <c r="J38" s="63">
        <f>AnxRendInt!R46</f>
        <v>0</v>
      </c>
      <c r="K38" s="63">
        <f>AnxRendInt!T46</f>
        <v>0</v>
      </c>
      <c r="L38" s="63">
        <f>AnxRendInt!V46</f>
        <v>0</v>
      </c>
      <c r="M38" s="63">
        <f>AnxRendInt!X46</f>
        <v>0</v>
      </c>
      <c r="N38" s="61">
        <f t="shared" si="1"/>
        <v>0</v>
      </c>
      <c r="O38" s="520"/>
      <c r="P38" s="200">
        <v>142404</v>
      </c>
      <c r="Q38" s="750">
        <v>0</v>
      </c>
      <c r="R38" s="768">
        <f t="shared" si="7"/>
        <v>0</v>
      </c>
      <c r="S38" s="601"/>
      <c r="T38" s="204"/>
      <c r="U38" s="204"/>
      <c r="V38" s="517"/>
      <c r="W38" s="517"/>
      <c r="X38" s="517"/>
      <c r="Y38" s="517"/>
      <c r="Z38" s="517"/>
      <c r="AA38" s="517"/>
    </row>
    <row r="39" spans="1:27" s="59" customFormat="1" ht="16.5" customHeight="1">
      <c r="A39" s="57" t="s">
        <v>170</v>
      </c>
      <c r="B39" s="51" t="s">
        <v>538</v>
      </c>
      <c r="C39" s="63">
        <f>SUM(AnxRendInt!D47:'AnxRendInt'!D49)</f>
        <v>0</v>
      </c>
      <c r="D39" s="63">
        <f>SUM(AnxRendInt!F47:'AnxRendInt'!F49)</f>
        <v>0</v>
      </c>
      <c r="E39" s="63">
        <f>SUM(AnxRendInt!H47:'AnxRendInt'!H49)</f>
        <v>0</v>
      </c>
      <c r="F39" s="63">
        <f>SUM(AnxRendInt!J47:'AnxRendInt'!J49)</f>
        <v>0</v>
      </c>
      <c r="G39" s="63">
        <f>SUM(AnxRendInt!L47:'AnxRendInt'!L49)</f>
        <v>0</v>
      </c>
      <c r="H39" s="63">
        <f>SUM(AnxRendInt!N47:'AnxRendInt'!N49)</f>
        <v>0</v>
      </c>
      <c r="I39" s="63">
        <f>SUM(AnxRendInt!P47:'AnxRendInt'!P49)</f>
        <v>0</v>
      </c>
      <c r="J39" s="63">
        <f>SUM(AnxRendInt!R47:'AnxRendInt'!R49)</f>
        <v>0</v>
      </c>
      <c r="K39" s="63">
        <f>SUM(AnxRendInt!T47:'AnxRendInt'!T49)</f>
        <v>0</v>
      </c>
      <c r="L39" s="63">
        <f>SUM(AnxRendInt!V47:'AnxRendInt'!V49)</f>
        <v>0</v>
      </c>
      <c r="M39" s="63">
        <f>SUM(AnxRendInt!X47:'AnxRendInt'!X49)</f>
        <v>0</v>
      </c>
      <c r="N39" s="61">
        <f t="shared" si="1"/>
        <v>0</v>
      </c>
      <c r="O39" s="520"/>
      <c r="P39" s="200">
        <v>142804</v>
      </c>
      <c r="Q39" s="751">
        <v>0</v>
      </c>
      <c r="R39" s="768"/>
      <c r="S39" s="601"/>
      <c r="T39" s="204"/>
      <c r="U39" s="204"/>
      <c r="V39" s="517"/>
      <c r="W39" s="517"/>
      <c r="X39" s="517"/>
      <c r="Y39" s="517"/>
      <c r="Z39" s="517"/>
      <c r="AA39" s="517"/>
    </row>
    <row r="40" spans="1:27" s="58" customFormat="1" ht="16.5" customHeight="1">
      <c r="A40" s="36" t="s">
        <v>83</v>
      </c>
      <c r="B40" s="35" t="s">
        <v>34</v>
      </c>
      <c r="C40" s="178">
        <f>SUM(C41:C43)</f>
        <v>1467.3</v>
      </c>
      <c r="D40" s="61">
        <f t="shared" ref="D40:M40" si="10">SUM(D41:D43)</f>
        <v>1298.3800000000001</v>
      </c>
      <c r="E40" s="61">
        <f t="shared" si="10"/>
        <v>1301.5899999999999</v>
      </c>
      <c r="F40" s="61">
        <f t="shared" si="10"/>
        <v>1334</v>
      </c>
      <c r="G40" s="61">
        <f t="shared" si="10"/>
        <v>1338.84</v>
      </c>
      <c r="H40" s="61">
        <f t="shared" si="10"/>
        <v>1357.77</v>
      </c>
      <c r="I40" s="61">
        <f t="shared" si="10"/>
        <v>4213.2</v>
      </c>
      <c r="J40" s="61">
        <f t="shared" si="10"/>
        <v>4398.22</v>
      </c>
      <c r="K40" s="61">
        <f t="shared" si="10"/>
        <v>19477.169999999998</v>
      </c>
      <c r="L40" s="61">
        <f t="shared" si="10"/>
        <v>0</v>
      </c>
      <c r="M40" s="61">
        <f t="shared" si="10"/>
        <v>0</v>
      </c>
      <c r="N40" s="61">
        <f t="shared" si="1"/>
        <v>36186.47</v>
      </c>
      <c r="O40" s="201"/>
      <c r="P40" s="207"/>
      <c r="Q40" s="750"/>
      <c r="R40" s="721"/>
      <c r="S40" s="601"/>
      <c r="T40" s="204"/>
      <c r="U40" s="204"/>
      <c r="V40" s="517"/>
      <c r="W40" s="517"/>
      <c r="X40" s="517"/>
      <c r="Y40" s="517"/>
      <c r="Z40" s="518"/>
      <c r="AA40" s="518"/>
    </row>
    <row r="41" spans="1:27" s="59" customFormat="1" ht="16.5" customHeight="1">
      <c r="A41" s="56" t="s">
        <v>157</v>
      </c>
      <c r="B41" s="54" t="s">
        <v>154</v>
      </c>
      <c r="C41" s="63">
        <f>AnxRendInt!D51</f>
        <v>1280.83</v>
      </c>
      <c r="D41" s="63">
        <f>AnxRendInt!F51</f>
        <v>1298.3800000000001</v>
      </c>
      <c r="E41" s="63">
        <f>AnxRendInt!H51</f>
        <v>1301.5899999999999</v>
      </c>
      <c r="F41" s="63">
        <f>AnxRendInt!J51</f>
        <v>1334</v>
      </c>
      <c r="G41" s="63">
        <f>AnxRendInt!L51</f>
        <v>1338.84</v>
      </c>
      <c r="H41" s="63">
        <f>AnxRendInt!N51</f>
        <v>1357.77</v>
      </c>
      <c r="I41" s="63">
        <f>AnxRendInt!P51</f>
        <v>4213.2</v>
      </c>
      <c r="J41" s="63">
        <f>AnxRendInt!R51</f>
        <v>4398.22</v>
      </c>
      <c r="K41" s="63">
        <f>AnxRendInt!T51</f>
        <v>19477.169999999998</v>
      </c>
      <c r="L41" s="63">
        <f>AnxRendInt!V51</f>
        <v>0</v>
      </c>
      <c r="M41" s="63">
        <f>AnxRendInt!X51</f>
        <v>0</v>
      </c>
      <c r="N41" s="61">
        <f t="shared" si="1"/>
        <v>36000</v>
      </c>
      <c r="O41" s="206"/>
      <c r="P41" s="196">
        <v>142103</v>
      </c>
      <c r="Q41" s="751">
        <v>36000</v>
      </c>
      <c r="R41" s="768">
        <f t="shared" si="7"/>
        <v>0</v>
      </c>
      <c r="S41" s="786"/>
      <c r="T41" s="204"/>
      <c r="U41" s="204"/>
      <c r="V41" s="517"/>
      <c r="W41" s="517"/>
      <c r="X41" s="517"/>
      <c r="Y41" s="517"/>
      <c r="Z41" s="517"/>
      <c r="AA41" s="517"/>
    </row>
    <row r="42" spans="1:27" s="59" customFormat="1" ht="16.5" customHeight="1">
      <c r="A42" s="56" t="s">
        <v>164</v>
      </c>
      <c r="B42" s="54" t="s">
        <v>155</v>
      </c>
      <c r="C42" s="63">
        <f>AnxRendInt!D52</f>
        <v>0</v>
      </c>
      <c r="D42" s="63">
        <f>AnxRendInt!F52</f>
        <v>0</v>
      </c>
      <c r="E42" s="63">
        <f>AnxRendInt!H52</f>
        <v>0</v>
      </c>
      <c r="F42" s="63">
        <f>AnxRendInt!J52</f>
        <v>0</v>
      </c>
      <c r="G42" s="63">
        <f>AnxRendInt!L52</f>
        <v>0</v>
      </c>
      <c r="H42" s="63">
        <f>AnxRendInt!N52</f>
        <v>0</v>
      </c>
      <c r="I42" s="63">
        <f>AnxRendInt!P52</f>
        <v>0</v>
      </c>
      <c r="J42" s="63">
        <f>AnxRendInt!R52</f>
        <v>0</v>
      </c>
      <c r="K42" s="63">
        <f>AnxRendInt!T52</f>
        <v>0</v>
      </c>
      <c r="L42" s="63">
        <f>AnxRendInt!V52</f>
        <v>0</v>
      </c>
      <c r="M42" s="63">
        <f>AnxRendInt!X52</f>
        <v>0</v>
      </c>
      <c r="N42" s="61">
        <f t="shared" si="1"/>
        <v>0</v>
      </c>
      <c r="O42" s="206"/>
      <c r="P42" s="196">
        <v>142403</v>
      </c>
      <c r="Q42" s="750">
        <v>0</v>
      </c>
      <c r="R42" s="768">
        <f t="shared" si="7"/>
        <v>0</v>
      </c>
      <c r="S42" s="786"/>
      <c r="T42" s="204"/>
      <c r="U42" s="204"/>
      <c r="V42" s="517"/>
      <c r="W42" s="517"/>
      <c r="X42" s="517"/>
      <c r="Y42" s="517"/>
      <c r="Z42" s="517"/>
      <c r="AA42" s="517"/>
    </row>
    <row r="43" spans="1:27" s="59" customFormat="1" ht="16.5" customHeight="1">
      <c r="A43" s="57" t="s">
        <v>169</v>
      </c>
      <c r="B43" s="51" t="s">
        <v>539</v>
      </c>
      <c r="C43" s="63">
        <f>SUM(AnxRendInt!D53:'AnxRendInt'!D55)</f>
        <v>186.47</v>
      </c>
      <c r="D43" s="63">
        <f>SUM(AnxRendInt!F53:'AnxRendInt'!F55)</f>
        <v>0</v>
      </c>
      <c r="E43" s="63">
        <f>SUM(AnxRendInt!H53:'AnxRendInt'!H55)</f>
        <v>0</v>
      </c>
      <c r="F43" s="63">
        <f>SUM(AnxRendInt!J53:'AnxRendInt'!J55)</f>
        <v>0</v>
      </c>
      <c r="G43" s="63">
        <f>SUM(AnxRendInt!L53:'AnxRendInt'!L55)</f>
        <v>0</v>
      </c>
      <c r="H43" s="63">
        <f>SUM(AnxRendInt!N53:'AnxRendInt'!N55)</f>
        <v>0</v>
      </c>
      <c r="I43" s="63">
        <f>SUM(AnxRendInt!P53:'AnxRendInt'!P55)</f>
        <v>0</v>
      </c>
      <c r="J43" s="63">
        <f>SUM(AnxRendInt!R53:'AnxRendInt'!R55)</f>
        <v>0</v>
      </c>
      <c r="K43" s="63">
        <f>SUM(AnxRendInt!T53:'AnxRendInt'!T55)</f>
        <v>0</v>
      </c>
      <c r="L43" s="63">
        <f>SUM(AnxRendInt!V53:'AnxRendInt'!V55)</f>
        <v>0</v>
      </c>
      <c r="M43" s="63">
        <f>SUM(AnxRendInt!X53:'AnxRendInt'!X55)</f>
        <v>0</v>
      </c>
      <c r="N43" s="61">
        <f t="shared" si="1"/>
        <v>186.47</v>
      </c>
      <c r="O43" s="206"/>
      <c r="P43" s="196">
        <v>142803</v>
      </c>
      <c r="Q43" s="751">
        <v>186.47</v>
      </c>
      <c r="R43" s="768"/>
      <c r="S43" s="787"/>
      <c r="T43" s="204"/>
      <c r="U43" s="204"/>
      <c r="V43" s="517"/>
      <c r="W43" s="517"/>
      <c r="X43" s="517"/>
      <c r="Y43" s="517"/>
      <c r="Z43" s="517"/>
      <c r="AA43" s="517"/>
    </row>
    <row r="44" spans="1:27" s="58" customFormat="1" ht="16.5" customHeight="1">
      <c r="A44" s="40" t="s">
        <v>82</v>
      </c>
      <c r="B44" s="35" t="s">
        <v>36</v>
      </c>
      <c r="C44" s="178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>
        <f t="shared" si="1"/>
        <v>0</v>
      </c>
      <c r="O44" s="204"/>
      <c r="P44" s="202" t="s">
        <v>288</v>
      </c>
      <c r="Q44" s="750"/>
      <c r="R44" s="721"/>
      <c r="S44" s="536"/>
      <c r="T44" s="204"/>
      <c r="U44" s="204"/>
      <c r="V44" s="517"/>
      <c r="W44" s="517"/>
      <c r="X44" s="517"/>
      <c r="Y44" s="517"/>
      <c r="Z44" s="518"/>
      <c r="AA44" s="518"/>
    </row>
    <row r="45" spans="1:27" s="58" customFormat="1" ht="16.5" customHeight="1">
      <c r="A45" s="36" t="s">
        <v>81</v>
      </c>
      <c r="B45" s="35" t="s">
        <v>38</v>
      </c>
      <c r="C45" s="849"/>
      <c r="D45" s="849"/>
      <c r="E45" s="849">
        <v>335928.76</v>
      </c>
      <c r="F45" s="849"/>
      <c r="G45" s="849">
        <v>433941.26</v>
      </c>
      <c r="H45" s="849">
        <v>51703.91</v>
      </c>
      <c r="I45" s="849"/>
      <c r="J45" s="849"/>
      <c r="K45" s="849"/>
      <c r="L45" s="849"/>
      <c r="M45" s="849"/>
      <c r="N45" s="61">
        <f t="shared" si="1"/>
        <v>821573.93</v>
      </c>
      <c r="O45" s="523"/>
      <c r="P45" s="502" t="s">
        <v>485</v>
      </c>
      <c r="Q45" s="751">
        <f>+T81+T82</f>
        <v>923952.53999999992</v>
      </c>
      <c r="R45" s="768">
        <f>+Q45-N45</f>
        <v>102378.60999999987</v>
      </c>
      <c r="S45" s="217">
        <v>2323</v>
      </c>
      <c r="T45" s="742">
        <v>0</v>
      </c>
      <c r="U45" s="517"/>
      <c r="V45" s="608" t="s">
        <v>451</v>
      </c>
      <c r="W45" s="747"/>
      <c r="X45" s="517"/>
      <c r="Y45" s="517"/>
      <c r="Z45" s="518"/>
      <c r="AA45" s="518"/>
    </row>
    <row r="46" spans="1:27" s="58" customFormat="1" ht="16.5" customHeight="1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1">
        <f t="shared" si="1"/>
        <v>0</v>
      </c>
      <c r="O46" s="204"/>
      <c r="P46" s="202" t="s">
        <v>288</v>
      </c>
      <c r="Q46" s="537"/>
      <c r="R46" s="721"/>
      <c r="S46" s="217">
        <v>2328</v>
      </c>
      <c r="T46" s="742">
        <v>0</v>
      </c>
      <c r="U46" s="517"/>
      <c r="V46" s="609">
        <v>2421</v>
      </c>
      <c r="W46" s="748">
        <v>0</v>
      </c>
      <c r="X46" s="517"/>
      <c r="Y46" s="517"/>
      <c r="Z46" s="518"/>
      <c r="AA46" s="518"/>
    </row>
    <row r="47" spans="1:27" s="58" customFormat="1" ht="16.5">
      <c r="A47" s="29"/>
      <c r="B47" s="39" t="s">
        <v>0</v>
      </c>
      <c r="C47" s="64">
        <f>SUM(C9:C12)+C13+C27+C36+C40+C45</f>
        <v>2133651.4</v>
      </c>
      <c r="D47" s="64">
        <f t="shared" ref="D47:M47" si="11">SUM(D9:D12)+D13+D27+D36+D40+D45</f>
        <v>460303.79</v>
      </c>
      <c r="E47" s="64">
        <f t="shared" si="11"/>
        <v>648360.06000000006</v>
      </c>
      <c r="F47" s="64">
        <f t="shared" si="11"/>
        <v>14131.59</v>
      </c>
      <c r="G47" s="64">
        <f t="shared" si="11"/>
        <v>444889.82</v>
      </c>
      <c r="H47" s="64">
        <f t="shared" si="11"/>
        <v>67022.83</v>
      </c>
      <c r="I47" s="64">
        <f t="shared" si="11"/>
        <v>47958.939999999995</v>
      </c>
      <c r="J47" s="64">
        <f t="shared" si="11"/>
        <v>49445.72</v>
      </c>
      <c r="K47" s="64">
        <f t="shared" si="11"/>
        <v>174973.59999999998</v>
      </c>
      <c r="L47" s="64">
        <f t="shared" si="11"/>
        <v>183208.71000000002</v>
      </c>
      <c r="M47" s="64">
        <f t="shared" si="11"/>
        <v>5785.93</v>
      </c>
      <c r="N47" s="64">
        <f t="shared" si="1"/>
        <v>4229732.3899999997</v>
      </c>
      <c r="O47" s="204"/>
      <c r="P47" s="503"/>
      <c r="Q47" s="709"/>
      <c r="R47" s="721"/>
      <c r="S47" s="613">
        <v>25270301</v>
      </c>
      <c r="T47" s="726">
        <f>IF(U47&lt;0,0,U47)</f>
        <v>0</v>
      </c>
      <c r="U47" s="680">
        <v>0</v>
      </c>
      <c r="V47" s="609">
        <v>2422</v>
      </c>
      <c r="W47" s="748">
        <v>0</v>
      </c>
      <c r="X47" s="517"/>
      <c r="Y47" s="517"/>
      <c r="Z47" s="518"/>
      <c r="AA47" s="518"/>
    </row>
    <row r="48" spans="1:27" s="58" customFormat="1" ht="16.5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04"/>
      <c r="P48" s="202"/>
      <c r="Q48" s="709"/>
      <c r="R48" s="721"/>
      <c r="S48" s="613">
        <v>25270302</v>
      </c>
      <c r="T48" s="726">
        <f t="shared" ref="T48:T49" si="12">IF(U48&lt;0,0,U48)</f>
        <v>0</v>
      </c>
      <c r="U48" s="680">
        <v>0</v>
      </c>
      <c r="V48" s="609">
        <v>2423</v>
      </c>
      <c r="W48" s="748">
        <v>0</v>
      </c>
      <c r="X48" s="475"/>
      <c r="Y48" s="517"/>
      <c r="Z48" s="518"/>
      <c r="AA48" s="518"/>
    </row>
    <row r="49" spans="1:28" s="58" customFormat="1" ht="16.5" customHeight="1">
      <c r="A49" s="33" t="s">
        <v>89</v>
      </c>
      <c r="B49" s="35" t="s">
        <v>42</v>
      </c>
      <c r="C49" s="62">
        <v>61074.68</v>
      </c>
      <c r="D49" s="62">
        <v>31377.86</v>
      </c>
      <c r="E49" s="62">
        <v>42813.120000000003</v>
      </c>
      <c r="F49" s="62">
        <v>77980.66</v>
      </c>
      <c r="G49" s="62">
        <v>74781.34</v>
      </c>
      <c r="H49" s="62">
        <v>11108.91</v>
      </c>
      <c r="I49" s="62">
        <v>60237.32</v>
      </c>
      <c r="J49" s="62">
        <v>174972.14</v>
      </c>
      <c r="K49" s="62">
        <v>87946.35</v>
      </c>
      <c r="L49" s="62">
        <v>0</v>
      </c>
      <c r="M49" s="62"/>
      <c r="N49" s="61">
        <f>SUM(C49:M49)</f>
        <v>622292.38</v>
      </c>
      <c r="O49" s="206"/>
      <c r="P49" s="209" t="s">
        <v>296</v>
      </c>
      <c r="Q49" s="751">
        <v>1761504.21</v>
      </c>
      <c r="R49" s="768">
        <f>+Q49-SUM(N49:N51)</f>
        <v>1.0000000242143869E-2</v>
      </c>
      <c r="S49" s="613">
        <v>25270303</v>
      </c>
      <c r="T49" s="726">
        <f t="shared" si="12"/>
        <v>0</v>
      </c>
      <c r="U49" s="681">
        <v>0</v>
      </c>
      <c r="V49" s="609">
        <v>2426</v>
      </c>
      <c r="W49" s="748">
        <v>0</v>
      </c>
      <c r="X49" s="475"/>
      <c r="Y49" s="517"/>
      <c r="Z49" s="518"/>
      <c r="AA49" s="518"/>
    </row>
    <row r="50" spans="1:28" s="58" customFormat="1" ht="16.5" customHeight="1">
      <c r="A50" s="33" t="s">
        <v>89</v>
      </c>
      <c r="B50" s="35" t="s">
        <v>43</v>
      </c>
      <c r="C50" s="304">
        <v>103428.79</v>
      </c>
      <c r="D50" s="62">
        <v>10624.41</v>
      </c>
      <c r="E50" s="62">
        <v>63041.04</v>
      </c>
      <c r="F50" s="62">
        <v>0</v>
      </c>
      <c r="G50" s="62">
        <v>13209.21</v>
      </c>
      <c r="H50" s="62">
        <v>31646.73</v>
      </c>
      <c r="I50" s="62">
        <v>3598.28</v>
      </c>
      <c r="J50" s="62">
        <v>10105.07</v>
      </c>
      <c r="K50" s="62">
        <v>30079.99</v>
      </c>
      <c r="L50" s="62">
        <v>58964.29</v>
      </c>
      <c r="M50" s="62"/>
      <c r="N50" s="61">
        <f>SUM(C50:M50)</f>
        <v>324697.81</v>
      </c>
      <c r="O50" s="204"/>
      <c r="P50" s="209">
        <v>212704</v>
      </c>
      <c r="Q50" s="751">
        <v>183894.35</v>
      </c>
      <c r="R50" s="721"/>
      <c r="S50" s="613">
        <v>25270309</v>
      </c>
      <c r="T50" s="727">
        <v>0</v>
      </c>
      <c r="U50" s="679"/>
      <c r="V50" s="609" t="s">
        <v>480</v>
      </c>
      <c r="W50" s="748">
        <v>0</v>
      </c>
      <c r="X50" s="475"/>
      <c r="Y50" s="517"/>
      <c r="Z50" s="518"/>
      <c r="AA50" s="518"/>
    </row>
    <row r="51" spans="1:28" s="58" customFormat="1" ht="16.5" customHeight="1">
      <c r="A51" s="33" t="s">
        <v>89</v>
      </c>
      <c r="B51" s="35" t="s">
        <v>44</v>
      </c>
      <c r="C51" s="304">
        <v>0</v>
      </c>
      <c r="D51" s="62">
        <v>97854.54</v>
      </c>
      <c r="E51" s="62">
        <v>0</v>
      </c>
      <c r="F51" s="62">
        <v>0</v>
      </c>
      <c r="G51" s="62">
        <v>0</v>
      </c>
      <c r="H51" s="62">
        <v>13312.57</v>
      </c>
      <c r="I51" s="62">
        <v>9262.58</v>
      </c>
      <c r="J51" s="62">
        <v>84988.6</v>
      </c>
      <c r="K51" s="62">
        <v>551458.62</v>
      </c>
      <c r="L51" s="62">
        <v>57637.1</v>
      </c>
      <c r="M51" s="62"/>
      <c r="N51" s="61">
        <f t="shared" ref="N51:N61" si="13">SUM(C51:M51)</f>
        <v>814514.00999999989</v>
      </c>
      <c r="O51" s="204"/>
      <c r="P51" s="209">
        <v>2128</v>
      </c>
      <c r="Q51" s="751">
        <v>3392.95</v>
      </c>
      <c r="R51" s="721"/>
      <c r="S51" s="613" t="s">
        <v>470</v>
      </c>
      <c r="T51" s="727">
        <v>0</v>
      </c>
      <c r="U51" s="679"/>
      <c r="V51" s="609" t="s">
        <v>481</v>
      </c>
      <c r="W51" s="748">
        <v>0</v>
      </c>
      <c r="X51" s="475"/>
      <c r="Y51" s="517"/>
      <c r="Z51" s="518"/>
      <c r="AA51" s="518"/>
    </row>
    <row r="52" spans="1:28" s="58" customFormat="1" ht="16.5" customHeight="1">
      <c r="A52" s="36" t="s">
        <v>135</v>
      </c>
      <c r="B52" s="14" t="s">
        <v>131</v>
      </c>
      <c r="C52" s="178">
        <v>9279.11</v>
      </c>
      <c r="D52" s="61">
        <v>46151.83</v>
      </c>
      <c r="E52" s="61">
        <v>8150.09</v>
      </c>
      <c r="F52" s="61">
        <v>1907.11</v>
      </c>
      <c r="G52" s="61">
        <v>10937.87</v>
      </c>
      <c r="H52" s="61">
        <v>34024.54</v>
      </c>
      <c r="I52" s="61">
        <v>31102.78</v>
      </c>
      <c r="J52" s="61">
        <v>35254.089999999997</v>
      </c>
      <c r="K52" s="61">
        <v>10175.6</v>
      </c>
      <c r="L52" s="61">
        <v>304.27</v>
      </c>
      <c r="M52" s="61"/>
      <c r="N52" s="61">
        <f t="shared" si="13"/>
        <v>187287.28999999998</v>
      </c>
      <c r="O52" s="204"/>
      <c r="P52" s="524" t="s">
        <v>486</v>
      </c>
      <c r="Q52" s="751">
        <f>+Q50+Q51</f>
        <v>187287.30000000002</v>
      </c>
      <c r="R52" s="768">
        <f>+Q52-N52</f>
        <v>1.0000000038417056E-2</v>
      </c>
      <c r="S52" s="614">
        <v>25270501</v>
      </c>
      <c r="T52" s="727">
        <v>0</v>
      </c>
      <c r="U52" s="679"/>
      <c r="V52" s="609">
        <v>2622</v>
      </c>
      <c r="W52" s="748">
        <v>0</v>
      </c>
      <c r="X52" s="475"/>
      <c r="Y52" s="517"/>
      <c r="Z52" s="518"/>
      <c r="AA52" s="518"/>
    </row>
    <row r="53" spans="1:28" s="58" customFormat="1" ht="16.5" customHeight="1">
      <c r="A53" s="33">
        <v>2220</v>
      </c>
      <c r="B53" s="32" t="s">
        <v>45</v>
      </c>
      <c r="C53" s="178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>
        <f t="shared" si="13"/>
        <v>0</v>
      </c>
      <c r="O53" s="204"/>
      <c r="P53" s="202" t="s">
        <v>288</v>
      </c>
      <c r="Q53" s="709" t="s">
        <v>293</v>
      </c>
      <c r="R53" s="721"/>
      <c r="S53" s="614">
        <v>2527050201</v>
      </c>
      <c r="T53" s="727">
        <v>0</v>
      </c>
      <c r="U53" s="679"/>
      <c r="V53" s="609">
        <v>2623</v>
      </c>
      <c r="W53" s="748">
        <v>0</v>
      </c>
      <c r="X53" s="475"/>
      <c r="Y53" s="517"/>
      <c r="Z53" s="518"/>
      <c r="AA53" s="518"/>
    </row>
    <row r="54" spans="1:28" s="58" customFormat="1" ht="16.5" customHeight="1">
      <c r="A54" s="173" t="s">
        <v>77</v>
      </c>
      <c r="B54" s="225" t="s">
        <v>8</v>
      </c>
      <c r="C54" s="178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>
        <f t="shared" si="13"/>
        <v>0</v>
      </c>
      <c r="O54" s="524"/>
      <c r="P54" s="209" t="s">
        <v>422</v>
      </c>
      <c r="Q54" s="751">
        <f>+T45+T46</f>
        <v>0</v>
      </c>
      <c r="R54" s="768">
        <f>+Q54-N54</f>
        <v>0</v>
      </c>
      <c r="S54" s="613" t="s">
        <v>471</v>
      </c>
      <c r="T54" s="743">
        <v>0</v>
      </c>
      <c r="U54" s="679"/>
      <c r="V54" s="609">
        <v>2626</v>
      </c>
      <c r="W54" s="748">
        <v>0</v>
      </c>
      <c r="X54" s="475"/>
      <c r="Y54" s="517"/>
      <c r="Z54" s="518"/>
      <c r="AA54" s="518"/>
    </row>
    <row r="55" spans="1:28" s="58" customFormat="1" ht="16.5" customHeight="1">
      <c r="A55" s="173" t="s">
        <v>125</v>
      </c>
      <c r="B55" s="171" t="s">
        <v>119</v>
      </c>
      <c r="C55" s="61">
        <v>0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f t="shared" si="13"/>
        <v>0</v>
      </c>
      <c r="O55" s="524"/>
      <c r="P55" s="221" t="s">
        <v>487</v>
      </c>
      <c r="Q55" s="751">
        <f>SUM(W46:W56)</f>
        <v>0</v>
      </c>
      <c r="R55" s="768">
        <f>+Q55-N55</f>
        <v>0</v>
      </c>
      <c r="S55" s="615" t="s">
        <v>472</v>
      </c>
      <c r="T55" s="727">
        <v>0</v>
      </c>
      <c r="U55" s="679"/>
      <c r="V55" s="609" t="s">
        <v>482</v>
      </c>
      <c r="W55" s="748">
        <v>0</v>
      </c>
      <c r="X55" s="475"/>
      <c r="Y55" s="517"/>
      <c r="Z55" s="518"/>
      <c r="AA55" s="518"/>
    </row>
    <row r="56" spans="1:28" s="58" customFormat="1" ht="16.5" customHeight="1">
      <c r="A56" s="173" t="s">
        <v>126</v>
      </c>
      <c r="B56" s="171" t="s">
        <v>120</v>
      </c>
      <c r="C56" s="61">
        <v>53513.72</v>
      </c>
      <c r="D56" s="61"/>
      <c r="E56" s="61"/>
      <c r="F56" s="61">
        <v>0</v>
      </c>
      <c r="G56" s="61"/>
      <c r="H56" s="61"/>
      <c r="I56" s="61"/>
      <c r="J56" s="61">
        <v>0</v>
      </c>
      <c r="K56" s="61">
        <v>0</v>
      </c>
      <c r="L56" s="61">
        <v>1000000</v>
      </c>
      <c r="M56" s="61"/>
      <c r="N56" s="61">
        <f t="shared" si="13"/>
        <v>1053513.72</v>
      </c>
      <c r="O56" s="525"/>
      <c r="P56" s="221" t="s">
        <v>126</v>
      </c>
      <c r="Q56" s="684">
        <f>SUM(W59:W68)</f>
        <v>1026366.67</v>
      </c>
      <c r="R56" s="768">
        <f>+Q56-N56</f>
        <v>-27147.04999999993</v>
      </c>
      <c r="S56" s="615" t="s">
        <v>473</v>
      </c>
      <c r="T56" s="729">
        <v>183894.35</v>
      </c>
      <c r="U56" s="679"/>
      <c r="V56" s="609" t="s">
        <v>483</v>
      </c>
      <c r="W56" s="748">
        <v>0</v>
      </c>
      <c r="X56" s="475"/>
      <c r="Y56" s="475"/>
      <c r="Z56" s="350"/>
      <c r="AA56" s="350"/>
      <c r="AB56" s="474"/>
    </row>
    <row r="57" spans="1:28" s="58" customFormat="1" ht="16.5" customHeight="1">
      <c r="A57" s="173" t="s">
        <v>88</v>
      </c>
      <c r="B57" s="225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>
        <f t="shared" si="13"/>
        <v>0</v>
      </c>
      <c r="O57" s="204"/>
      <c r="P57" s="202" t="s">
        <v>288</v>
      </c>
      <c r="Q57" s="623"/>
      <c r="R57" s="721"/>
      <c r="S57" s="615" t="s">
        <v>474</v>
      </c>
      <c r="T57" s="727">
        <v>291701.71000000002</v>
      </c>
      <c r="U57" s="595"/>
      <c r="V57" s="600"/>
      <c r="W57" s="478"/>
      <c r="X57" s="475"/>
      <c r="Y57" s="475"/>
      <c r="Z57" s="350"/>
      <c r="AA57" s="350"/>
      <c r="AB57" s="474"/>
    </row>
    <row r="58" spans="1:28" s="58" customFormat="1" ht="16.5" customHeight="1">
      <c r="A58" s="33" t="s">
        <v>76</v>
      </c>
      <c r="B58" s="3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>
        <f t="shared" si="13"/>
        <v>0</v>
      </c>
      <c r="O58" s="204"/>
      <c r="P58" s="202" t="s">
        <v>288</v>
      </c>
      <c r="Q58" s="715"/>
      <c r="R58" s="721"/>
      <c r="S58" s="615" t="s">
        <v>475</v>
      </c>
      <c r="T58" s="729">
        <v>3392.95</v>
      </c>
      <c r="U58" s="595"/>
      <c r="V58" s="608" t="s">
        <v>456</v>
      </c>
      <c r="W58" s="747"/>
      <c r="X58" s="475"/>
      <c r="Y58" s="475"/>
      <c r="Z58" s="350"/>
      <c r="AA58" s="350"/>
      <c r="AB58" s="474"/>
    </row>
    <row r="59" spans="1:28" s="58" customFormat="1" ht="16.5" customHeight="1">
      <c r="A59" s="33" t="s">
        <v>75</v>
      </c>
      <c r="B59" s="3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>
        <f t="shared" si="13"/>
        <v>0</v>
      </c>
      <c r="O59" s="523"/>
      <c r="P59" s="209" t="s">
        <v>289</v>
      </c>
      <c r="Q59" s="709"/>
      <c r="R59" s="722"/>
      <c r="S59" s="615" t="s">
        <v>476</v>
      </c>
      <c r="T59" s="726">
        <v>0</v>
      </c>
      <c r="U59" s="595"/>
      <c r="V59" s="609">
        <v>2424</v>
      </c>
      <c r="W59" s="748">
        <v>0</v>
      </c>
      <c r="X59" s="475"/>
      <c r="Y59" s="475"/>
      <c r="Z59" s="350"/>
      <c r="AA59" s="350"/>
      <c r="AB59" s="474"/>
    </row>
    <row r="60" spans="1:28" s="58" customFormat="1" ht="16.5" customHeight="1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3"/>
        <v>0</v>
      </c>
      <c r="O60" s="204"/>
      <c r="P60" s="202" t="s">
        <v>288</v>
      </c>
      <c r="Q60" s="684"/>
      <c r="R60" s="721"/>
      <c r="S60" s="595"/>
      <c r="T60" s="730">
        <f>SUM(T47:T59)</f>
        <v>478989.01000000007</v>
      </c>
      <c r="U60" s="595"/>
      <c r="V60" s="609">
        <v>2425</v>
      </c>
      <c r="W60" s="748">
        <v>0</v>
      </c>
      <c r="X60" s="475"/>
      <c r="Y60" s="475"/>
      <c r="Z60" s="350"/>
      <c r="AA60" s="350"/>
      <c r="AB60" s="474"/>
    </row>
    <row r="61" spans="1:28" s="58" customFormat="1" ht="16.5">
      <c r="A61" s="29"/>
      <c r="B61" s="39" t="s">
        <v>1</v>
      </c>
      <c r="C61" s="64">
        <f t="shared" ref="C61:M61" si="14">SUM(C49:C60)</f>
        <v>227296.30000000002</v>
      </c>
      <c r="D61" s="64">
        <f t="shared" si="14"/>
        <v>186008.64</v>
      </c>
      <c r="E61" s="64">
        <f t="shared" si="14"/>
        <v>114004.25</v>
      </c>
      <c r="F61" s="64">
        <f t="shared" si="14"/>
        <v>79887.77</v>
      </c>
      <c r="G61" s="64">
        <f t="shared" si="14"/>
        <v>98928.419999999984</v>
      </c>
      <c r="H61" s="64">
        <f t="shared" si="14"/>
        <v>90092.75</v>
      </c>
      <c r="I61" s="64">
        <f t="shared" si="14"/>
        <v>104200.95999999999</v>
      </c>
      <c r="J61" s="64">
        <f t="shared" si="14"/>
        <v>305319.90000000002</v>
      </c>
      <c r="K61" s="64">
        <f t="shared" si="14"/>
        <v>679660.55999999994</v>
      </c>
      <c r="L61" s="64">
        <f t="shared" si="14"/>
        <v>1116905.6599999999</v>
      </c>
      <c r="M61" s="64">
        <f t="shared" si="14"/>
        <v>0</v>
      </c>
      <c r="N61" s="64">
        <f t="shared" si="13"/>
        <v>3002305.21</v>
      </c>
      <c r="O61" s="204"/>
      <c r="P61" s="503"/>
      <c r="Q61" s="684"/>
      <c r="R61" s="721"/>
      <c r="S61" s="594">
        <v>152401</v>
      </c>
      <c r="T61" s="744">
        <v>0</v>
      </c>
      <c r="U61" s="595" t="s">
        <v>12</v>
      </c>
      <c r="V61" s="609">
        <v>2427</v>
      </c>
      <c r="W61" s="748">
        <v>0</v>
      </c>
      <c r="X61" s="475"/>
      <c r="Y61" s="475"/>
      <c r="Z61" s="350"/>
      <c r="AA61" s="350"/>
      <c r="AB61" s="474"/>
    </row>
    <row r="62" spans="1:28" s="58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318" t="s">
        <v>143</v>
      </c>
      <c r="N62" s="318" t="s">
        <v>20</v>
      </c>
      <c r="O62" s="204"/>
      <c r="P62" s="202"/>
      <c r="Q62" s="709"/>
      <c r="R62" s="722"/>
      <c r="S62" s="594">
        <v>152402</v>
      </c>
      <c r="T62" s="744">
        <v>264.64</v>
      </c>
      <c r="U62" s="595" t="s">
        <v>12</v>
      </c>
      <c r="V62" s="610" t="s">
        <v>484</v>
      </c>
      <c r="W62" s="749">
        <v>26366.67</v>
      </c>
      <c r="X62" s="475"/>
      <c r="Y62" s="475"/>
      <c r="Z62" s="350"/>
      <c r="AA62" s="350"/>
      <c r="AB62" s="474"/>
    </row>
    <row r="63" spans="1:28" s="58" customFormat="1" ht="16.5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06"/>
      <c r="P63" s="196"/>
      <c r="Q63" s="537"/>
      <c r="R63" s="722"/>
      <c r="S63" s="594">
        <v>152509</v>
      </c>
      <c r="T63" s="744">
        <v>0</v>
      </c>
      <c r="U63" s="595" t="s">
        <v>12</v>
      </c>
      <c r="V63" s="609" t="s">
        <v>481</v>
      </c>
      <c r="W63" s="748">
        <v>0</v>
      </c>
      <c r="X63" s="475"/>
      <c r="Y63" s="475"/>
      <c r="Z63" s="350"/>
      <c r="AA63" s="350"/>
      <c r="AB63" s="474"/>
    </row>
    <row r="64" spans="1:28" s="58" customFormat="1" ht="16.5" customHeight="1">
      <c r="A64" s="36" t="s">
        <v>87</v>
      </c>
      <c r="B64" s="41" t="s">
        <v>23</v>
      </c>
      <c r="C64" s="284">
        <f>+DisponibleDolares!C65</f>
        <v>103154.31</v>
      </c>
      <c r="D64" s="284">
        <f>+DisponibleDolares!D65</f>
        <v>62101.41</v>
      </c>
      <c r="E64" s="284">
        <f>+DisponibleDolares!E65</f>
        <v>58954.75</v>
      </c>
      <c r="F64" s="284">
        <f>+DisponibleDolares!F65</f>
        <v>52398.51</v>
      </c>
      <c r="G64" s="284">
        <f>+DisponibleDolares!G65</f>
        <v>57506.49</v>
      </c>
      <c r="H64" s="284">
        <f>+DisponibleDolares!H65</f>
        <v>32731.43</v>
      </c>
      <c r="I64" s="284">
        <f>+DisponibleDolares!I65</f>
        <v>43183.89</v>
      </c>
      <c r="J64" s="284">
        <f>+DisponibleDolares!J65</f>
        <v>66019.73</v>
      </c>
      <c r="K64" s="284">
        <f>+DisponibleDolares!K65+W8</f>
        <v>708498.39999999991</v>
      </c>
      <c r="L64" s="284">
        <f>+DisponibleDolares!L65</f>
        <v>58867.29</v>
      </c>
      <c r="M64" s="284">
        <f>+DisponibleDolares!M65</f>
        <v>0</v>
      </c>
      <c r="N64" s="61">
        <f t="shared" ref="N64:N91" si="15">SUM(C64:M64)</f>
        <v>1243416.21</v>
      </c>
      <c r="O64" s="527"/>
      <c r="P64" s="504" t="s">
        <v>292</v>
      </c>
      <c r="Q64" s="751">
        <f>+S9</f>
        <v>1258604.6399999997</v>
      </c>
      <c r="R64" s="788">
        <f>+Q64-N64</f>
        <v>15188.429999999702</v>
      </c>
      <c r="S64" s="594">
        <v>152701</v>
      </c>
      <c r="T64" s="744">
        <v>0</v>
      </c>
      <c r="U64" s="595" t="s">
        <v>12</v>
      </c>
      <c r="V64" s="609">
        <v>2624</v>
      </c>
      <c r="W64" s="748">
        <v>0</v>
      </c>
      <c r="X64" s="471"/>
      <c r="Y64" s="475"/>
      <c r="Z64" s="350"/>
      <c r="AA64" s="350"/>
      <c r="AB64" s="474"/>
    </row>
    <row r="65" spans="1:28" s="58" customFormat="1" ht="16.5" customHeight="1">
      <c r="A65" s="40" t="s">
        <v>136</v>
      </c>
      <c r="B65" s="35" t="s">
        <v>55</v>
      </c>
      <c r="C65" s="62">
        <v>0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1">
        <f t="shared" si="15"/>
        <v>0</v>
      </c>
      <c r="O65" s="204"/>
      <c r="P65" s="140" t="s">
        <v>488</v>
      </c>
      <c r="Q65" s="751">
        <v>0</v>
      </c>
      <c r="R65" s="785">
        <f>+Q65-N65</f>
        <v>0</v>
      </c>
      <c r="S65" s="594">
        <v>152702</v>
      </c>
      <c r="T65" s="726">
        <v>0</v>
      </c>
      <c r="U65" s="595" t="s">
        <v>12</v>
      </c>
      <c r="V65" s="609">
        <v>2625</v>
      </c>
      <c r="W65" s="748">
        <v>0</v>
      </c>
      <c r="X65" s="471"/>
      <c r="Y65" s="475"/>
      <c r="Z65" s="350"/>
      <c r="AA65" s="350"/>
      <c r="AB65" s="474"/>
    </row>
    <row r="66" spans="1:28" s="58" customFormat="1" ht="16.5" customHeight="1">
      <c r="A66" s="42" t="s">
        <v>133</v>
      </c>
      <c r="B66" s="35" t="s">
        <v>25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1">
        <f t="shared" si="15"/>
        <v>0</v>
      </c>
      <c r="O66" s="204"/>
      <c r="P66" s="189" t="s">
        <v>288</v>
      </c>
      <c r="Q66" s="684"/>
      <c r="R66" s="721"/>
      <c r="S66" s="594">
        <v>15271905</v>
      </c>
      <c r="T66" s="726">
        <v>0</v>
      </c>
      <c r="U66" s="595" t="s">
        <v>12</v>
      </c>
      <c r="V66" s="609">
        <v>2627</v>
      </c>
      <c r="W66" s="748">
        <v>1000000</v>
      </c>
      <c r="X66" s="471"/>
      <c r="Y66" s="475"/>
      <c r="Z66" s="350"/>
      <c r="AA66" s="350"/>
      <c r="AB66" s="474"/>
    </row>
    <row r="67" spans="1:28" s="58" customFormat="1" ht="16.5" customHeight="1">
      <c r="A67" s="33" t="s">
        <v>86</v>
      </c>
      <c r="B67" s="41" t="s">
        <v>28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>
        <f t="shared" si="15"/>
        <v>0</v>
      </c>
      <c r="O67" s="527"/>
      <c r="P67" s="634" t="s">
        <v>290</v>
      </c>
      <c r="Q67" s="684"/>
      <c r="R67" s="721"/>
      <c r="S67" s="594">
        <v>15271909</v>
      </c>
      <c r="T67" s="744">
        <v>0</v>
      </c>
      <c r="U67" s="595" t="s">
        <v>12</v>
      </c>
      <c r="V67" s="609" t="s">
        <v>482</v>
      </c>
      <c r="W67" s="748">
        <v>0</v>
      </c>
      <c r="X67" s="471"/>
      <c r="Y67" s="475"/>
      <c r="Z67" s="350"/>
      <c r="AA67" s="350"/>
      <c r="AB67" s="474"/>
    </row>
    <row r="68" spans="1:28" s="58" customFormat="1" ht="16.5" customHeight="1">
      <c r="A68" s="36" t="s">
        <v>85</v>
      </c>
      <c r="B68" s="35" t="s">
        <v>30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>
        <f t="shared" si="15"/>
        <v>0</v>
      </c>
      <c r="O68" s="527"/>
      <c r="P68" s="634" t="s">
        <v>290</v>
      </c>
      <c r="Q68" s="684"/>
      <c r="R68" s="721"/>
      <c r="S68" s="594">
        <v>15271910</v>
      </c>
      <c r="T68" s="726">
        <v>0</v>
      </c>
      <c r="U68" s="595" t="s">
        <v>12</v>
      </c>
      <c r="V68" s="609" t="s">
        <v>483</v>
      </c>
      <c r="W68" s="748">
        <v>0</v>
      </c>
      <c r="X68" s="471"/>
      <c r="Y68" s="475"/>
      <c r="Z68" s="350"/>
      <c r="AA68" s="350"/>
      <c r="AB68" s="474"/>
    </row>
    <row r="69" spans="1:28" s="58" customFormat="1" ht="16.5" customHeight="1">
      <c r="A69" s="36" t="s">
        <v>84</v>
      </c>
      <c r="B69" s="35" t="s">
        <v>32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>
        <f t="shared" si="15"/>
        <v>0</v>
      </c>
      <c r="O69" s="527"/>
      <c r="P69" s="634" t="s">
        <v>290</v>
      </c>
      <c r="Q69" s="684"/>
      <c r="R69" s="721"/>
      <c r="S69" s="597" t="s">
        <v>477</v>
      </c>
      <c r="T69" s="726">
        <v>0</v>
      </c>
      <c r="U69" s="595" t="s">
        <v>12</v>
      </c>
      <c r="W69" s="685"/>
      <c r="X69" s="471"/>
      <c r="Y69" s="475"/>
      <c r="Z69" s="350"/>
      <c r="AA69" s="350"/>
      <c r="AB69" s="474"/>
    </row>
    <row r="70" spans="1:28" s="58" customFormat="1" ht="16.5" customHeight="1">
      <c r="A70" s="36" t="s">
        <v>83</v>
      </c>
      <c r="B70" s="35" t="s">
        <v>34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>
        <f t="shared" si="15"/>
        <v>0</v>
      </c>
      <c r="O70" s="527"/>
      <c r="P70" s="634" t="s">
        <v>290</v>
      </c>
      <c r="Q70" s="684"/>
      <c r="R70" s="721"/>
      <c r="S70" s="598" t="s">
        <v>478</v>
      </c>
      <c r="T70" s="731">
        <v>0</v>
      </c>
      <c r="U70" s="595" t="s">
        <v>12</v>
      </c>
      <c r="V70" s="217"/>
      <c r="W70" s="678"/>
      <c r="X70" s="478"/>
      <c r="Y70" s="475"/>
      <c r="Z70" s="350"/>
      <c r="AA70" s="350"/>
      <c r="AB70" s="474"/>
    </row>
    <row r="71" spans="1:28" s="58" customFormat="1" ht="16.5" customHeight="1">
      <c r="A71" s="40" t="s">
        <v>82</v>
      </c>
      <c r="B71" s="35" t="s">
        <v>36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>
        <f t="shared" si="15"/>
        <v>0</v>
      </c>
      <c r="O71" s="527"/>
      <c r="P71" s="634" t="s">
        <v>288</v>
      </c>
      <c r="Q71" s="709" t="s">
        <v>293</v>
      </c>
      <c r="R71" s="721"/>
      <c r="S71" s="598" t="s">
        <v>479</v>
      </c>
      <c r="T71" s="745">
        <v>920035.21</v>
      </c>
      <c r="U71" s="595" t="s">
        <v>290</v>
      </c>
      <c r="V71" s="220"/>
      <c r="W71" s="678"/>
      <c r="X71" s="479"/>
      <c r="Y71" s="475"/>
      <c r="Z71" s="350"/>
      <c r="AA71" s="350"/>
      <c r="AB71" s="474"/>
    </row>
    <row r="72" spans="1:28" s="58" customFormat="1" ht="16.5" customHeight="1">
      <c r="A72" s="40" t="s">
        <v>81</v>
      </c>
      <c r="B72" s="35" t="s">
        <v>38</v>
      </c>
      <c r="C72" s="624">
        <f>+V72</f>
        <v>264.64</v>
      </c>
      <c r="D72" s="624"/>
      <c r="E72" s="624">
        <f>+V73</f>
        <v>1014.38</v>
      </c>
      <c r="F72" s="624"/>
      <c r="G72" s="624"/>
      <c r="H72" s="624"/>
      <c r="I72" s="625"/>
      <c r="J72" s="624">
        <f>+V74</f>
        <v>0</v>
      </c>
      <c r="K72" s="624">
        <f>+V75</f>
        <v>5893.51</v>
      </c>
      <c r="L72" s="625"/>
      <c r="M72" s="626"/>
      <c r="N72" s="61">
        <f t="shared" si="15"/>
        <v>7172.5300000000007</v>
      </c>
      <c r="O72" s="528"/>
      <c r="P72" s="209">
        <v>15</v>
      </c>
      <c r="Q72" s="684">
        <f>SUM(T61:T80)-T69-T70-T71</f>
        <v>7172.5300000000279</v>
      </c>
      <c r="R72" s="768">
        <f>+Q72-N72</f>
        <v>2.7284841053187847E-11</v>
      </c>
      <c r="S72" s="594">
        <v>15250101</v>
      </c>
      <c r="T72" s="746">
        <v>1014.38</v>
      </c>
      <c r="U72" s="595" t="s">
        <v>14</v>
      </c>
      <c r="V72" s="623">
        <f>SUM(T61:T70)-T69-T70</f>
        <v>264.64</v>
      </c>
      <c r="W72" s="713">
        <f>+V72-C72</f>
        <v>0</v>
      </c>
      <c r="X72" s="479"/>
      <c r="Y72" s="475"/>
      <c r="Z72" s="350"/>
      <c r="AA72" s="350"/>
      <c r="AB72" s="474"/>
    </row>
    <row r="73" spans="1:28" s="58" customFormat="1" ht="16.5" customHeight="1">
      <c r="A73" s="29"/>
      <c r="B73" s="34" t="s">
        <v>39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>
        <f t="shared" si="15"/>
        <v>0</v>
      </c>
      <c r="O73" s="204"/>
      <c r="P73" s="189" t="s">
        <v>288</v>
      </c>
      <c r="Q73" s="709" t="s">
        <v>460</v>
      </c>
      <c r="R73" s="537">
        <v>931125.07</v>
      </c>
      <c r="S73" s="594">
        <v>15250102</v>
      </c>
      <c r="T73" s="746">
        <v>0</v>
      </c>
      <c r="U73" s="595" t="s">
        <v>14</v>
      </c>
      <c r="V73" s="623">
        <f>SUM(T72:T74)</f>
        <v>1014.38</v>
      </c>
      <c r="W73" s="713">
        <f>+V73-E72</f>
        <v>0</v>
      </c>
      <c r="X73" s="475"/>
      <c r="Y73" s="475"/>
      <c r="Z73" s="350"/>
      <c r="AA73" s="350"/>
      <c r="AB73" s="474"/>
    </row>
    <row r="74" spans="1:28" s="58" customFormat="1" ht="16.5" customHeight="1">
      <c r="A74" s="29"/>
      <c r="B74" s="35" t="s">
        <v>57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1">
        <f t="shared" si="15"/>
        <v>0</v>
      </c>
      <c r="O74" s="204"/>
      <c r="P74" s="189" t="s">
        <v>459</v>
      </c>
      <c r="Q74" s="752" t="s">
        <v>461</v>
      </c>
      <c r="R74" s="768">
        <f>+R73-Q45-Q72</f>
        <v>0</v>
      </c>
      <c r="S74" s="594">
        <v>15250103</v>
      </c>
      <c r="T74" s="746">
        <v>0</v>
      </c>
      <c r="U74" s="595" t="s">
        <v>14</v>
      </c>
      <c r="V74" s="623">
        <f>T75</f>
        <v>0</v>
      </c>
      <c r="W74" s="713">
        <f>+V74-J72</f>
        <v>0</v>
      </c>
      <c r="X74" s="480"/>
      <c r="Y74" s="475"/>
      <c r="Z74" s="350"/>
      <c r="AA74" s="350"/>
      <c r="AB74" s="474"/>
    </row>
    <row r="75" spans="1:28" s="58" customFormat="1" ht="16.5">
      <c r="A75" s="29"/>
      <c r="B75" s="39" t="s">
        <v>2</v>
      </c>
      <c r="C75" s="65">
        <f>SUM(C64:C74)</f>
        <v>103418.95</v>
      </c>
      <c r="D75" s="65">
        <f t="shared" ref="D75:M75" si="16">SUM(D64:D74)</f>
        <v>62101.41</v>
      </c>
      <c r="E75" s="65">
        <f t="shared" si="16"/>
        <v>59969.13</v>
      </c>
      <c r="F75" s="65">
        <f t="shared" si="16"/>
        <v>52398.51</v>
      </c>
      <c r="G75" s="65">
        <f t="shared" si="16"/>
        <v>57506.49</v>
      </c>
      <c r="H75" s="65">
        <f t="shared" si="16"/>
        <v>32731.43</v>
      </c>
      <c r="I75" s="65">
        <f t="shared" si="16"/>
        <v>43183.89</v>
      </c>
      <c r="J75" s="65">
        <f t="shared" si="16"/>
        <v>66019.73</v>
      </c>
      <c r="K75" s="65">
        <f t="shared" si="16"/>
        <v>714391.90999999992</v>
      </c>
      <c r="L75" s="65">
        <f t="shared" si="16"/>
        <v>58867.29</v>
      </c>
      <c r="M75" s="65">
        <f t="shared" si="16"/>
        <v>0</v>
      </c>
      <c r="N75" s="64">
        <f t="shared" si="15"/>
        <v>1250588.74</v>
      </c>
      <c r="O75" s="526"/>
      <c r="P75" s="23"/>
      <c r="Q75" s="715"/>
      <c r="R75" s="721"/>
      <c r="S75" s="594">
        <v>15271903</v>
      </c>
      <c r="T75" s="746">
        <v>0</v>
      </c>
      <c r="U75" s="595" t="s">
        <v>222</v>
      </c>
      <c r="V75" s="623">
        <f>SUM(T76:T80)</f>
        <v>5893.51</v>
      </c>
      <c r="W75" s="713">
        <f>+V75-K72</f>
        <v>0</v>
      </c>
      <c r="X75" s="480"/>
      <c r="Y75" s="475"/>
      <c r="Z75" s="350"/>
      <c r="AA75" s="350"/>
      <c r="AB75" s="474"/>
    </row>
    <row r="76" spans="1:28" s="58" customFormat="1" ht="16.5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526"/>
      <c r="P76" s="23"/>
      <c r="Q76" s="715"/>
      <c r="R76" s="721"/>
      <c r="S76" s="594">
        <v>152703</v>
      </c>
      <c r="T76" s="746">
        <v>0</v>
      </c>
      <c r="U76" s="595" t="s">
        <v>443</v>
      </c>
      <c r="V76" s="213"/>
      <c r="W76" s="217"/>
      <c r="X76" s="473"/>
      <c r="Y76" s="475"/>
      <c r="Z76" s="350"/>
      <c r="AA76" s="350"/>
      <c r="AB76" s="474"/>
    </row>
    <row r="77" spans="1:28" s="58" customFormat="1" ht="16.5" customHeight="1">
      <c r="A77" s="33" t="s">
        <v>80</v>
      </c>
      <c r="B77" s="35" t="s">
        <v>59</v>
      </c>
      <c r="C77" s="283">
        <f>ROUND(DisponibleDolares!C103,2)</f>
        <v>71.040000000000006</v>
      </c>
      <c r="D77" s="283">
        <f>ROUND(DisponibleDolares!D103,2)</f>
        <v>42.32</v>
      </c>
      <c r="E77" s="283">
        <f>ROUND(DisponibleDolares!E103,2)</f>
        <v>0</v>
      </c>
      <c r="F77" s="62"/>
      <c r="G77" s="62"/>
      <c r="H77" s="62"/>
      <c r="I77" s="62"/>
      <c r="J77" s="62"/>
      <c r="K77" s="283">
        <f>DisponibleDolares!K103</f>
        <v>0</v>
      </c>
      <c r="L77" s="62"/>
      <c r="M77" s="62"/>
      <c r="N77" s="61">
        <f t="shared" si="15"/>
        <v>113.36000000000001</v>
      </c>
      <c r="O77" s="522"/>
      <c r="P77" s="205" t="s">
        <v>293</v>
      </c>
      <c r="Q77" s="715"/>
      <c r="R77" s="721"/>
      <c r="S77" s="594">
        <v>15271904</v>
      </c>
      <c r="T77" s="746">
        <v>5893.51</v>
      </c>
      <c r="U77" s="595" t="s">
        <v>443</v>
      </c>
      <c r="V77" s="217"/>
      <c r="W77" s="217"/>
      <c r="X77" s="475"/>
      <c r="Y77" s="475"/>
      <c r="Z77" s="350"/>
      <c r="AA77" s="350"/>
      <c r="AB77" s="474"/>
    </row>
    <row r="78" spans="1:28" s="58" customFormat="1" ht="16.5" customHeight="1">
      <c r="A78" s="33" t="s">
        <v>80</v>
      </c>
      <c r="B78" s="35" t="s">
        <v>60</v>
      </c>
      <c r="C78" s="283">
        <f>ROUND(DisponibleDolares!C104,2)</f>
        <v>0</v>
      </c>
      <c r="D78" s="283">
        <f>ROUND(DisponibleDolares!D104,2)</f>
        <v>0</v>
      </c>
      <c r="E78" s="283">
        <f>ROUND(DisponibleDolares!E104,2)</f>
        <v>0</v>
      </c>
      <c r="F78" s="62"/>
      <c r="G78" s="62"/>
      <c r="H78" s="62"/>
      <c r="I78" s="62"/>
      <c r="J78" s="62"/>
      <c r="K78" s="283">
        <f>DisponibleDolares!K104</f>
        <v>0</v>
      </c>
      <c r="L78" s="62"/>
      <c r="M78" s="62"/>
      <c r="N78" s="61">
        <f t="shared" si="15"/>
        <v>0</v>
      </c>
      <c r="O78" s="529"/>
      <c r="P78" s="212">
        <v>2121</v>
      </c>
      <c r="Q78" s="684">
        <v>113.35</v>
      </c>
      <c r="R78" s="768">
        <f>+Q78-SUM(N77:N79)</f>
        <v>-1.0000000000019327E-2</v>
      </c>
      <c r="S78" s="595">
        <v>15271902</v>
      </c>
      <c r="T78" s="728">
        <v>0</v>
      </c>
      <c r="U78" s="595" t="s">
        <v>443</v>
      </c>
      <c r="V78" s="217"/>
      <c r="W78" s="217"/>
      <c r="X78" s="475"/>
      <c r="Y78" s="475"/>
      <c r="Z78" s="350"/>
      <c r="AA78" s="350"/>
      <c r="AB78" s="474"/>
    </row>
    <row r="79" spans="1:28" s="58" customFormat="1" ht="16.5" customHeight="1">
      <c r="A79" s="33" t="s">
        <v>80</v>
      </c>
      <c r="B79" s="35" t="s">
        <v>61</v>
      </c>
      <c r="C79" s="283">
        <f>ROUND(DisponibleDolares!C105,2)</f>
        <v>0</v>
      </c>
      <c r="D79" s="283">
        <f>ROUND(DisponibleDolares!D105,2)</f>
        <v>0</v>
      </c>
      <c r="E79" s="283">
        <f>ROUND(DisponibleDolares!E105,2)</f>
        <v>0</v>
      </c>
      <c r="F79" s="62"/>
      <c r="G79" s="62"/>
      <c r="H79" s="62"/>
      <c r="I79" s="62"/>
      <c r="J79" s="62"/>
      <c r="K79" s="283">
        <f>DisponibleDolares!K105</f>
        <v>0</v>
      </c>
      <c r="L79" s="62"/>
      <c r="M79" s="62"/>
      <c r="N79" s="61">
        <f t="shared" si="15"/>
        <v>0</v>
      </c>
      <c r="O79" s="522"/>
      <c r="P79" s="205" t="s">
        <v>293</v>
      </c>
      <c r="Q79" s="715"/>
      <c r="R79" s="721"/>
      <c r="S79" s="600">
        <v>1529071901</v>
      </c>
      <c r="T79" s="728">
        <v>0</v>
      </c>
      <c r="U79" s="595" t="s">
        <v>443</v>
      </c>
      <c r="V79" s="217"/>
      <c r="W79" s="217"/>
      <c r="X79" s="475"/>
      <c r="Y79" s="475"/>
      <c r="Z79" s="350"/>
      <c r="AA79" s="350"/>
      <c r="AB79" s="474"/>
    </row>
    <row r="80" spans="1:28" s="58" customFormat="1" ht="16.5" customHeight="1">
      <c r="A80" s="33" t="s">
        <v>79</v>
      </c>
      <c r="B80" s="35" t="s">
        <v>63</v>
      </c>
      <c r="C80" s="283">
        <f>ROUND(DisponibleDolares!C76,2)</f>
        <v>50908.25</v>
      </c>
      <c r="D80" s="283">
        <f>ROUND(DisponibleDolares!D76,2)</f>
        <v>21086.89</v>
      </c>
      <c r="E80" s="283">
        <f>ROUND(DisponibleDolares!E76,2)</f>
        <v>16180.54</v>
      </c>
      <c r="F80" s="283"/>
      <c r="G80" s="283"/>
      <c r="H80" s="283"/>
      <c r="I80" s="283"/>
      <c r="J80" s="283"/>
      <c r="K80" s="283">
        <f>ROUND(DisponibleDolares!K76,2)</f>
        <v>375223.74</v>
      </c>
      <c r="L80" s="283"/>
      <c r="M80" s="283"/>
      <c r="N80" s="61">
        <f t="shared" si="15"/>
        <v>463399.42</v>
      </c>
      <c r="O80" s="529"/>
      <c r="P80" s="212">
        <v>2122</v>
      </c>
      <c r="Q80" s="751">
        <v>972858.68</v>
      </c>
      <c r="R80" s="768">
        <f>+Q80-SUM(N80:N82)</f>
        <v>0</v>
      </c>
      <c r="S80" s="600">
        <v>1529071902</v>
      </c>
      <c r="T80" s="728">
        <v>0</v>
      </c>
      <c r="U80" s="595" t="s">
        <v>443</v>
      </c>
      <c r="V80" s="217"/>
      <c r="W80" s="217"/>
      <c r="X80" s="475"/>
      <c r="Y80" s="475"/>
      <c r="Z80" s="350"/>
      <c r="AA80" s="350"/>
      <c r="AB80" s="474"/>
    </row>
    <row r="81" spans="1:28" s="58" customFormat="1" ht="16.5" customHeight="1">
      <c r="A81" s="33" t="s">
        <v>79</v>
      </c>
      <c r="B81" s="35" t="s">
        <v>64</v>
      </c>
      <c r="C81" s="283">
        <f>ROUND(DisponibleDolares!C77,2)</f>
        <v>15181.64</v>
      </c>
      <c r="D81" s="283">
        <f>ROUND(DisponibleDolares!D77,2)</f>
        <v>6288.44</v>
      </c>
      <c r="E81" s="283">
        <f>ROUND(DisponibleDolares!E77,2)</f>
        <v>4825.29</v>
      </c>
      <c r="F81" s="283"/>
      <c r="G81" s="283"/>
      <c r="H81" s="283"/>
      <c r="I81" s="283"/>
      <c r="J81" s="283"/>
      <c r="K81" s="283">
        <f>ROUND(DisponibleDolares!K77,2)</f>
        <v>111897.65</v>
      </c>
      <c r="L81" s="283"/>
      <c r="M81" s="283"/>
      <c r="N81" s="61">
        <f>SUM(C81:M81)</f>
        <v>138193.01999999999</v>
      </c>
      <c r="O81" s="526"/>
      <c r="P81" s="23"/>
      <c r="Q81" s="715"/>
      <c r="R81" s="721"/>
      <c r="S81" s="595">
        <v>152711</v>
      </c>
      <c r="T81" s="746">
        <v>920035.21</v>
      </c>
      <c r="U81" s="601" t="s">
        <v>444</v>
      </c>
      <c r="V81" s="217"/>
      <c r="W81" s="197"/>
      <c r="X81" s="475"/>
      <c r="Y81" s="475"/>
      <c r="Z81" s="350"/>
      <c r="AA81" s="350"/>
      <c r="AB81" s="474"/>
    </row>
    <row r="82" spans="1:28" s="58" customFormat="1" ht="16.5" customHeight="1">
      <c r="A82" s="33" t="s">
        <v>79</v>
      </c>
      <c r="B82" s="35" t="s">
        <v>65</v>
      </c>
      <c r="C82" s="283">
        <f>ROUND(DisponibleDolares!C78,2)</f>
        <v>40786.660000000003</v>
      </c>
      <c r="D82" s="283">
        <f>ROUND(DisponibleDolares!D78,2)</f>
        <v>16894.39</v>
      </c>
      <c r="E82" s="283">
        <f>ROUND(DisponibleDolares!E78,2)</f>
        <v>12963.52</v>
      </c>
      <c r="F82" s="283"/>
      <c r="G82" s="283"/>
      <c r="H82" s="283"/>
      <c r="I82" s="283"/>
      <c r="J82" s="283"/>
      <c r="K82" s="283">
        <f>ROUND(DisponibleDolares!K78,2)</f>
        <v>300621.67</v>
      </c>
      <c r="L82" s="283"/>
      <c r="M82" s="283"/>
      <c r="N82" s="61">
        <f>SUM(C82:M82)</f>
        <v>371266.24</v>
      </c>
      <c r="O82" s="526"/>
      <c r="P82" s="23"/>
      <c r="Q82" s="715"/>
      <c r="R82" s="721"/>
      <c r="S82" s="602">
        <v>1528071101</v>
      </c>
      <c r="T82" s="746">
        <v>3917.33</v>
      </c>
      <c r="U82" s="601" t="s">
        <v>444</v>
      </c>
      <c r="V82" s="217"/>
      <c r="W82" s="217"/>
      <c r="X82" s="473"/>
      <c r="Y82" s="475"/>
      <c r="Z82" s="350"/>
      <c r="AA82" s="350"/>
      <c r="AB82" s="470"/>
    </row>
    <row r="83" spans="1:28" s="58" customFormat="1" ht="16.5" customHeight="1">
      <c r="A83" s="33" t="s">
        <v>78</v>
      </c>
      <c r="B83" s="35" t="s">
        <v>42</v>
      </c>
      <c r="C83" s="283">
        <f>ROUND(DisponibleDolares!C87,2)</f>
        <v>39359.03</v>
      </c>
      <c r="D83" s="283">
        <f>ROUND(DisponibleDolares!D87,2)</f>
        <v>16303.05</v>
      </c>
      <c r="E83" s="283">
        <f>ROUND(DisponibleDolares!E87,2)</f>
        <v>12509.77</v>
      </c>
      <c r="F83" s="283"/>
      <c r="G83" s="283"/>
      <c r="H83" s="283"/>
      <c r="I83" s="283"/>
      <c r="J83" s="283"/>
      <c r="K83" s="283">
        <f>ROUND(DisponibleDolares!K87,2)</f>
        <v>697754.39</v>
      </c>
      <c r="L83" s="283"/>
      <c r="M83" s="283"/>
      <c r="N83" s="61">
        <f>SUM(C83:M83)</f>
        <v>765926.24</v>
      </c>
      <c r="O83" s="524"/>
      <c r="P83" s="209">
        <v>212305</v>
      </c>
      <c r="Q83" s="751">
        <v>976237.22</v>
      </c>
      <c r="R83" s="768">
        <f>+Q83-SUM(N83:N85)</f>
        <v>0</v>
      </c>
      <c r="S83" s="603">
        <v>2524190201</v>
      </c>
      <c r="T83" s="735">
        <v>0</v>
      </c>
      <c r="U83" s="601" t="s">
        <v>12</v>
      </c>
      <c r="V83" s="217"/>
      <c r="W83" s="197"/>
      <c r="X83" s="473"/>
      <c r="Y83" s="475"/>
      <c r="Z83" s="350"/>
      <c r="AA83" s="350"/>
      <c r="AB83" s="474"/>
    </row>
    <row r="84" spans="1:28" s="58" customFormat="1" ht="16.5" customHeight="1">
      <c r="A84" s="33" t="s">
        <v>78</v>
      </c>
      <c r="B84" s="35" t="s">
        <v>43</v>
      </c>
      <c r="C84" s="283">
        <f>ROUND(DisponibleDolares!C88,2)</f>
        <v>2343.3000000000002</v>
      </c>
      <c r="D84" s="283">
        <f>ROUND(DisponibleDolares!D88,2)</f>
        <v>970.63</v>
      </c>
      <c r="E84" s="283">
        <f>ROUND(DisponibleDolares!E88,2)</f>
        <v>744.79</v>
      </c>
      <c r="F84" s="283"/>
      <c r="G84" s="283"/>
      <c r="H84" s="283"/>
      <c r="I84" s="283"/>
      <c r="J84" s="283"/>
      <c r="K84" s="283">
        <f>ROUND(DisponibleDolares!K88,2)</f>
        <v>41541.9</v>
      </c>
      <c r="L84" s="283"/>
      <c r="M84" s="283"/>
      <c r="N84" s="61">
        <f t="shared" si="15"/>
        <v>45600.62</v>
      </c>
      <c r="O84" s="527"/>
      <c r="P84" s="544"/>
      <c r="Q84" s="715"/>
      <c r="R84" s="721"/>
      <c r="S84" s="603">
        <v>25241903</v>
      </c>
      <c r="T84" s="735">
        <v>0</v>
      </c>
      <c r="U84" s="601" t="s">
        <v>12</v>
      </c>
      <c r="V84" s="217"/>
      <c r="W84" s="197"/>
      <c r="X84" s="473"/>
      <c r="Y84" s="475"/>
      <c r="Z84" s="350"/>
      <c r="AA84" s="350"/>
      <c r="AB84" s="474"/>
    </row>
    <row r="85" spans="1:28" s="58" customFormat="1" ht="16.5" customHeight="1">
      <c r="A85" s="33" t="s">
        <v>78</v>
      </c>
      <c r="B85" s="35" t="s">
        <v>68</v>
      </c>
      <c r="C85" s="283">
        <f>ROUND(DisponibleDolares!C89,2)</f>
        <v>8464.0499999999993</v>
      </c>
      <c r="D85" s="283">
        <f>ROUND(DisponibleDolares!D89,2)</f>
        <v>3505.93</v>
      </c>
      <c r="E85" s="283">
        <f>ROUND(DisponibleDolares!E89,2)</f>
        <v>2690.19</v>
      </c>
      <c r="F85" s="283"/>
      <c r="G85" s="283"/>
      <c r="H85" s="283"/>
      <c r="I85" s="283"/>
      <c r="J85" s="283"/>
      <c r="K85" s="283">
        <f>ROUND(DisponibleDolares!K89,2)</f>
        <v>150050.19</v>
      </c>
      <c r="L85" s="283"/>
      <c r="M85" s="283"/>
      <c r="N85" s="61">
        <f>SUM(C85:M85)</f>
        <v>164710.36000000002</v>
      </c>
      <c r="O85" s="527"/>
      <c r="P85" s="544"/>
      <c r="Q85" s="715"/>
      <c r="R85" s="721"/>
      <c r="S85" s="603">
        <v>25241904</v>
      </c>
      <c r="T85" s="735">
        <v>0</v>
      </c>
      <c r="U85" s="601" t="s">
        <v>12</v>
      </c>
      <c r="V85" s="217"/>
      <c r="W85" s="217"/>
      <c r="X85" s="473"/>
      <c r="Y85" s="475"/>
      <c r="Z85" s="350"/>
      <c r="AA85" s="350"/>
      <c r="AB85" s="474"/>
    </row>
    <row r="86" spans="1:28" s="58" customFormat="1" ht="16.5" customHeight="1">
      <c r="A86" s="33" t="s">
        <v>135</v>
      </c>
      <c r="B86" s="14" t="s">
        <v>131</v>
      </c>
      <c r="C86" s="635">
        <f>IF(IF(Creditos!A54=1,Creditos!E54,0)&gt;0,IF(Creditos!A54=1,Creditos!E54,0),0)+Creditos!J57++DepInmov210701!M280</f>
        <v>112068.44621397782</v>
      </c>
      <c r="D86" s="61">
        <f>IF(IF(Creditos!A54=2,Creditos!E54,0)&gt;0,IF(Creditos!A54=2,Creditos!E54,0),0)+DepInmov210701!M281</f>
        <v>46420.270335909358</v>
      </c>
      <c r="E86" s="61">
        <f>IF(IF(Creditos!A54=3,Creditos!E54,0)&gt;0,IF(Creditos!A54=3,Creditos!E54,0),0)+DepInmov210701!M282</f>
        <v>0</v>
      </c>
      <c r="F86" s="61">
        <f>IF(IF(Creditos!A54=4,Creditos!E54,0)&gt;0,IF(Creditos!A54=4,Creditos!E54,0),0)</f>
        <v>0</v>
      </c>
      <c r="G86" s="61">
        <f>IF(IF(Creditos!A54=5,Creditos!E54,0)&gt;0,IF(Creditos!A54=5,Creditos!E54,0),0)</f>
        <v>0</v>
      </c>
      <c r="H86" s="61">
        <f>IF(IF(Creditos!A54=6,Creditos!E54,0)&gt;0,IF(Creditos!A54=6,Creditos!E54,0),0)</f>
        <v>0</v>
      </c>
      <c r="I86" s="61"/>
      <c r="J86" s="61"/>
      <c r="K86" s="61">
        <f>+DepInmov210701!M283</f>
        <v>133212.99755011281</v>
      </c>
      <c r="L86" s="61"/>
      <c r="M86" s="61"/>
      <c r="N86" s="61">
        <f t="shared" si="15"/>
        <v>291701.71409999998</v>
      </c>
      <c r="O86" s="204"/>
      <c r="P86" s="612" t="s">
        <v>420</v>
      </c>
      <c r="Q86" s="684">
        <f>SUM(T47:T55)+T57+T59</f>
        <v>291701.71000000002</v>
      </c>
      <c r="R86" s="768">
        <f>+Q86-N86</f>
        <v>-4.0999999619089067E-3</v>
      </c>
      <c r="S86" s="603">
        <v>25241905</v>
      </c>
      <c r="T86" s="735">
        <v>0</v>
      </c>
      <c r="U86" s="601" t="s">
        <v>12</v>
      </c>
      <c r="V86" s="217"/>
      <c r="W86" s="197"/>
      <c r="X86" s="473"/>
      <c r="Y86" s="475"/>
      <c r="Z86" s="350"/>
      <c r="AA86" s="350"/>
      <c r="AB86" s="474"/>
    </row>
    <row r="87" spans="1:28" s="58" customFormat="1" ht="16.5" customHeight="1">
      <c r="A87" s="33" t="s">
        <v>77</v>
      </c>
      <c r="B87" s="32" t="s">
        <v>8</v>
      </c>
      <c r="C87" s="61">
        <v>1748.47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>
        <f t="shared" si="15"/>
        <v>1748.47</v>
      </c>
      <c r="O87" s="529"/>
      <c r="P87" s="212">
        <v>2322</v>
      </c>
      <c r="Q87" s="751">
        <v>1748.47</v>
      </c>
      <c r="R87" s="768">
        <f>+Q87-N87</f>
        <v>0</v>
      </c>
      <c r="S87" s="603">
        <v>25241906</v>
      </c>
      <c r="T87" s="735">
        <v>0</v>
      </c>
      <c r="U87" s="601" t="s">
        <v>12</v>
      </c>
      <c r="V87" s="217"/>
      <c r="W87" s="197"/>
      <c r="X87" s="473"/>
      <c r="Y87" s="475"/>
      <c r="Z87" s="350"/>
      <c r="AA87" s="350"/>
      <c r="AB87" s="474"/>
    </row>
    <row r="88" spans="1:28" s="58" customFormat="1" ht="16.5" customHeight="1">
      <c r="A88" s="33" t="s">
        <v>76</v>
      </c>
      <c r="B88" s="3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>
        <f t="shared" si="15"/>
        <v>0</v>
      </c>
      <c r="O88" s="204"/>
      <c r="P88" s="189" t="s">
        <v>288</v>
      </c>
      <c r="Q88" s="715"/>
      <c r="R88" s="721"/>
      <c r="S88" s="603">
        <v>25241907</v>
      </c>
      <c r="T88" s="735">
        <v>0</v>
      </c>
      <c r="U88" s="601" t="s">
        <v>12</v>
      </c>
      <c r="V88" s="217"/>
      <c r="W88" s="80"/>
      <c r="X88" s="473"/>
      <c r="Y88" s="475"/>
      <c r="Z88" s="350"/>
      <c r="AA88" s="350"/>
      <c r="AB88" s="474"/>
    </row>
    <row r="89" spans="1:28" s="58" customFormat="1" ht="16.5" customHeight="1">
      <c r="A89" s="33" t="s">
        <v>75</v>
      </c>
      <c r="B89" s="34" t="s">
        <v>52</v>
      </c>
      <c r="C89" s="622">
        <f>+V104</f>
        <v>390659.23</v>
      </c>
      <c r="D89" s="622"/>
      <c r="E89" s="622">
        <f>+V105</f>
        <v>11870.9</v>
      </c>
      <c r="F89" s="622"/>
      <c r="G89" s="622"/>
      <c r="H89" s="622">
        <f>+V107</f>
        <v>0</v>
      </c>
      <c r="I89" s="622"/>
      <c r="J89" s="622"/>
      <c r="K89" s="622">
        <f>+V110</f>
        <v>5235.34</v>
      </c>
      <c r="L89" s="622"/>
      <c r="M89" s="621"/>
      <c r="N89" s="61">
        <f t="shared" si="15"/>
        <v>407765.47000000003</v>
      </c>
      <c r="O89" s="529"/>
      <c r="P89" s="212">
        <v>25</v>
      </c>
      <c r="Q89" s="684">
        <f>SUM(T83:T110)</f>
        <v>407765.47000000003</v>
      </c>
      <c r="R89" s="768">
        <f>+Q89-N89</f>
        <v>0</v>
      </c>
      <c r="S89" s="603">
        <v>25241910</v>
      </c>
      <c r="T89" s="735">
        <v>0</v>
      </c>
      <c r="U89" s="601" t="s">
        <v>12</v>
      </c>
      <c r="V89" s="217"/>
      <c r="W89" s="80"/>
      <c r="X89" s="475"/>
      <c r="Y89" s="475"/>
      <c r="Z89" s="350"/>
      <c r="AA89" s="350"/>
      <c r="AB89" s="474"/>
    </row>
    <row r="90" spans="1:28" s="58" customFormat="1" ht="16.5" customHeight="1">
      <c r="A90" s="33"/>
      <c r="B90" s="32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>
        <f t="shared" si="15"/>
        <v>0</v>
      </c>
      <c r="O90" s="204"/>
      <c r="P90" s="189" t="s">
        <v>288</v>
      </c>
      <c r="Q90" s="715"/>
      <c r="R90" s="721"/>
      <c r="S90" s="603">
        <v>25241912</v>
      </c>
      <c r="T90" s="735">
        <v>0</v>
      </c>
      <c r="U90" s="601" t="s">
        <v>12</v>
      </c>
      <c r="V90" s="217"/>
      <c r="W90" s="80"/>
      <c r="X90" s="473"/>
      <c r="Y90" s="475"/>
      <c r="Z90" s="350"/>
      <c r="AA90" s="350"/>
      <c r="AB90" s="474"/>
    </row>
    <row r="91" spans="1:28" s="58" customFormat="1" ht="16.5" customHeight="1">
      <c r="A91" s="33"/>
      <c r="B91" s="32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>
        <f t="shared" si="15"/>
        <v>0</v>
      </c>
      <c r="O91" s="204"/>
      <c r="P91" s="189" t="s">
        <v>288</v>
      </c>
      <c r="Q91" s="715"/>
      <c r="R91" s="721"/>
      <c r="S91" s="603">
        <v>25241913</v>
      </c>
      <c r="T91" s="735">
        <v>0</v>
      </c>
      <c r="U91" s="601" t="s">
        <v>12</v>
      </c>
      <c r="V91" s="217"/>
      <c r="W91" s="80"/>
      <c r="X91" s="473"/>
      <c r="Y91" s="475"/>
      <c r="Z91" s="350"/>
      <c r="AA91" s="350"/>
      <c r="AB91" s="474"/>
    </row>
    <row r="92" spans="1:28" s="58" customFormat="1" ht="16.5">
      <c r="A92" s="29"/>
      <c r="B92" s="31" t="s">
        <v>71</v>
      </c>
      <c r="C92" s="64">
        <f t="shared" ref="C92:M92" si="17">SUM(C77:C91)</f>
        <v>661590.1162139778</v>
      </c>
      <c r="D92" s="64">
        <f t="shared" si="17"/>
        <v>111511.92033590935</v>
      </c>
      <c r="E92" s="64">
        <f t="shared" si="17"/>
        <v>61785.000000000015</v>
      </c>
      <c r="F92" s="64">
        <f t="shared" si="17"/>
        <v>0</v>
      </c>
      <c r="G92" s="64">
        <f t="shared" si="17"/>
        <v>0</v>
      </c>
      <c r="H92" s="64">
        <f t="shared" si="17"/>
        <v>0</v>
      </c>
      <c r="I92" s="64">
        <f t="shared" si="17"/>
        <v>0</v>
      </c>
      <c r="J92" s="64">
        <f t="shared" si="17"/>
        <v>0</v>
      </c>
      <c r="K92" s="64">
        <f t="shared" si="17"/>
        <v>1815537.877550113</v>
      </c>
      <c r="L92" s="64">
        <f t="shared" si="17"/>
        <v>0</v>
      </c>
      <c r="M92" s="64">
        <f t="shared" si="17"/>
        <v>0</v>
      </c>
      <c r="N92" s="64">
        <f>SUM(C92:M92)</f>
        <v>2650424.9141000002</v>
      </c>
      <c r="O92" s="526"/>
      <c r="P92" s="513"/>
      <c r="Q92" s="686"/>
      <c r="R92" s="686"/>
      <c r="S92" s="603">
        <v>25241914</v>
      </c>
      <c r="T92" s="735">
        <v>0</v>
      </c>
      <c r="U92" s="601" t="s">
        <v>12</v>
      </c>
      <c r="V92" s="217"/>
      <c r="W92" s="80"/>
      <c r="X92" s="473"/>
      <c r="Y92" s="475"/>
      <c r="Z92" s="350"/>
      <c r="AA92" s="350"/>
      <c r="AB92" s="474"/>
    </row>
    <row r="93" spans="1:28" s="58" customFormat="1" ht="16.5">
      <c r="A93" s="29"/>
      <c r="B93" s="28" t="s">
        <v>72</v>
      </c>
      <c r="C93" s="64">
        <f t="shared" ref="C93:M93" si="18">+C47-C61+C75-C92</f>
        <v>1348183.933786022</v>
      </c>
      <c r="D93" s="64">
        <f t="shared" si="18"/>
        <v>224884.63966409059</v>
      </c>
      <c r="E93" s="64">
        <f t="shared" si="18"/>
        <v>532539.94000000006</v>
      </c>
      <c r="F93" s="64">
        <f t="shared" si="18"/>
        <v>-13357.670000000006</v>
      </c>
      <c r="G93" s="64">
        <f t="shared" si="18"/>
        <v>403467.89</v>
      </c>
      <c r="H93" s="64">
        <f t="shared" si="18"/>
        <v>9661.510000000002</v>
      </c>
      <c r="I93" s="64">
        <f t="shared" si="18"/>
        <v>-13058.129999999997</v>
      </c>
      <c r="J93" s="64">
        <f t="shared" si="18"/>
        <v>-189854.45</v>
      </c>
      <c r="K93" s="64">
        <f t="shared" si="18"/>
        <v>-1605832.9275501131</v>
      </c>
      <c r="L93" s="64">
        <f t="shared" si="18"/>
        <v>-874829.65999999992</v>
      </c>
      <c r="M93" s="64">
        <f t="shared" si="18"/>
        <v>5785.93</v>
      </c>
      <c r="N93" s="64">
        <f>SUM(C93:M93)</f>
        <v>-172408.99410000042</v>
      </c>
      <c r="O93" s="526"/>
      <c r="P93" s="513"/>
      <c r="Q93" s="230"/>
      <c r="R93" s="514"/>
      <c r="S93" s="603">
        <v>252501</v>
      </c>
      <c r="T93" s="735">
        <v>0</v>
      </c>
      <c r="U93" s="601" t="s">
        <v>12</v>
      </c>
      <c r="V93" s="217"/>
      <c r="W93" s="80"/>
      <c r="X93" s="473"/>
      <c r="Y93" s="475"/>
      <c r="Z93" s="350"/>
      <c r="AA93" s="350"/>
      <c r="AB93" s="474"/>
    </row>
    <row r="94" spans="1:28" s="58" customFormat="1" ht="16.5">
      <c r="A94" s="29"/>
      <c r="B94" s="28" t="s">
        <v>73</v>
      </c>
      <c r="C94" s="64">
        <f>+C93</f>
        <v>1348183.933786022</v>
      </c>
      <c r="D94" s="64">
        <f>+C94+D93</f>
        <v>1573068.5734501127</v>
      </c>
      <c r="E94" s="64">
        <f>+D94+E93</f>
        <v>2105608.5134501127</v>
      </c>
      <c r="F94" s="64">
        <f t="shared" ref="F94:M94" si="19">+E94+F93</f>
        <v>2092250.8434501127</v>
      </c>
      <c r="G94" s="64">
        <f t="shared" si="19"/>
        <v>2495718.7334501129</v>
      </c>
      <c r="H94" s="64">
        <f t="shared" si="19"/>
        <v>2505380.2434501126</v>
      </c>
      <c r="I94" s="64">
        <f t="shared" si="19"/>
        <v>2492322.1134501128</v>
      </c>
      <c r="J94" s="64">
        <f>+I94+J93</f>
        <v>2302467.6634501126</v>
      </c>
      <c r="K94" s="64">
        <f>+J94+K93+0.01</f>
        <v>696634.74589999951</v>
      </c>
      <c r="L94" s="64">
        <f t="shared" si="19"/>
        <v>-178194.9141000004</v>
      </c>
      <c r="M94" s="64">
        <f t="shared" si="19"/>
        <v>-172408.98410000041</v>
      </c>
      <c r="N94" s="64"/>
      <c r="O94" s="526"/>
      <c r="P94" s="505"/>
      <c r="Q94" s="513"/>
      <c r="R94" s="514"/>
      <c r="S94" s="603">
        <v>252502</v>
      </c>
      <c r="T94" s="735">
        <v>0</v>
      </c>
      <c r="U94" s="601" t="s">
        <v>12</v>
      </c>
      <c r="V94" s="217"/>
      <c r="W94" s="80"/>
      <c r="X94" s="473"/>
      <c r="Y94" s="475"/>
      <c r="Z94" s="350"/>
      <c r="AA94" s="350"/>
      <c r="AB94" s="474"/>
    </row>
    <row r="95" spans="1:28" ht="16.5">
      <c r="A95" s="29"/>
      <c r="B95" s="28" t="s">
        <v>74</v>
      </c>
      <c r="C95" s="64">
        <f t="shared" ref="C95:M95" si="20">+C94/$R$4</f>
        <v>5.4782078271129866E-2</v>
      </c>
      <c r="D95" s="64">
        <f t="shared" si="20"/>
        <v>6.3920036099670771E-2</v>
      </c>
      <c r="E95" s="64">
        <f t="shared" si="20"/>
        <v>8.5559253082220219E-2</v>
      </c>
      <c r="F95" s="64">
        <f t="shared" si="20"/>
        <v>8.5016477793832854E-2</v>
      </c>
      <c r="G95" s="64">
        <f t="shared" si="20"/>
        <v>0.10141098374807432</v>
      </c>
      <c r="H95" s="64">
        <f t="shared" si="20"/>
        <v>0.10180356934694802</v>
      </c>
      <c r="I95" s="64">
        <f t="shared" si="20"/>
        <v>0.10127296556076752</v>
      </c>
      <c r="J95" s="64">
        <f t="shared" si="20"/>
        <v>9.3558423739448754E-2</v>
      </c>
      <c r="K95" s="64">
        <f t="shared" si="20"/>
        <v>2.8307041954662191E-2</v>
      </c>
      <c r="L95" s="64">
        <f t="shared" si="20"/>
        <v>-7.24076847906782E-3</v>
      </c>
      <c r="M95" s="64">
        <f t="shared" si="20"/>
        <v>-7.0056631183021238E-3</v>
      </c>
      <c r="N95" s="64"/>
      <c r="O95" s="526"/>
      <c r="P95" s="513"/>
      <c r="Q95" s="513"/>
      <c r="R95" s="514"/>
      <c r="S95" s="603">
        <v>25250301</v>
      </c>
      <c r="T95" s="735">
        <v>0</v>
      </c>
      <c r="U95" s="601" t="s">
        <v>12</v>
      </c>
      <c r="V95" s="217"/>
      <c r="W95" s="214"/>
      <c r="X95" s="473"/>
      <c r="Y95" s="475"/>
      <c r="Z95" s="530"/>
      <c r="AA95" s="530"/>
      <c r="AB95" s="293"/>
    </row>
    <row r="96" spans="1:28" ht="16.5">
      <c r="O96" s="526"/>
      <c r="P96" s="513"/>
      <c r="Q96" s="513"/>
      <c r="R96" s="514"/>
      <c r="S96" s="603">
        <v>25250401</v>
      </c>
      <c r="T96" s="735">
        <v>0</v>
      </c>
      <c r="U96" s="601" t="s">
        <v>12</v>
      </c>
      <c r="V96" s="217"/>
      <c r="W96" s="80"/>
      <c r="X96" s="473"/>
      <c r="Y96" s="475"/>
      <c r="Z96" s="530"/>
      <c r="AA96" s="530"/>
      <c r="AB96" s="293"/>
    </row>
    <row r="97" spans="2:31" ht="16.5">
      <c r="O97" s="526"/>
      <c r="P97" s="829" t="s">
        <v>549</v>
      </c>
      <c r="Q97" s="715">
        <f>+Q89</f>
        <v>407765.47000000003</v>
      </c>
      <c r="R97" s="213"/>
      <c r="S97" s="603">
        <v>252505</v>
      </c>
      <c r="T97" s="735">
        <v>0</v>
      </c>
      <c r="U97" s="601" t="s">
        <v>12</v>
      </c>
      <c r="V97" s="510"/>
      <c r="W97" s="230"/>
      <c r="X97" s="472"/>
      <c r="Y97" s="475"/>
      <c r="Z97" s="530"/>
      <c r="AA97" s="530"/>
      <c r="AB97" s="293"/>
    </row>
    <row r="98" spans="2:31" ht="16.5">
      <c r="B98" s="292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480"/>
      <c r="P98" s="829" t="s">
        <v>550</v>
      </c>
      <c r="Q98" s="715">
        <f>SUM(T47:T54)+T59+T103+T108+T109</f>
        <v>0</v>
      </c>
      <c r="R98" s="211"/>
      <c r="S98" s="603">
        <v>252506</v>
      </c>
      <c r="T98" s="735">
        <v>0</v>
      </c>
      <c r="U98" s="601" t="s">
        <v>12</v>
      </c>
      <c r="V98" s="510"/>
      <c r="W98" s="214"/>
      <c r="X98" s="473"/>
      <c r="Y98" s="475"/>
      <c r="Z98" s="530"/>
      <c r="AA98" s="530"/>
      <c r="AB98" s="293"/>
      <c r="AC98" s="293"/>
      <c r="AD98" s="293"/>
      <c r="AE98" s="293"/>
    </row>
    <row r="99" spans="2:31" ht="16.5">
      <c r="B99" s="286"/>
      <c r="C99" s="287"/>
      <c r="D99" s="287"/>
      <c r="E99" s="287"/>
      <c r="F99" s="287"/>
      <c r="G99" s="287"/>
      <c r="H99" s="287"/>
      <c r="I99" s="287"/>
      <c r="J99" s="287"/>
      <c r="K99" s="287"/>
      <c r="L99" s="286"/>
      <c r="M99" s="286"/>
      <c r="N99" s="286"/>
      <c r="O99" s="480"/>
      <c r="P99" s="830" t="s">
        <v>551</v>
      </c>
      <c r="Q99" s="827">
        <v>0</v>
      </c>
      <c r="R99" s="211"/>
      <c r="S99" s="603">
        <v>252509</v>
      </c>
      <c r="T99" s="735">
        <v>0</v>
      </c>
      <c r="U99" s="601" t="s">
        <v>12</v>
      </c>
      <c r="V99" s="516"/>
      <c r="W99" s="214"/>
      <c r="X99" s="473"/>
      <c r="Y99" s="475"/>
      <c r="Z99" s="530"/>
      <c r="AA99" s="530"/>
      <c r="AB99" s="293"/>
      <c r="AC99" s="293"/>
      <c r="AD99" s="293"/>
      <c r="AE99" s="293"/>
    </row>
    <row r="100" spans="2:31" ht="16.5">
      <c r="B100" s="286"/>
      <c r="C100" s="288"/>
      <c r="D100" s="288"/>
      <c r="E100" s="288"/>
      <c r="F100" s="288"/>
      <c r="G100" s="288"/>
      <c r="H100" s="288"/>
      <c r="I100" s="288"/>
      <c r="J100" s="289"/>
      <c r="K100" s="289"/>
      <c r="L100" s="289"/>
      <c r="M100" s="289"/>
      <c r="N100" s="290"/>
      <c r="O100" s="480"/>
      <c r="P100" s="830" t="s">
        <v>552</v>
      </c>
      <c r="Q100" s="768">
        <f>+Q96-Q97-Q98-Q99</f>
        <v>-407765.47000000003</v>
      </c>
      <c r="R100" s="211"/>
      <c r="S100" s="603">
        <v>252601</v>
      </c>
      <c r="T100" s="735">
        <v>0</v>
      </c>
      <c r="U100" s="601" t="s">
        <v>12</v>
      </c>
      <c r="V100" s="506"/>
      <c r="W100" s="230"/>
      <c r="X100" s="473"/>
      <c r="Y100" s="475"/>
      <c r="Z100" s="530"/>
      <c r="AA100" s="530"/>
      <c r="AB100" s="293"/>
      <c r="AC100" s="293"/>
      <c r="AD100" s="293"/>
      <c r="AE100" s="293"/>
    </row>
    <row r="101" spans="2:31" ht="16.5">
      <c r="B101" s="252"/>
      <c r="C101" s="291"/>
      <c r="D101" s="291"/>
      <c r="E101" s="291"/>
      <c r="F101" s="254"/>
      <c r="G101" s="291"/>
      <c r="H101" s="291"/>
      <c r="I101" s="291"/>
      <c r="J101" s="294"/>
      <c r="K101" s="291"/>
      <c r="L101" s="291"/>
      <c r="M101" s="291"/>
      <c r="N101" s="290"/>
      <c r="O101" s="480"/>
      <c r="P101" s="831" t="s">
        <v>553</v>
      </c>
      <c r="Q101" s="715">
        <f>+U47</f>
        <v>0</v>
      </c>
      <c r="R101" s="511"/>
      <c r="S101" s="603">
        <v>252602</v>
      </c>
      <c r="T101" s="727">
        <v>390659.23</v>
      </c>
      <c r="U101" s="601" t="s">
        <v>12</v>
      </c>
      <c r="X101" s="473"/>
      <c r="Y101" s="475"/>
      <c r="Z101" s="530"/>
      <c r="AA101" s="530"/>
      <c r="AB101" s="293"/>
      <c r="AC101" s="293"/>
      <c r="AD101" s="293"/>
      <c r="AE101" s="293"/>
    </row>
    <row r="102" spans="2:31" ht="16.5">
      <c r="B102" s="292"/>
      <c r="C102" s="293"/>
      <c r="D102" s="293"/>
      <c r="E102" s="293"/>
      <c r="F102" s="293"/>
      <c r="G102" s="293"/>
      <c r="H102" s="293"/>
      <c r="I102" s="293"/>
      <c r="J102" s="295"/>
      <c r="K102" s="295"/>
      <c r="L102" s="295"/>
      <c r="M102" s="295"/>
      <c r="N102" s="295"/>
      <c r="O102" s="480"/>
      <c r="P102" s="832" t="s">
        <v>554</v>
      </c>
      <c r="Q102" s="705">
        <f>+U47</f>
        <v>0</v>
      </c>
      <c r="R102" s="211"/>
      <c r="S102" s="603">
        <v>252702</v>
      </c>
      <c r="T102" s="727">
        <v>0</v>
      </c>
      <c r="U102" s="601" t="s">
        <v>12</v>
      </c>
      <c r="X102" s="480"/>
      <c r="Y102" s="475"/>
      <c r="Z102" s="530"/>
      <c r="AA102" s="530"/>
      <c r="AB102" s="293"/>
      <c r="AC102" s="293"/>
      <c r="AD102" s="293"/>
      <c r="AE102" s="293"/>
    </row>
    <row r="103" spans="2:31" ht="16.5">
      <c r="B103" s="292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480"/>
      <c r="P103" s="832" t="s">
        <v>555</v>
      </c>
      <c r="Q103" s="828"/>
      <c r="R103" s="211"/>
      <c r="S103" s="603">
        <v>2527050205</v>
      </c>
      <c r="T103" s="728">
        <v>0</v>
      </c>
      <c r="U103" s="601" t="s">
        <v>12</v>
      </c>
      <c r="X103" s="480"/>
      <c r="Y103" s="475"/>
      <c r="Z103" s="530"/>
      <c r="AA103" s="530"/>
      <c r="AB103" s="293"/>
      <c r="AC103" s="293"/>
      <c r="AD103" s="293"/>
      <c r="AE103" s="293"/>
    </row>
    <row r="104" spans="2:31" ht="16.5">
      <c r="B104" s="292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480"/>
      <c r="P104" s="480"/>
      <c r="Q104" s="715">
        <f>+Q100-Q101</f>
        <v>-407765.47000000003</v>
      </c>
      <c r="R104" s="211"/>
      <c r="S104" s="604" t="s">
        <v>445</v>
      </c>
      <c r="T104" s="735">
        <v>0</v>
      </c>
      <c r="U104" s="601" t="s">
        <v>12</v>
      </c>
      <c r="V104" s="619">
        <f>SUM(T83:T104)</f>
        <v>390659.23</v>
      </c>
      <c r="W104" s="776">
        <f>+V104-C89</f>
        <v>0</v>
      </c>
      <c r="X104" s="473"/>
      <c r="Y104" s="480"/>
      <c r="Z104" s="530"/>
      <c r="AA104" s="530"/>
      <c r="AB104" s="293"/>
      <c r="AC104" s="293"/>
      <c r="AD104" s="293"/>
      <c r="AE104" s="293"/>
    </row>
    <row r="105" spans="2:31" ht="16.5">
      <c r="B105" s="292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480"/>
      <c r="Q105" s="23"/>
      <c r="R105" s="211"/>
      <c r="S105" s="603">
        <v>252402</v>
      </c>
      <c r="T105" s="736">
        <v>5450.03</v>
      </c>
      <c r="U105" s="601" t="s">
        <v>14</v>
      </c>
      <c r="V105" s="620">
        <f>SUM(T105:T106)</f>
        <v>11870.9</v>
      </c>
      <c r="W105" s="776">
        <f>+V105-E89</f>
        <v>0</v>
      </c>
      <c r="X105" s="473"/>
      <c r="Y105" s="480"/>
      <c r="Z105" s="530"/>
      <c r="AA105" s="530"/>
      <c r="AB105" s="293"/>
      <c r="AC105" s="293"/>
      <c r="AD105" s="293"/>
      <c r="AE105" s="293"/>
    </row>
    <row r="106" spans="2:31">
      <c r="B106" s="292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54"/>
      <c r="Q106" s="23"/>
      <c r="R106" s="211"/>
      <c r="S106" s="603">
        <v>252701</v>
      </c>
      <c r="T106" s="736">
        <v>6420.87</v>
      </c>
      <c r="U106" s="601" t="s">
        <v>14</v>
      </c>
      <c r="V106" s="715"/>
      <c r="W106" s="720"/>
      <c r="X106" s="239"/>
      <c r="Y106" s="254"/>
      <c r="Z106" s="293"/>
      <c r="AA106" s="293"/>
      <c r="AB106" s="293"/>
      <c r="AC106" s="293"/>
      <c r="AD106" s="293"/>
      <c r="AE106" s="293"/>
    </row>
    <row r="107" spans="2:31">
      <c r="N107" s="531"/>
      <c r="O107" s="254"/>
      <c r="Q107" s="23"/>
      <c r="R107" s="211"/>
      <c r="S107" s="604">
        <v>25250402</v>
      </c>
      <c r="T107" s="736">
        <v>0</v>
      </c>
      <c r="U107" s="601" t="s">
        <v>17</v>
      </c>
      <c r="V107" s="620">
        <f>SUM(T107:T109)</f>
        <v>0</v>
      </c>
      <c r="W107" s="776">
        <f>+V107-H89</f>
        <v>0</v>
      </c>
      <c r="X107" s="239"/>
      <c r="Y107" s="254"/>
      <c r="Z107" s="293"/>
      <c r="AA107" s="293"/>
      <c r="AB107" s="293"/>
      <c r="AC107" s="293"/>
      <c r="AD107" s="293"/>
      <c r="AE107" s="293"/>
    </row>
    <row r="108" spans="2:31">
      <c r="S108" s="604">
        <v>2527050202</v>
      </c>
      <c r="T108" s="736">
        <v>0</v>
      </c>
      <c r="U108" s="601" t="s">
        <v>17</v>
      </c>
      <c r="V108" s="715"/>
      <c r="W108" s="720"/>
      <c r="X108" s="239"/>
    </row>
    <row r="109" spans="2:31">
      <c r="S109" s="604">
        <v>2527050203</v>
      </c>
      <c r="T109" s="736">
        <v>0</v>
      </c>
      <c r="U109" s="601" t="s">
        <v>17</v>
      </c>
      <c r="V109" s="620"/>
      <c r="W109" s="720"/>
    </row>
    <row r="110" spans="2:31">
      <c r="S110" s="605">
        <v>25241915</v>
      </c>
      <c r="T110" s="735">
        <v>5235.34</v>
      </c>
      <c r="U110" s="595" t="s">
        <v>443</v>
      </c>
      <c r="V110" s="620">
        <f>SUM(T110:T110)</f>
        <v>5235.34</v>
      </c>
      <c r="W110" s="776">
        <f>+V110-K89</f>
        <v>0</v>
      </c>
    </row>
    <row r="111" spans="2:31">
      <c r="S111" s="606" t="s">
        <v>446</v>
      </c>
      <c r="T111" s="737">
        <v>0</v>
      </c>
      <c r="U111" s="607" t="s">
        <v>447</v>
      </c>
    </row>
  </sheetData>
  <customSheetViews>
    <customSheetView guid="{D62CAC70-1ACE-4E87-9E99-FED2C7460049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1"/>
    </customSheetView>
    <customSheetView guid="{4FE66BC3-94B4-4710-8AD9-CFB3A1891FB3}" scale="90" showGridLines="0">
      <selection activeCell="A26" sqref="A26"/>
      <pageMargins left="0.70866141732283472" right="0.70866141732283472" top="0.31" bottom="0.31" header="0.31496062992125984" footer="0.31496062992125984"/>
      <pageSetup scale="45" orientation="landscape" r:id="rId2"/>
    </customSheetView>
    <customSheetView guid="{2FDD5145-1E6D-41A8-8E6A-3079E1C158EF}" scale="70" showGridLines="0">
      <selection activeCell="L17" sqref="L17"/>
      <pageMargins left="0.70866141732283472" right="0.70866141732283472" top="0.31" bottom="0.31" header="0.31496062992125984" footer="0.31496062992125984"/>
      <pageSetup scale="45" orientation="landscape" r:id="rId3"/>
    </customSheetView>
    <customSheetView guid="{D5145478-5081-4F28-88BB-A95644E8496C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4"/>
    </customSheetView>
    <customSheetView guid="{E21B7D27-3E40-4AEF-B95E-08CACAE41300}" scale="91" showGridLines="0">
      <pageMargins left="0.70866141732283472" right="0.70866141732283472" top="0.31" bottom="0.31" header="0.31496062992125984" footer="0.31496062992125984"/>
      <pageSetup scale="45" orientation="landscape" r:id="rId5"/>
    </customSheetView>
  </customSheetViews>
  <mergeCells count="4">
    <mergeCell ref="A1:N1"/>
    <mergeCell ref="A2:N2"/>
    <mergeCell ref="A3:N3"/>
    <mergeCell ref="A4:N4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2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100"/>
  <sheetViews>
    <sheetView showGridLines="0" zoomScale="80" zoomScaleNormal="80" workbookViewId="0">
      <selection activeCell="A43" sqref="A43"/>
    </sheetView>
  </sheetViews>
  <sheetFormatPr baseColWidth="10" defaultRowHeight="15"/>
  <cols>
    <col min="1" max="1" width="14.85546875" style="26" customWidth="1"/>
    <col min="2" max="2" width="68.7109375" style="25" customWidth="1"/>
    <col min="3" max="3" width="14.140625" style="24" bestFit="1" customWidth="1"/>
    <col min="4" max="10" width="12.42578125" style="24" bestFit="1" customWidth="1"/>
    <col min="11" max="12" width="14" style="24" bestFit="1" customWidth="1"/>
    <col min="13" max="13" width="12.42578125" style="24" bestFit="1" customWidth="1"/>
    <col min="14" max="14" width="13.42578125" style="24" bestFit="1" customWidth="1"/>
    <col min="15" max="15" width="13.42578125" style="60" bestFit="1" customWidth="1"/>
    <col min="16" max="16" width="20.7109375" style="60" bestFit="1" customWidth="1"/>
    <col min="17" max="17" width="16" style="60" customWidth="1"/>
    <col min="18" max="98" width="11.42578125" style="60"/>
    <col min="99" max="16384" width="11.42578125" style="24"/>
  </cols>
  <sheetData>
    <row r="1" spans="1:98" s="30" customFormat="1" ht="16.5">
      <c r="A1" s="29"/>
      <c r="B1" s="46" t="s">
        <v>105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P1" s="190" t="s">
        <v>282</v>
      </c>
      <c r="Q1" s="191" t="str">
        <f>+Anx16AMN!R1</f>
        <v>28/02/2021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</row>
    <row r="2" spans="1:98" s="30" customFormat="1" ht="16.5">
      <c r="A2" s="29"/>
      <c r="B2" s="46" t="s">
        <v>10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P2" s="192" t="s">
        <v>283</v>
      </c>
      <c r="Q2" s="193">
        <f>+Anx16AMN!R2</f>
        <v>92459563.390000001</v>
      </c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</row>
    <row r="3" spans="1:98" s="30" customFormat="1" ht="16.5">
      <c r="A3" s="29"/>
      <c r="B3" s="855" t="str">
        <f>+Anx16AMN!B4</f>
        <v>AL 31 DE MARZO DEL  2021</v>
      </c>
      <c r="C3" s="855"/>
      <c r="D3" s="855"/>
      <c r="E3" s="855"/>
      <c r="F3" s="855"/>
      <c r="G3" s="855"/>
      <c r="H3" s="855"/>
      <c r="I3" s="855"/>
      <c r="J3" s="855"/>
      <c r="K3" s="855"/>
      <c r="L3" s="855"/>
      <c r="M3" s="855"/>
      <c r="N3" s="855"/>
      <c r="P3" s="189" t="s">
        <v>284</v>
      </c>
      <c r="Q3" s="194">
        <f>+Anx16AMN!R3</f>
        <v>3.7570000000000001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</row>
    <row r="4" spans="1:98" s="59" customFormat="1" ht="16.5">
      <c r="A4" s="1"/>
      <c r="B4" s="4"/>
      <c r="C4" s="4"/>
      <c r="D4" s="4"/>
      <c r="E4" s="851" t="str">
        <f>+Anx16AMN!A5</f>
        <v>(Expresado en Soles)</v>
      </c>
      <c r="F4" s="851"/>
      <c r="G4" s="851"/>
      <c r="H4" s="4"/>
      <c r="I4" s="4"/>
      <c r="J4" s="4"/>
      <c r="K4" s="4"/>
      <c r="L4" s="4"/>
      <c r="M4" s="4"/>
      <c r="N4" s="4"/>
      <c r="O4" s="189"/>
      <c r="P4" s="189" t="s">
        <v>285</v>
      </c>
      <c r="Q4" s="193">
        <f>+Anx16AMN!R4</f>
        <v>24609945.010000002</v>
      </c>
      <c r="R4" s="189"/>
      <c r="S4" s="189"/>
      <c r="T4" s="189"/>
      <c r="U4" s="189"/>
      <c r="V4" s="189"/>
      <c r="W4" s="189"/>
      <c r="X4" s="189"/>
    </row>
    <row r="5" spans="1:98" s="30" customFormat="1" ht="16.5">
      <c r="A5" s="29"/>
      <c r="B5" s="45"/>
      <c r="C5" s="45"/>
      <c r="D5" s="45"/>
      <c r="E5" s="45"/>
      <c r="F5" s="851"/>
      <c r="G5" s="854"/>
      <c r="H5" s="854"/>
      <c r="I5" s="45"/>
      <c r="J5" s="45"/>
      <c r="K5" s="45"/>
      <c r="L5" s="45"/>
      <c r="M5" s="45"/>
      <c r="N5" s="45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</row>
    <row r="6" spans="1:98" s="30" customFormat="1" ht="16.5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</row>
    <row r="7" spans="1:98" s="30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318" t="s">
        <v>20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</row>
    <row r="8" spans="1:98" s="30" customFormat="1" ht="16.5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</row>
    <row r="9" spans="1:98" s="30" customFormat="1" ht="16.5" customHeight="1">
      <c r="A9" s="36" t="s">
        <v>106</v>
      </c>
      <c r="B9" s="41" t="s">
        <v>23</v>
      </c>
      <c r="C9" s="139">
        <f>ROUND(Anx16AMN!C9+Anx16AME!C9*Disponible!$B$110,2)</f>
        <v>39065951.810000002</v>
      </c>
      <c r="D9" s="139">
        <f>ROUND(Anx16AMN!D9+Anx16AME!D9*Disponible!$B$110,2)</f>
        <v>13192189.27</v>
      </c>
      <c r="E9" s="139">
        <f>ROUND(Anx16AMN!E9+Anx16AME!E9*Disponible!$B$110,2)</f>
        <v>7127100</v>
      </c>
      <c r="F9" s="139">
        <f>ROUND(Anx16AMN!F9+Anx16AME!F9*Disponible!$B$110,2)</f>
        <v>0</v>
      </c>
      <c r="G9" s="139">
        <f>ROUND(Anx16AMN!G9+Anx16AME!G9*Disponible!$B$110,2)</f>
        <v>4000000</v>
      </c>
      <c r="H9" s="139">
        <f>ROUND(Anx16AMN!H9+Anx16AME!H9*Disponible!$B$110,2)</f>
        <v>0</v>
      </c>
      <c r="I9" s="139">
        <f>ROUND(Anx16AMN!I9+Anx16AME!I9*Disponible!$B$110,2)</f>
        <v>4000000</v>
      </c>
      <c r="J9" s="139">
        <f>ROUND(Anx16AMN!J9+Anx16AME!J9*Disponible!$B$110,2)</f>
        <v>0</v>
      </c>
      <c r="K9" s="139">
        <f>ROUND(Anx16AMN!K9+Anx16AME!K9*Disponible!$B$110,2)</f>
        <v>0</v>
      </c>
      <c r="L9" s="139">
        <f>ROUND(Anx16AMN!L9+Anx16AME!L9*Disponible!$B$110,2)</f>
        <v>0</v>
      </c>
      <c r="M9" s="139">
        <f>ROUND(Anx16AMN!M9+Anx16AME!M9*Disponible!$B$110,2)</f>
        <v>0</v>
      </c>
      <c r="N9" s="61">
        <f>SUM(C9:M9)</f>
        <v>67385241.079999998</v>
      </c>
      <c r="O9" s="241">
        <f>ROUND(Anx16AMN!N9+Anx16AME!N9*Disponible!$B$110,2)</f>
        <v>67385241.079999998</v>
      </c>
      <c r="P9" s="241">
        <f>+O9-N9</f>
        <v>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</row>
    <row r="10" spans="1:98" s="30" customFormat="1" ht="16.5" customHeight="1">
      <c r="A10" s="40">
        <v>1200</v>
      </c>
      <c r="B10" s="32" t="s">
        <v>24</v>
      </c>
      <c r="C10" s="139">
        <f>ROUND(Anx16AMN!C10+Anx16AME!C10*Disponible!$B$110,2)</f>
        <v>0</v>
      </c>
      <c r="D10" s="139">
        <f>ROUND(Anx16AMN!D10+Anx16AME!D10*Disponible!$B$110,2)</f>
        <v>0</v>
      </c>
      <c r="E10" s="139">
        <f>ROUND(Anx16AMN!E10+Anx16AME!E10*Disponible!$B$110,2)</f>
        <v>0</v>
      </c>
      <c r="F10" s="139">
        <f>ROUND(Anx16AMN!F10+Anx16AME!F10*Disponible!$B$110,2)</f>
        <v>0</v>
      </c>
      <c r="G10" s="139">
        <f>ROUND(Anx16AMN!G10+Anx16AME!G10*Disponible!$B$110,2)</f>
        <v>0</v>
      </c>
      <c r="H10" s="139">
        <f>ROUND(Anx16AMN!H10+Anx16AME!H10*Disponible!$B$110,2)</f>
        <v>0</v>
      </c>
      <c r="I10" s="139">
        <f>ROUND(Anx16AMN!I10+Anx16AME!I10*Disponible!$B$110,2)</f>
        <v>0</v>
      </c>
      <c r="J10" s="139">
        <f>ROUND(Anx16AMN!J10+Anx16AME!J10*Disponible!$B$110,2)</f>
        <v>0</v>
      </c>
      <c r="K10" s="139">
        <f>ROUND(Anx16AMN!K10+Anx16AME!K10*Disponible!$B$110,2)</f>
        <v>0</v>
      </c>
      <c r="L10" s="139">
        <f>ROUND(Anx16AMN!L10+Anx16AME!L10*Disponible!$B$110,2)</f>
        <v>0</v>
      </c>
      <c r="M10" s="139">
        <f>ROUND(Anx16AMN!M10+Anx16AME!M10*Disponible!$B$110,2)</f>
        <v>0</v>
      </c>
      <c r="N10" s="61">
        <f t="shared" ref="N10:N46" si="0">SUM(C10:M10)</f>
        <v>0</v>
      </c>
      <c r="O10" s="241">
        <f>ROUND(Anx16AMN!N10+Anx16AME!N10*Disponible!$B$110,2)</f>
        <v>0</v>
      </c>
      <c r="P10" s="241">
        <f t="shared" ref="P10:P72" si="1">+O10-N10</f>
        <v>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</row>
    <row r="11" spans="1:98" s="30" customFormat="1" ht="16.5" customHeight="1">
      <c r="A11" s="40" t="s">
        <v>137</v>
      </c>
      <c r="B11" s="35" t="s">
        <v>25</v>
      </c>
      <c r="C11" s="139">
        <f>ROUND(Anx16AMN!C11+Anx16AME!C11*Disponible!$B$110,2)</f>
        <v>11069014.82</v>
      </c>
      <c r="D11" s="139">
        <f>ROUND(Anx16AMN!D11+Anx16AME!D11*Disponible!$B$110,2)</f>
        <v>513006.13</v>
      </c>
      <c r="E11" s="139">
        <f>ROUND(Anx16AMN!E11+Anx16AME!E11*Disponible!$B$110,2)</f>
        <v>0</v>
      </c>
      <c r="F11" s="139">
        <f>ROUND(Anx16AMN!F11+Anx16AME!F11*Disponible!$B$110,2)</f>
        <v>0</v>
      </c>
      <c r="G11" s="139">
        <f>ROUND(Anx16AMN!G11+Anx16AME!G11*Disponible!$B$110,2)</f>
        <v>0</v>
      </c>
      <c r="H11" s="139">
        <f>ROUND(Anx16AMN!H11+Anx16AME!H11*Disponible!$B$110,2)</f>
        <v>0</v>
      </c>
      <c r="I11" s="139">
        <f>ROUND(Anx16AMN!I11+Anx16AME!I11*Disponible!$B$110,2)</f>
        <v>0</v>
      </c>
      <c r="J11" s="139">
        <f>ROUND(Anx16AMN!J11+Anx16AME!J11*Disponible!$B$110,2)</f>
        <v>0</v>
      </c>
      <c r="K11" s="139">
        <f>ROUND(Anx16AMN!K11+Anx16AME!K11*Disponible!$B$110,2)</f>
        <v>0</v>
      </c>
      <c r="L11" s="139">
        <f>ROUND(Anx16AMN!L11+Anx16AME!L11*Disponible!$B$110,2)</f>
        <v>1003010.2</v>
      </c>
      <c r="M11" s="139">
        <f>ROUND(Anx16AMN!M11+Anx16AME!M11*Disponible!$B$110,2)</f>
        <v>0</v>
      </c>
      <c r="N11" s="61">
        <f t="shared" si="0"/>
        <v>12585031.15</v>
      </c>
      <c r="O11" s="241">
        <f>ROUND(Anx16AMN!N11+Anx16AME!N11*Disponible!$B$110,2)</f>
        <v>12585031.15</v>
      </c>
      <c r="P11" s="241">
        <f t="shared" si="1"/>
        <v>0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</row>
    <row r="12" spans="1:98" s="30" customFormat="1" ht="16.5" customHeight="1">
      <c r="A12" s="42" t="s">
        <v>138</v>
      </c>
      <c r="B12" s="35" t="s">
        <v>26</v>
      </c>
      <c r="C12" s="139">
        <f>ROUND(Anx16AMN!C12+Anx16AME!C12*Disponible!$B$110,2)</f>
        <v>0</v>
      </c>
      <c r="D12" s="139">
        <f>ROUND(Anx16AMN!D12+Anx16AME!D12*Disponible!$B$110,2)</f>
        <v>0</v>
      </c>
      <c r="E12" s="139">
        <f>ROUND(Anx16AMN!E12+Anx16AME!E12*Disponible!$B$110,2)</f>
        <v>0</v>
      </c>
      <c r="F12" s="243">
        <f>ROUND(Anx16AMN!F12+Anx16AME!F12*Disponible!$B$110,2)</f>
        <v>0</v>
      </c>
      <c r="G12" s="139">
        <f>ROUND(Anx16AMN!G12+Anx16AME!G12*Disponible!$B$110,2)</f>
        <v>0</v>
      </c>
      <c r="H12" s="139">
        <f>ROUND(Anx16AMN!H12+Anx16AME!H12*Disponible!$B$110,2)</f>
        <v>0</v>
      </c>
      <c r="I12" s="139">
        <f>ROUND(Anx16AMN!I12+Anx16AME!I12*Disponible!$B$110,2)</f>
        <v>0</v>
      </c>
      <c r="J12" s="139">
        <f>ROUND(Anx16AMN!J12+Anx16AME!J12*Disponible!$B$110,2)</f>
        <v>113349.12</v>
      </c>
      <c r="K12" s="139">
        <f>ROUND(Anx16AMN!K12+Anx16AME!K12*Disponible!$B$110,2)</f>
        <v>0</v>
      </c>
      <c r="L12" s="139">
        <f>ROUND(Anx16AMN!L12+Anx16AME!L12*Disponible!$B$110,2)</f>
        <v>0</v>
      </c>
      <c r="M12" s="139">
        <f>ROUND(Anx16AMN!M12+Anx16AME!M12*Disponible!$B$110,2)</f>
        <v>0</v>
      </c>
      <c r="N12" s="61">
        <f t="shared" si="0"/>
        <v>113349.12</v>
      </c>
      <c r="O12" s="241">
        <f>ROUND(Anx16AMN!N12+Anx16AME!N12*Disponible!$B$110,2)</f>
        <v>113349.12</v>
      </c>
      <c r="P12" s="241">
        <f t="shared" si="1"/>
        <v>0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</row>
    <row r="13" spans="1:98" s="30" customFormat="1" ht="16.5" customHeight="1">
      <c r="A13" s="36" t="s">
        <v>107</v>
      </c>
      <c r="B13" s="41" t="s">
        <v>28</v>
      </c>
      <c r="C13" s="178">
        <f>+C14+C23</f>
        <v>1377311.61</v>
      </c>
      <c r="D13" s="61">
        <f t="shared" ref="D13:M13" si="2">+D14+D23</f>
        <v>1099175.76</v>
      </c>
      <c r="E13" s="61">
        <f t="shared" si="2"/>
        <v>1355277.3599999999</v>
      </c>
      <c r="F13" s="178">
        <f>+F14+F23</f>
        <v>1376720.71</v>
      </c>
      <c r="G13" s="178">
        <f>+G14+G23</f>
        <v>831870.96999999986</v>
      </c>
      <c r="H13" s="178">
        <f t="shared" si="2"/>
        <v>3229117.9400000004</v>
      </c>
      <c r="I13" s="178">
        <f t="shared" si="2"/>
        <v>3541105.32</v>
      </c>
      <c r="J13" s="178">
        <f t="shared" si="2"/>
        <v>4899985.43</v>
      </c>
      <c r="K13" s="178">
        <f t="shared" si="2"/>
        <v>12247492.590000002</v>
      </c>
      <c r="L13" s="178">
        <f t="shared" si="2"/>
        <v>19437952.490000002</v>
      </c>
      <c r="M13" s="178">
        <f t="shared" si="2"/>
        <v>3981130.26</v>
      </c>
      <c r="N13" s="178">
        <f>SUM(C13:M13)</f>
        <v>53377140.440000005</v>
      </c>
      <c r="O13" s="241">
        <f>ROUND(Anx16AMN!N13+Anx16AME!N13*Disponible!$B$110,2)</f>
        <v>53377140.460000001</v>
      </c>
      <c r="P13" s="241">
        <f t="shared" si="1"/>
        <v>1.9999995827674866E-2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</row>
    <row r="14" spans="1:98" s="53" customFormat="1" ht="15" customHeight="1">
      <c r="A14" s="55"/>
      <c r="B14" s="50" t="s">
        <v>144</v>
      </c>
      <c r="C14" s="63">
        <f>SUM(C15:C22)</f>
        <v>1377311.61</v>
      </c>
      <c r="D14" s="63">
        <f t="shared" ref="D14:M14" si="3">SUM(D15:D22)</f>
        <v>1099175.76</v>
      </c>
      <c r="E14" s="63">
        <f t="shared" si="3"/>
        <v>1343462.38</v>
      </c>
      <c r="F14" s="255">
        <f t="shared" si="3"/>
        <v>1359870.23</v>
      </c>
      <c r="G14" s="255">
        <f t="shared" si="3"/>
        <v>814968.52999999991</v>
      </c>
      <c r="H14" s="255">
        <f t="shared" si="3"/>
        <v>3206816.45</v>
      </c>
      <c r="I14" s="255">
        <f t="shared" si="3"/>
        <v>3472789.36</v>
      </c>
      <c r="J14" s="255">
        <f t="shared" si="3"/>
        <v>4829355.33</v>
      </c>
      <c r="K14" s="255">
        <f t="shared" si="3"/>
        <v>11941566.440000001</v>
      </c>
      <c r="L14" s="255">
        <f t="shared" si="3"/>
        <v>19238007.82</v>
      </c>
      <c r="M14" s="255">
        <f t="shared" si="3"/>
        <v>3981130.26</v>
      </c>
      <c r="N14" s="178">
        <f t="shared" si="0"/>
        <v>52664454.169999994</v>
      </c>
      <c r="O14" s="241">
        <f>+Anx16AMN!N14+Anx16AME!N14*Disponible!$B$110</f>
        <v>52664454.181620002</v>
      </c>
      <c r="P14" s="241">
        <f t="shared" si="1"/>
        <v>1.1620007455348969E-2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</row>
    <row r="15" spans="1:98" s="53" customFormat="1" ht="16.5">
      <c r="A15" s="56" t="s">
        <v>159</v>
      </c>
      <c r="B15" s="51" t="s">
        <v>145</v>
      </c>
      <c r="C15" s="138">
        <f>ROUND(Anx16AMN!C15+Anx16AME!C15*Disponible!$B$110,2)</f>
        <v>124827.49</v>
      </c>
      <c r="D15" s="138">
        <f>ROUND(Anx16AMN!D15+Anx16AME!D15*Disponible!$B$110,2)</f>
        <v>0</v>
      </c>
      <c r="E15" s="138">
        <f>ROUND(Anx16AMN!E15+Anx16AME!E15*Disponible!$B$110,2)</f>
        <v>530000</v>
      </c>
      <c r="F15" s="256">
        <f>ROUND(Anx16AMN!F15+Anx16AME!F15*Disponible!$B$110,2)</f>
        <v>491493.33</v>
      </c>
      <c r="G15" s="256">
        <f>ROUND(Anx16AMN!G15+Anx16AME!G15*Disponible!$B$110,2)</f>
        <v>0</v>
      </c>
      <c r="H15" s="256">
        <f>ROUND(Anx16AMN!H15+Anx16AME!H15*Disponible!$B$110,2)</f>
        <v>2239345.4700000002</v>
      </c>
      <c r="I15" s="256">
        <f>ROUND(Anx16AMN!I15+Anx16AME!I15*Disponible!$B$110,2)</f>
        <v>816965.61</v>
      </c>
      <c r="J15" s="256">
        <f>ROUND(Anx16AMN!J15+Anx16AME!J15*Disponible!$B$110,2)</f>
        <v>1991181.91</v>
      </c>
      <c r="K15" s="256">
        <f>ROUND(Anx16AMN!K15+Anx16AME!K15*Disponible!$B$110,2)</f>
        <v>3434865.24</v>
      </c>
      <c r="L15" s="256">
        <f>ROUND(Anx16AMN!L15+Anx16AME!L15*Disponible!$B$110,2)</f>
        <v>3132785.34</v>
      </c>
      <c r="M15" s="256">
        <f>ROUND(Anx16AMN!M15+Anx16AME!M15*Disponible!$B$110,2)</f>
        <v>0</v>
      </c>
      <c r="N15" s="178">
        <f t="shared" si="0"/>
        <v>12761464.390000001</v>
      </c>
      <c r="O15" s="241">
        <f>+Anx16AMN!N15+Anx16AME!N15*Disponible!$B$110</f>
        <v>12761464.390000001</v>
      </c>
      <c r="P15" s="241">
        <f t="shared" si="1"/>
        <v>0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</row>
    <row r="16" spans="1:98" s="53" customFormat="1" ht="16.5">
      <c r="A16" s="56">
        <v>140110</v>
      </c>
      <c r="B16" s="51" t="s">
        <v>146</v>
      </c>
      <c r="C16" s="138">
        <f>ROUND(Anx16AMN!C16+Anx16AME!C16*Disponible!$B$110,2)</f>
        <v>0</v>
      </c>
      <c r="D16" s="138">
        <f>ROUND(Anx16AMN!D16+Anx16AME!D16*Disponible!$B$110,2)</f>
        <v>0</v>
      </c>
      <c r="E16" s="138">
        <f>ROUND(Anx16AMN!E16+Anx16AME!E16*Disponible!$B$110,2)</f>
        <v>0</v>
      </c>
      <c r="F16" s="256">
        <f>ROUND(Anx16AMN!F16+Anx16AME!F16*Disponible!$B$110,2)</f>
        <v>0</v>
      </c>
      <c r="G16" s="256">
        <f>ROUND(Anx16AMN!G16+Anx16AME!G16*Disponible!$B$110,2)</f>
        <v>0</v>
      </c>
      <c r="H16" s="256">
        <f>ROUND(Anx16AMN!H16+Anx16AME!H16*Disponible!$B$110,2)</f>
        <v>0</v>
      </c>
      <c r="I16" s="256">
        <f>ROUND(Anx16AMN!I16+Anx16AME!I16*Disponible!$B$110,2)</f>
        <v>0</v>
      </c>
      <c r="J16" s="256">
        <f>ROUND(Anx16AMN!J16+Anx16AME!J16*Disponible!$B$110,2)</f>
        <v>0</v>
      </c>
      <c r="K16" s="256">
        <f>ROUND(Anx16AMN!K16+Anx16AME!K16*Disponible!$B$110,2)</f>
        <v>0</v>
      </c>
      <c r="L16" s="256">
        <f>ROUND(Anx16AMN!L16+Anx16AME!L16*Disponible!$B$110,2)</f>
        <v>0</v>
      </c>
      <c r="M16" s="256">
        <f>ROUND(Anx16AMN!M16+Anx16AME!M16*Disponible!$B$110,2)</f>
        <v>0</v>
      </c>
      <c r="N16" s="178">
        <f t="shared" si="0"/>
        <v>0</v>
      </c>
      <c r="O16" s="241">
        <f>+Anx16AMN!N16+Anx16AME!N16*Disponible!$B$110</f>
        <v>0</v>
      </c>
      <c r="P16" s="241">
        <f t="shared" si="1"/>
        <v>0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</row>
    <row r="17" spans="1:98" s="53" customFormat="1" ht="16.5">
      <c r="A17" s="56">
        <v>140111</v>
      </c>
      <c r="B17" s="51" t="s">
        <v>147</v>
      </c>
      <c r="C17" s="138">
        <f>ROUND(Anx16AMN!C17+Anx16AME!C17*Disponible!$B$110,2)</f>
        <v>296892.59999999998</v>
      </c>
      <c r="D17" s="138">
        <f>ROUND(Anx16AMN!D17+Anx16AME!D17*Disponible!$B$110,2)</f>
        <v>301007.2</v>
      </c>
      <c r="E17" s="138">
        <f>ROUND(Anx16AMN!E17+Anx16AME!E17*Disponible!$B$110,2)</f>
        <v>72548.100000000006</v>
      </c>
      <c r="F17" s="256">
        <f>ROUND(Anx16AMN!F17+Anx16AME!F17*Disponible!$B$110,2)</f>
        <v>74424.23</v>
      </c>
      <c r="G17" s="256">
        <f>ROUND(Anx16AMN!G17+Anx16AME!G17*Disponible!$B$110,2)</f>
        <v>74084.460000000006</v>
      </c>
      <c r="H17" s="256">
        <f>ROUND(Anx16AMN!H17+Anx16AME!H17*Disponible!$B$110,2)</f>
        <v>74858.86</v>
      </c>
      <c r="I17" s="256">
        <f>ROUND(Anx16AMN!I17+Anx16AME!I17*Disponible!$B$110,2)</f>
        <v>231358.75</v>
      </c>
      <c r="J17" s="256">
        <f>ROUND(Anx16AMN!J17+Anx16AME!J17*Disponible!$B$110,2)</f>
        <v>226076.34</v>
      </c>
      <c r="K17" s="256">
        <f>ROUND(Anx16AMN!K17+Anx16AME!K17*Disponible!$B$110,2)</f>
        <v>844289.31</v>
      </c>
      <c r="L17" s="256">
        <f>ROUND(Anx16AMN!L17+Anx16AME!L17*Disponible!$B$110,2)</f>
        <v>1746263.9</v>
      </c>
      <c r="M17" s="256">
        <f>ROUND(Anx16AMN!M17+Anx16AME!M17*Disponible!$B$110,2)</f>
        <v>0</v>
      </c>
      <c r="N17" s="178">
        <f t="shared" si="0"/>
        <v>3941803.75</v>
      </c>
      <c r="O17" s="241">
        <f>+Anx16AMN!N17+Anx16AME!N17*Disponible!$B$110</f>
        <v>3941803.75</v>
      </c>
      <c r="P17" s="241">
        <f t="shared" si="1"/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</row>
    <row r="18" spans="1:98" s="53" customFormat="1" ht="16.5">
      <c r="A18" s="56" t="s">
        <v>160</v>
      </c>
      <c r="B18" s="51" t="s">
        <v>148</v>
      </c>
      <c r="C18" s="138">
        <f>ROUND(Anx16AMN!C18+Anx16AME!C18*Disponible!$B$110,2)</f>
        <v>725454.03</v>
      </c>
      <c r="D18" s="138">
        <f>ROUND(Anx16AMN!D18+Anx16AME!D18*Disponible!$B$110,2)</f>
        <v>798168.56</v>
      </c>
      <c r="E18" s="138">
        <f>ROUND(Anx16AMN!E18+Anx16AME!E18*Disponible!$B$110,2)</f>
        <v>740914.28</v>
      </c>
      <c r="F18" s="256">
        <f>ROUND(Anx16AMN!F18+Anx16AME!F18*Disponible!$B$110,2)</f>
        <v>793952.67</v>
      </c>
      <c r="G18" s="256">
        <f>ROUND(Anx16AMN!G18+Anx16AME!G18*Disponible!$B$110,2)</f>
        <v>740884.07</v>
      </c>
      <c r="H18" s="256">
        <f>ROUND(Anx16AMN!H18+Anx16AME!H18*Disponible!$B$110,2)</f>
        <v>892612.12</v>
      </c>
      <c r="I18" s="256">
        <f>ROUND(Anx16AMN!I18+Anx16AME!I18*Disponible!$B$110,2)</f>
        <v>2424465</v>
      </c>
      <c r="J18" s="256">
        <f>ROUND(Anx16AMN!J18+Anx16AME!J18*Disponible!$B$110,2)</f>
        <v>2612097.08</v>
      </c>
      <c r="K18" s="256">
        <f>ROUND(Anx16AMN!K18+Anx16AME!K18*Disponible!$B$110,2)</f>
        <v>7662411.8899999997</v>
      </c>
      <c r="L18" s="256">
        <f>ROUND(Anx16AMN!L18+Anx16AME!L18*Disponible!$B$110,2)</f>
        <v>14358958.58</v>
      </c>
      <c r="M18" s="256">
        <f>ROUND(Anx16AMN!M18+Anx16AME!M18*Disponible!$B$110,2)</f>
        <v>3981130.26</v>
      </c>
      <c r="N18" s="178">
        <f t="shared" si="0"/>
        <v>35731048.539999999</v>
      </c>
      <c r="O18" s="241">
        <f>+Anx16AMN!N18+Anx16AME!N18*Disponible!$B$110</f>
        <v>35731048.554839998</v>
      </c>
      <c r="P18" s="241">
        <f t="shared" si="1"/>
        <v>1.4839999377727509E-2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</row>
    <row r="19" spans="1:98" s="53" customFormat="1" ht="16.5">
      <c r="A19" s="57" t="s">
        <v>171</v>
      </c>
      <c r="B19" s="51" t="s">
        <v>532</v>
      </c>
      <c r="C19" s="138">
        <f>ROUND(Anx16AMN!C19+Anx16AME!C19*Disponible!$B$110,2)</f>
        <v>148594.20000000001</v>
      </c>
      <c r="D19" s="138">
        <f>ROUND(Anx16AMN!D19+Anx16AME!D19*Disponible!$B$110,2)</f>
        <v>0</v>
      </c>
      <c r="E19" s="138">
        <f>ROUND(Anx16AMN!E19+Anx16AME!E19*Disponible!$B$110,2)</f>
        <v>0</v>
      </c>
      <c r="F19" s="256">
        <f>ROUND(Anx16AMN!F19+Anx16AME!F19*Disponible!$B$110,2)</f>
        <v>0</v>
      </c>
      <c r="G19" s="256">
        <f>ROUND(Anx16AMN!G19+Anx16AME!G19*Disponible!$B$110,2)</f>
        <v>0</v>
      </c>
      <c r="H19" s="256">
        <f>ROUND(Anx16AMN!H19+Anx16AME!H19*Disponible!$B$110,2)</f>
        <v>0</v>
      </c>
      <c r="I19" s="256">
        <f>ROUND(Anx16AMN!I19+Anx16AME!I19*Disponible!$B$110,2)</f>
        <v>0</v>
      </c>
      <c r="J19" s="256">
        <f>ROUND(Anx16AMN!J19+Anx16AME!J19*Disponible!$B$110,2)</f>
        <v>0</v>
      </c>
      <c r="K19" s="256">
        <f>ROUND(Anx16AMN!K19+Anx16AME!K19*Disponible!$B$110,2)</f>
        <v>0</v>
      </c>
      <c r="L19" s="256">
        <f>ROUND(Anx16AMN!L19+Anx16AME!L19*Disponible!$B$110,2)</f>
        <v>0</v>
      </c>
      <c r="M19" s="256">
        <f>ROUND(Anx16AMN!M19+Anx16AME!M19*Disponible!$B$110,2)</f>
        <v>0</v>
      </c>
      <c r="N19" s="178">
        <f t="shared" si="0"/>
        <v>148594.20000000001</v>
      </c>
      <c r="O19" s="241">
        <f>+Anx16AMN!N19+Anx16AME!N19*Disponible!$B$110</f>
        <v>148594.20000000001</v>
      </c>
      <c r="P19" s="241">
        <f t="shared" si="1"/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</row>
    <row r="20" spans="1:98" s="53" customFormat="1" ht="16.5">
      <c r="A20" s="57">
        <v>140810</v>
      </c>
      <c r="B20" s="51" t="s">
        <v>533</v>
      </c>
      <c r="C20" s="138">
        <f>ROUND(Anx16AMN!C20+Anx16AME!C20*Disponible!$B$110,2)</f>
        <v>0</v>
      </c>
      <c r="D20" s="138">
        <f>ROUND(Anx16AMN!D20+Anx16AME!D20*Disponible!$B$110,2)</f>
        <v>0</v>
      </c>
      <c r="E20" s="138">
        <f>ROUND(Anx16AMN!E20+Anx16AME!E20*Disponible!$B$110,2)</f>
        <v>0</v>
      </c>
      <c r="F20" s="256">
        <f>ROUND(Anx16AMN!F20+Anx16AME!F20*Disponible!$B$110,2)</f>
        <v>0</v>
      </c>
      <c r="G20" s="256">
        <f>ROUND(Anx16AMN!G20+Anx16AME!G20*Disponible!$B$110,2)</f>
        <v>0</v>
      </c>
      <c r="H20" s="256">
        <f>ROUND(Anx16AMN!H20+Anx16AME!H20*Disponible!$B$110,2)</f>
        <v>0</v>
      </c>
      <c r="I20" s="256">
        <f>ROUND(Anx16AMN!I20+Anx16AME!I20*Disponible!$B$110,2)</f>
        <v>0</v>
      </c>
      <c r="J20" s="256">
        <f>ROUND(Anx16AMN!J20+Anx16AME!J20*Disponible!$B$110,2)</f>
        <v>0</v>
      </c>
      <c r="K20" s="256">
        <f>ROUND(Anx16AMN!K20+Anx16AME!K20*Disponible!$B$110,2)</f>
        <v>0</v>
      </c>
      <c r="L20" s="256">
        <f>ROUND(Anx16AMN!L20+Anx16AME!L20*Disponible!$B$110,2)</f>
        <v>0</v>
      </c>
      <c r="M20" s="256">
        <f>ROUND(Anx16AMN!M20+Anx16AME!M20*Disponible!$B$110,2)</f>
        <v>0</v>
      </c>
      <c r="N20" s="178">
        <f t="shared" si="0"/>
        <v>0</v>
      </c>
      <c r="O20" s="241">
        <f>+Anx16AMN!N20+Anx16AME!N20*Disponible!$B$110</f>
        <v>0</v>
      </c>
      <c r="P20" s="241">
        <f t="shared" si="1"/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</row>
    <row r="21" spans="1:98" s="53" customFormat="1" ht="16.5">
      <c r="A21" s="57">
        <v>140811</v>
      </c>
      <c r="B21" s="51" t="s">
        <v>534</v>
      </c>
      <c r="C21" s="138">
        <f>ROUND(Anx16AMN!C21+Anx16AME!C21*Disponible!$B$110,2)</f>
        <v>33728.54</v>
      </c>
      <c r="D21" s="138">
        <f>ROUND(Anx16AMN!D21+Anx16AME!D21*Disponible!$B$110,2)</f>
        <v>0</v>
      </c>
      <c r="E21" s="138">
        <f>ROUND(Anx16AMN!E21+Anx16AME!E21*Disponible!$B$110,2)</f>
        <v>0</v>
      </c>
      <c r="F21" s="256">
        <f>ROUND(Anx16AMN!F21+Anx16AME!F21*Disponible!$B$110,2)</f>
        <v>0</v>
      </c>
      <c r="G21" s="256">
        <f>ROUND(Anx16AMN!G21+Anx16AME!G21*Disponible!$B$110,2)</f>
        <v>0</v>
      </c>
      <c r="H21" s="256">
        <f>ROUND(Anx16AMN!H21+Anx16AME!H21*Disponible!$B$110,2)</f>
        <v>0</v>
      </c>
      <c r="I21" s="256">
        <f>ROUND(Anx16AMN!I21+Anx16AME!I21*Disponible!$B$110,2)</f>
        <v>0</v>
      </c>
      <c r="J21" s="256">
        <f>ROUND(Anx16AMN!J21+Anx16AME!J21*Disponible!$B$110,2)</f>
        <v>0</v>
      </c>
      <c r="K21" s="256">
        <f>ROUND(Anx16AMN!K21+Anx16AME!K21*Disponible!$B$110,2)</f>
        <v>0</v>
      </c>
      <c r="L21" s="256">
        <f>ROUND(Anx16AMN!L21+Anx16AME!L21*Disponible!$B$110,2)</f>
        <v>0</v>
      </c>
      <c r="M21" s="256">
        <f>ROUND(Anx16AMN!M21+Anx16AME!M21*Disponible!$B$110,2)</f>
        <v>0</v>
      </c>
      <c r="N21" s="178">
        <f t="shared" si="0"/>
        <v>33728.54</v>
      </c>
      <c r="O21" s="241">
        <f>+Anx16AMN!N21+Anx16AME!N21*Disponible!$B$110</f>
        <v>33728.54</v>
      </c>
      <c r="P21" s="241">
        <f t="shared" si="1"/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</row>
    <row r="22" spans="1:98" s="53" customFormat="1" ht="16.5">
      <c r="A22" s="57">
        <v>140812</v>
      </c>
      <c r="B22" s="51" t="s">
        <v>535</v>
      </c>
      <c r="C22" s="138">
        <f>ROUND(Anx16AMN!C22+Anx16AME!C22*Disponible!$B$110,2)</f>
        <v>47814.75</v>
      </c>
      <c r="D22" s="138">
        <f>ROUND(Anx16AMN!D22+Anx16AME!D22*Disponible!$B$110,2)</f>
        <v>0</v>
      </c>
      <c r="E22" s="138">
        <f>ROUND(Anx16AMN!E22+Anx16AME!E22*Disponible!$B$110,2)</f>
        <v>0</v>
      </c>
      <c r="F22" s="256">
        <f>ROUND(Anx16AMN!F22+Anx16AME!F22*Disponible!$B$110,2)</f>
        <v>0</v>
      </c>
      <c r="G22" s="256">
        <f>ROUND(Anx16AMN!G22+Anx16AME!G22*Disponible!$B$110,2)</f>
        <v>0</v>
      </c>
      <c r="H22" s="256">
        <f>ROUND(Anx16AMN!H22+Anx16AME!H22*Disponible!$B$110,2)</f>
        <v>0</v>
      </c>
      <c r="I22" s="256">
        <f>ROUND(Anx16AMN!I22+Anx16AME!I22*Disponible!$B$110,2)</f>
        <v>0</v>
      </c>
      <c r="J22" s="256">
        <f>ROUND(Anx16AMN!J22+Anx16AME!J22*Disponible!$B$110,2)</f>
        <v>0</v>
      </c>
      <c r="K22" s="256">
        <f>ROUND(Anx16AMN!K22+Anx16AME!K22*Disponible!$B$110,2)</f>
        <v>0</v>
      </c>
      <c r="L22" s="256">
        <f>ROUND(Anx16AMN!L22+Anx16AME!L22*Disponible!$B$110,2)</f>
        <v>0</v>
      </c>
      <c r="M22" s="256">
        <f>ROUND(Anx16AMN!M22+Anx16AME!M22*Disponible!$B$110,2)</f>
        <v>0</v>
      </c>
      <c r="N22" s="178">
        <f t="shared" si="0"/>
        <v>47814.75</v>
      </c>
      <c r="O22" s="241">
        <f>+Anx16AMN!N22+Anx16AME!N22*Disponible!$B$110</f>
        <v>47814.746779999994</v>
      </c>
      <c r="P22" s="241">
        <f t="shared" si="1"/>
        <v>-3.2200000059674494E-3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</row>
    <row r="23" spans="1:98" s="53" customFormat="1" ht="16.5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11814.98</v>
      </c>
      <c r="F23" s="255">
        <f t="shared" si="4"/>
        <v>16850.48</v>
      </c>
      <c r="G23" s="255">
        <f t="shared" si="4"/>
        <v>16902.439999999999</v>
      </c>
      <c r="H23" s="255">
        <f t="shared" si="4"/>
        <v>22301.49</v>
      </c>
      <c r="I23" s="255">
        <f t="shared" si="4"/>
        <v>68315.960000000006</v>
      </c>
      <c r="J23" s="255">
        <f t="shared" si="4"/>
        <v>70630.100000000006</v>
      </c>
      <c r="K23" s="255">
        <f t="shared" si="4"/>
        <v>305926.15000000002</v>
      </c>
      <c r="L23" s="255">
        <f t="shared" si="4"/>
        <v>199944.67</v>
      </c>
      <c r="M23" s="255">
        <f t="shared" si="4"/>
        <v>0</v>
      </c>
      <c r="N23" s="178">
        <f t="shared" si="0"/>
        <v>712686.27</v>
      </c>
      <c r="O23" s="241">
        <f>+Anx16AMN!N23+Anx16AME!N23*Disponible!$B$110</f>
        <v>712686.28021</v>
      </c>
      <c r="P23" s="241">
        <f t="shared" si="1"/>
        <v>1.0209999978542328E-2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</row>
    <row r="24" spans="1:98" s="53" customFormat="1" ht="16.5">
      <c r="A24" s="56">
        <v>140410</v>
      </c>
      <c r="B24" s="51" t="s">
        <v>146</v>
      </c>
      <c r="C24" s="138">
        <f>ROUND(Anx16AMN!C24+Anx16AME!C24*Disponible!$B$110,2)</f>
        <v>0</v>
      </c>
      <c r="D24" s="138">
        <f>ROUND(Anx16AMN!D24+Anx16AME!D24*Disponible!$B$110,2)</f>
        <v>0</v>
      </c>
      <c r="E24" s="138">
        <f>ROUND(Anx16AMN!E24+Anx16AME!E24*Disponible!$B$110,2)</f>
        <v>0</v>
      </c>
      <c r="F24" s="256">
        <f>ROUND(Anx16AMN!F24+Anx16AME!F24*Disponible!$B$110,2)</f>
        <v>0</v>
      </c>
      <c r="G24" s="256">
        <f>ROUND(Anx16AMN!G24+Anx16AME!G24*Disponible!$B$110,2)</f>
        <v>0</v>
      </c>
      <c r="H24" s="256">
        <f>ROUND(Anx16AMN!H24+Anx16AME!H24*Disponible!$B$110,2)</f>
        <v>0</v>
      </c>
      <c r="I24" s="256">
        <f>ROUND(Anx16AMN!I24+Anx16AME!I24*Disponible!$B$110,2)</f>
        <v>0</v>
      </c>
      <c r="J24" s="256">
        <f>ROUND(Anx16AMN!J24+Anx16AME!J24*Disponible!$B$110,2)</f>
        <v>0</v>
      </c>
      <c r="K24" s="256">
        <f>ROUND(Anx16AMN!K24+Anx16AME!K24*Disponible!$B$110,2)</f>
        <v>0</v>
      </c>
      <c r="L24" s="256">
        <f>ROUND(Anx16AMN!L24+Anx16AME!L24*Disponible!$B$110,2)</f>
        <v>0</v>
      </c>
      <c r="M24" s="256">
        <f>ROUND(Anx16AMN!M24+Anx16AME!M24*Disponible!$B$110,2)</f>
        <v>0</v>
      </c>
      <c r="N24" s="178">
        <f t="shared" si="0"/>
        <v>0</v>
      </c>
      <c r="O24" s="241">
        <f>+Anx16AMN!N24+Anx16AME!N24*Disponible!$B$110</f>
        <v>0</v>
      </c>
      <c r="P24" s="241">
        <f t="shared" si="1"/>
        <v>0</v>
      </c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</row>
    <row r="25" spans="1:98" s="53" customFormat="1" ht="16.5">
      <c r="A25" s="56" t="s">
        <v>545</v>
      </c>
      <c r="B25" s="51" t="s">
        <v>540</v>
      </c>
      <c r="C25" s="138">
        <f>ROUND(Anx16AMN!C25+Anx16AME!C25*Disponible!$B$110,2)</f>
        <v>0</v>
      </c>
      <c r="D25" s="138">
        <f>ROUND(Anx16AMN!D25+Anx16AME!D25*Disponible!$B$110,2)</f>
        <v>0</v>
      </c>
      <c r="E25" s="138">
        <f>ROUND(Anx16AMN!E25+Anx16AME!E25*Disponible!$B$110,2)</f>
        <v>11814.98</v>
      </c>
      <c r="F25" s="256">
        <f>ROUND(Anx16AMN!F25+Anx16AME!F25*Disponible!$B$110,2)</f>
        <v>16850.48</v>
      </c>
      <c r="G25" s="256">
        <f>ROUND(Anx16AMN!G25+Anx16AME!G25*Disponible!$B$110,2)</f>
        <v>16902.439999999999</v>
      </c>
      <c r="H25" s="256">
        <f>ROUND(Anx16AMN!H25+Anx16AME!H25*Disponible!$B$110,2)</f>
        <v>22301.49</v>
      </c>
      <c r="I25" s="256">
        <f>ROUND(Anx16AMN!I25+Anx16AME!I25*Disponible!$B$110,2)</f>
        <v>68315.960000000006</v>
      </c>
      <c r="J25" s="256">
        <f>ROUND(Anx16AMN!J25+Anx16AME!J25*Disponible!$B$110,2)</f>
        <v>70630.100000000006</v>
      </c>
      <c r="K25" s="256">
        <f>ROUND(Anx16AMN!K25+Anx16AME!K25*Disponible!$B$110,2)</f>
        <v>305926.15000000002</v>
      </c>
      <c r="L25" s="256">
        <f>ROUND(Anx16AMN!L25+Anx16AME!L25*Disponible!$B$110,2)</f>
        <v>199944.67</v>
      </c>
      <c r="M25" s="256">
        <f>ROUND(Anx16AMN!M25+Anx16AME!M25*Disponible!$B$110,2)</f>
        <v>0</v>
      </c>
      <c r="N25" s="178">
        <f t="shared" si="0"/>
        <v>712686.27</v>
      </c>
      <c r="O25" s="241">
        <f>+Anx16AMN!N25+Anx16AME!N25*Disponible!$B$110</f>
        <v>712686.28021</v>
      </c>
      <c r="P25" s="241">
        <f t="shared" si="1"/>
        <v>1.0209999978542328E-2</v>
      </c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</row>
    <row r="26" spans="1:98" s="53" customFormat="1" ht="18.75" customHeight="1">
      <c r="A26" s="319"/>
      <c r="B26" s="51" t="s">
        <v>544</v>
      </c>
      <c r="C26" s="138">
        <f>ROUND(Anx16AMN!C26+Anx16AME!C26*Disponible!$B$110,2)</f>
        <v>0</v>
      </c>
      <c r="D26" s="138">
        <f>ROUND(Anx16AMN!D26+Anx16AME!D26*Disponible!$B$110,2)</f>
        <v>0</v>
      </c>
      <c r="E26" s="138">
        <f>ROUND(Anx16AMN!E26+Anx16AME!E26*Disponible!$B$110,2)</f>
        <v>0</v>
      </c>
      <c r="F26" s="256">
        <f>ROUND(Anx16AMN!F26+Anx16AME!F26*Disponible!$B$110,2)</f>
        <v>0</v>
      </c>
      <c r="G26" s="256">
        <f>ROUND(Anx16AMN!G26+Anx16AME!G26*Disponible!$B$110,2)</f>
        <v>0</v>
      </c>
      <c r="H26" s="256">
        <f>ROUND(Anx16AMN!H26+Anx16AME!H26*Disponible!$B$110,2)</f>
        <v>0</v>
      </c>
      <c r="I26" s="256">
        <f>ROUND(Anx16AMN!I26+Anx16AME!I26*Disponible!$B$110,2)</f>
        <v>0</v>
      </c>
      <c r="J26" s="256">
        <f>ROUND(Anx16AMN!J26+Anx16AME!J26*Disponible!$B$110,2)</f>
        <v>0</v>
      </c>
      <c r="K26" s="256">
        <f>ROUND(Anx16AMN!K26+Anx16AME!K26*Disponible!$B$110,2)</f>
        <v>0</v>
      </c>
      <c r="L26" s="256">
        <f>ROUND(Anx16AMN!L26+Anx16AME!L26*Disponible!$B$110,2)</f>
        <v>0</v>
      </c>
      <c r="M26" s="256">
        <f>ROUND(Anx16AMN!M26+Anx16AME!M26*Disponible!$B$110,2)</f>
        <v>0</v>
      </c>
      <c r="N26" s="178">
        <f t="shared" si="0"/>
        <v>0</v>
      </c>
      <c r="O26" s="241">
        <f>+Anx16AMN!N26+Anx16AME!N26*Disponible!$B$110</f>
        <v>0</v>
      </c>
      <c r="P26" s="241">
        <f t="shared" si="1"/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</row>
    <row r="27" spans="1:98" s="30" customFormat="1" ht="18" customHeight="1">
      <c r="A27" s="36" t="s">
        <v>108</v>
      </c>
      <c r="B27" s="35" t="s">
        <v>30</v>
      </c>
      <c r="C27" s="61">
        <f>+C28+C33</f>
        <v>9901216.3899999987</v>
      </c>
      <c r="D27" s="61">
        <f>+D28+D33</f>
        <v>10530642.200000001</v>
      </c>
      <c r="E27" s="61">
        <f t="shared" ref="E27:L27" si="5">+E28+E33</f>
        <v>10549304.290000001</v>
      </c>
      <c r="F27" s="178">
        <f t="shared" si="5"/>
        <v>10661691.640000001</v>
      </c>
      <c r="G27" s="178">
        <f t="shared" si="5"/>
        <v>10507479.23</v>
      </c>
      <c r="H27" s="178">
        <f t="shared" si="5"/>
        <v>10104098.52</v>
      </c>
      <c r="I27" s="178">
        <f>+I28+I33</f>
        <v>26857159.379999999</v>
      </c>
      <c r="J27" s="178">
        <f t="shared" si="5"/>
        <v>21306093.780000001</v>
      </c>
      <c r="K27" s="178">
        <f t="shared" si="5"/>
        <v>50445073.390000001</v>
      </c>
      <c r="L27" s="178">
        <f t="shared" si="5"/>
        <v>40827543.899999999</v>
      </c>
      <c r="M27" s="178">
        <f>+M28+M33</f>
        <v>4239095.3499999996</v>
      </c>
      <c r="N27" s="178">
        <f>SUM(C27:M27)</f>
        <v>205929398.06999999</v>
      </c>
      <c r="O27" s="241">
        <f>ROUND(Anx16AMN!N27+Anx16AME!N27*Disponible!$B$110,2)</f>
        <v>205929398.09</v>
      </c>
      <c r="P27" s="241">
        <f t="shared" si="1"/>
        <v>2.000001072883606E-2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</row>
    <row r="28" spans="1:98" s="53" customFormat="1" ht="15" customHeight="1">
      <c r="A28" s="52"/>
      <c r="B28" s="50" t="s">
        <v>144</v>
      </c>
      <c r="C28" s="63">
        <f>SUM(C29:C32)</f>
        <v>9757557.8599999994</v>
      </c>
      <c r="D28" s="63">
        <f>SUM(D29:D32)</f>
        <v>10411363.640000001</v>
      </c>
      <c r="E28" s="63">
        <f t="shared" ref="E28:M28" si="6">SUM(E29:E32)</f>
        <v>10423274.08</v>
      </c>
      <c r="F28" s="255">
        <f t="shared" si="6"/>
        <v>10522380.210000001</v>
      </c>
      <c r="G28" s="255">
        <f t="shared" si="6"/>
        <v>10369933.02</v>
      </c>
      <c r="H28" s="255">
        <f t="shared" si="6"/>
        <v>9956666.9499999993</v>
      </c>
      <c r="I28" s="255">
        <f t="shared" si="6"/>
        <v>26367189.079999998</v>
      </c>
      <c r="J28" s="255">
        <f t="shared" si="6"/>
        <v>20768260.68</v>
      </c>
      <c r="K28" s="255">
        <f t="shared" si="6"/>
        <v>48314312.32</v>
      </c>
      <c r="L28" s="255">
        <f t="shared" si="6"/>
        <v>36691345.469999999</v>
      </c>
      <c r="M28" s="255">
        <f t="shared" si="6"/>
        <v>3370549.79</v>
      </c>
      <c r="N28" s="178">
        <f t="shared" si="0"/>
        <v>196952833.09999999</v>
      </c>
      <c r="O28" s="241">
        <f>+Anx16AMN!N28+Anx16AME!N28*Disponible!$B$110</f>
        <v>196952833.10703999</v>
      </c>
      <c r="P28" s="241">
        <f t="shared" si="1"/>
        <v>7.0399940013885498E-3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</row>
    <row r="29" spans="1:98" s="53" customFormat="1" ht="17.25" customHeight="1">
      <c r="A29" s="56" t="s">
        <v>161</v>
      </c>
      <c r="B29" s="51" t="s">
        <v>150</v>
      </c>
      <c r="C29" s="138">
        <f>ROUND(Anx16AMN!C29+Anx16AME!C29*Disponible!$B$110,2)</f>
        <v>5216326.0199999996</v>
      </c>
      <c r="D29" s="138">
        <f>ROUND(Anx16AMN!D29+Anx16AME!D29*Disponible!$B$110,2)</f>
        <v>5584410.5599999996</v>
      </c>
      <c r="E29" s="138">
        <f>ROUND(Anx16AMN!E29+Anx16AME!E29*Disponible!$B$110,2)</f>
        <v>5709132.9800000004</v>
      </c>
      <c r="F29" s="256">
        <f>ROUND(Anx16AMN!F29+Anx16AME!F29*Disponible!$B$110,2)</f>
        <v>5794146.4100000001</v>
      </c>
      <c r="G29" s="256">
        <f>ROUND(Anx16AMN!G29+Anx16AME!G29*Disponible!$B$110,2)</f>
        <v>5823465.7599999998</v>
      </c>
      <c r="H29" s="256">
        <f>ROUND(Anx16AMN!H29+Anx16AME!H29*Disponible!$B$110,2)</f>
        <v>5561464.1799999997</v>
      </c>
      <c r="I29" s="256">
        <f>ROUND(Anx16AMN!I29+Anx16AME!I29*Disponible!$B$110,2)</f>
        <v>15905722.800000001</v>
      </c>
      <c r="J29" s="256">
        <f>ROUND(Anx16AMN!J29+Anx16AME!J29*Disponible!$B$110,2)</f>
        <v>13831651.08</v>
      </c>
      <c r="K29" s="256">
        <f>ROUND(Anx16AMN!K29+Anx16AME!K29*Disponible!$B$110,2)</f>
        <v>37712823.939999998</v>
      </c>
      <c r="L29" s="256">
        <f>ROUND(Anx16AMN!L29+Anx16AME!L29*Disponible!$B$110,2)</f>
        <v>32430120.489999998</v>
      </c>
      <c r="M29" s="256">
        <f>ROUND(Anx16AMN!M29+Anx16AME!M29*Disponible!$B$110,2)</f>
        <v>3002752</v>
      </c>
      <c r="N29" s="178">
        <f t="shared" si="0"/>
        <v>136572016.21999997</v>
      </c>
      <c r="O29" s="241">
        <f>+Anx16AMN!N29+Anx16AME!N29*Disponible!$B$110</f>
        <v>136572016.22439</v>
      </c>
      <c r="P29" s="241">
        <f t="shared" si="1"/>
        <v>4.390031099319458E-3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</row>
    <row r="30" spans="1:98" s="53" customFormat="1" ht="17.25" customHeight="1">
      <c r="A30" s="56" t="s">
        <v>156</v>
      </c>
      <c r="B30" s="51" t="s">
        <v>151</v>
      </c>
      <c r="C30" s="138">
        <f>ROUND(Anx16AMN!C30+Anx16AME!C30*Disponible!$B$110,2)</f>
        <v>4244597.5</v>
      </c>
      <c r="D30" s="138">
        <f>ROUND(Anx16AMN!D30+Anx16AME!D30*Disponible!$B$110,2)</f>
        <v>4826953.08</v>
      </c>
      <c r="E30" s="138">
        <f>ROUND(Anx16AMN!E30+Anx16AME!E30*Disponible!$B$110,2)</f>
        <v>4714141.0999999996</v>
      </c>
      <c r="F30" s="256">
        <f>ROUND(Anx16AMN!F30+Anx16AME!F30*Disponible!$B$110,2)</f>
        <v>4728233.8</v>
      </c>
      <c r="G30" s="256">
        <f>ROUND(Anx16AMN!G30+Anx16AME!G30*Disponible!$B$110,2)</f>
        <v>4546467.26</v>
      </c>
      <c r="H30" s="256">
        <f>ROUND(Anx16AMN!H30+Anx16AME!H30*Disponible!$B$110,2)</f>
        <v>4395202.7699999996</v>
      </c>
      <c r="I30" s="256">
        <f>ROUND(Anx16AMN!I30+Anx16AME!I30*Disponible!$B$110,2)</f>
        <v>10461466.279999999</v>
      </c>
      <c r="J30" s="256">
        <f>ROUND(Anx16AMN!J30+Anx16AME!J30*Disponible!$B$110,2)</f>
        <v>6936609.5999999996</v>
      </c>
      <c r="K30" s="256">
        <f>ROUND(Anx16AMN!K30+Anx16AME!K30*Disponible!$B$110,2)</f>
        <v>10601488.380000001</v>
      </c>
      <c r="L30" s="256">
        <f>ROUND(Anx16AMN!L30+Anx16AME!L30*Disponible!$B$110,2)</f>
        <v>4261224.9800000004</v>
      </c>
      <c r="M30" s="256">
        <f>ROUND(Anx16AMN!M30+Anx16AME!M30*Disponible!$B$110,2)</f>
        <v>367797.79</v>
      </c>
      <c r="N30" s="178">
        <f t="shared" si="0"/>
        <v>60084182.539999999</v>
      </c>
      <c r="O30" s="241">
        <f>+Anx16AMN!N30+Anx16AME!N30*Disponible!$B$110</f>
        <v>60084182.539999999</v>
      </c>
      <c r="P30" s="241">
        <f t="shared" si="1"/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</row>
    <row r="31" spans="1:98" s="53" customFormat="1" ht="17.25" customHeight="1">
      <c r="A31" s="57" t="s">
        <v>167</v>
      </c>
      <c r="B31" s="51" t="s">
        <v>536</v>
      </c>
      <c r="C31" s="138">
        <f>ROUND(Anx16AMN!C31+Anx16AME!C31*Disponible!$B$110,2)</f>
        <v>160794.20000000001</v>
      </c>
      <c r="D31" s="138">
        <f>ROUND(Anx16AMN!D31+Anx16AME!D31*Disponible!$B$110,2)</f>
        <v>0</v>
      </c>
      <c r="E31" s="138">
        <f>ROUND(Anx16AMN!E31+Anx16AME!E31*Disponible!$B$110,2)</f>
        <v>0</v>
      </c>
      <c r="F31" s="138">
        <f>ROUND(Anx16AMN!F31+Anx16AME!F31*Disponible!$B$110,2)</f>
        <v>0</v>
      </c>
      <c r="G31" s="138">
        <f>ROUND(Anx16AMN!G31+Anx16AME!G31*Disponible!$B$110,2)</f>
        <v>0</v>
      </c>
      <c r="H31" s="256">
        <f>ROUND(Anx16AMN!H31+Anx16AME!H31*Disponible!$B$110,2)</f>
        <v>0</v>
      </c>
      <c r="I31" s="256">
        <f>ROUND(Anx16AMN!I31+Anx16AME!I31*Disponible!$B$110,2)</f>
        <v>0</v>
      </c>
      <c r="J31" s="256">
        <f>ROUND(Anx16AMN!J31+Anx16AME!J31*Disponible!$B$110,2)</f>
        <v>0</v>
      </c>
      <c r="K31" s="256">
        <f>ROUND(Anx16AMN!K31+Anx16AME!K31*Disponible!$B$110,2)</f>
        <v>0</v>
      </c>
      <c r="L31" s="256">
        <f>ROUND(Anx16AMN!L31+Anx16AME!L31*Disponible!$B$110,2)</f>
        <v>0</v>
      </c>
      <c r="M31" s="256">
        <f>ROUND(Anx16AMN!M31+Anx16AME!M31*Disponible!$B$110,2)</f>
        <v>0</v>
      </c>
      <c r="N31" s="178">
        <f t="shared" si="0"/>
        <v>160794.20000000001</v>
      </c>
      <c r="O31" s="241">
        <f>+Anx16AMN!N31+Anx16AME!N31*Disponible!$B$110</f>
        <v>160794.20000000001</v>
      </c>
      <c r="P31" s="241">
        <f t="shared" si="1"/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</row>
    <row r="32" spans="1:98" s="53" customFormat="1" ht="17.25" customHeight="1">
      <c r="A32" s="57">
        <v>140813</v>
      </c>
      <c r="B32" s="51" t="s">
        <v>537</v>
      </c>
      <c r="C32" s="138">
        <f>ROUND(Anx16AMN!C32+Anx16AME!C32*Disponible!$B$110,2)</f>
        <v>135840.14000000001</v>
      </c>
      <c r="D32" s="138">
        <f>ROUND(Anx16AMN!D32+Anx16AME!D32*Disponible!$B$110,2)</f>
        <v>0</v>
      </c>
      <c r="E32" s="138">
        <f>ROUND(Anx16AMN!E32+Anx16AME!E32*Disponible!$B$110,2)</f>
        <v>0</v>
      </c>
      <c r="F32" s="256">
        <f>ROUND(Anx16AMN!F32+Anx16AME!F32*Disponible!$B$110,2)</f>
        <v>0</v>
      </c>
      <c r="G32" s="256">
        <f>ROUND(Anx16AMN!G32+Anx16AME!G32*Disponible!$B$110,2)</f>
        <v>0</v>
      </c>
      <c r="H32" s="256">
        <f>ROUND(Anx16AMN!H32+Anx16AME!H32*Disponible!$B$110,2)</f>
        <v>0</v>
      </c>
      <c r="I32" s="256">
        <f>ROUND(Anx16AMN!I32+Anx16AME!I32*Disponible!$B$110,2)</f>
        <v>0</v>
      </c>
      <c r="J32" s="256">
        <f>ROUND(Anx16AMN!J32+Anx16AME!J32*Disponible!$B$110,2)</f>
        <v>0</v>
      </c>
      <c r="K32" s="256">
        <f>ROUND(Anx16AMN!K32+Anx16AME!K32*Disponible!$B$110,2)</f>
        <v>0</v>
      </c>
      <c r="L32" s="256">
        <f>ROUND(Anx16AMN!L32+Anx16AME!L32*Disponible!$B$110,2)</f>
        <v>0</v>
      </c>
      <c r="M32" s="256">
        <f>ROUND(Anx16AMN!M32+Anx16AME!M32*Disponible!$B$110,2)</f>
        <v>0</v>
      </c>
      <c r="N32" s="178">
        <f t="shared" si="0"/>
        <v>135840.14000000001</v>
      </c>
      <c r="O32" s="241">
        <f>+Anx16AMN!N32+Anx16AME!N32*Disponible!$B$110</f>
        <v>135840.14264999999</v>
      </c>
      <c r="P32" s="241">
        <f t="shared" si="1"/>
        <v>2.6499999803490937E-3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</row>
    <row r="33" spans="1:98" s="53" customFormat="1" ht="18" customHeight="1">
      <c r="A33" s="52"/>
      <c r="B33" s="50" t="s">
        <v>149</v>
      </c>
      <c r="C33" s="63">
        <f>SUM(C34:C35)</f>
        <v>143658.53</v>
      </c>
      <c r="D33" s="63">
        <f t="shared" ref="D33:M33" si="7">SUM(D34:D35)</f>
        <v>119278.56</v>
      </c>
      <c r="E33" s="63">
        <f t="shared" si="7"/>
        <v>126030.21</v>
      </c>
      <c r="F33" s="255">
        <f t="shared" si="7"/>
        <v>139311.43</v>
      </c>
      <c r="G33" s="255">
        <f t="shared" si="7"/>
        <v>137546.21</v>
      </c>
      <c r="H33" s="255">
        <f t="shared" si="7"/>
        <v>147431.57</v>
      </c>
      <c r="I33" s="255">
        <f t="shared" si="7"/>
        <v>489970.3</v>
      </c>
      <c r="J33" s="255">
        <f t="shared" si="7"/>
        <v>537833.1</v>
      </c>
      <c r="K33" s="255">
        <f t="shared" si="7"/>
        <v>2130761.0699999998</v>
      </c>
      <c r="L33" s="255">
        <f t="shared" si="7"/>
        <v>4136198.43</v>
      </c>
      <c r="M33" s="255">
        <f t="shared" si="7"/>
        <v>868545.56</v>
      </c>
      <c r="N33" s="178">
        <f t="shared" si="0"/>
        <v>8976564.9700000007</v>
      </c>
      <c r="O33" s="241">
        <f>+Anx16AMN!N33+Anx16AME!N33*Disponible!$B$110</f>
        <v>8976564.9779700004</v>
      </c>
      <c r="P33" s="241">
        <f t="shared" si="1"/>
        <v>7.969999685883522E-3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</row>
    <row r="34" spans="1:98" s="53" customFormat="1" ht="18" customHeight="1">
      <c r="A34" s="56" t="s">
        <v>543</v>
      </c>
      <c r="B34" s="51" t="s">
        <v>541</v>
      </c>
      <c r="C34" s="138">
        <f>ROUND(Anx16AMN!C34+Anx16AME!C34*Disponible!$B$110,2)</f>
        <v>143658.53</v>
      </c>
      <c r="D34" s="138">
        <f>ROUND(Anx16AMN!D34+Anx16AME!D34*Disponible!$B$110,2)</f>
        <v>119278.56</v>
      </c>
      <c r="E34" s="138">
        <f>ROUND(Anx16AMN!E34+Anx16AME!E34*Disponible!$B$110,2)</f>
        <v>126030.21</v>
      </c>
      <c r="F34" s="256">
        <f>ROUND(Anx16AMN!F34+Anx16AME!F34*Disponible!$B$110,2)</f>
        <v>139311.43</v>
      </c>
      <c r="G34" s="256">
        <f>ROUND(Anx16AMN!G34+Anx16AME!G34*Disponible!$B$110,2)</f>
        <v>137546.21</v>
      </c>
      <c r="H34" s="256">
        <f>ROUND(Anx16AMN!H34+Anx16AME!H34*Disponible!$B$110,2)</f>
        <v>147431.57</v>
      </c>
      <c r="I34" s="256">
        <f>ROUND(Anx16AMN!I34+Anx16AME!I34*Disponible!$B$110,2)</f>
        <v>489970.3</v>
      </c>
      <c r="J34" s="256">
        <f>ROUND(Anx16AMN!J34+Anx16AME!J34*Disponible!$B$110,2)</f>
        <v>537833.1</v>
      </c>
      <c r="K34" s="256">
        <f>ROUND(Anx16AMN!K34+Anx16AME!K34*Disponible!$B$110,2)</f>
        <v>2130761.0699999998</v>
      </c>
      <c r="L34" s="256">
        <f>ROUND(Anx16AMN!L34+Anx16AME!L34*Disponible!$B$110,2)</f>
        <v>4136198.43</v>
      </c>
      <c r="M34" s="256">
        <f>ROUND(Anx16AMN!M34+Anx16AME!M34*Disponible!$B$110,2)</f>
        <v>868545.56</v>
      </c>
      <c r="N34" s="178">
        <f t="shared" si="0"/>
        <v>8976564.9700000007</v>
      </c>
      <c r="O34" s="241">
        <f>+Anx16AMN!N34+Anx16AME!N34*Disponible!$B$110</f>
        <v>8976564.9779700004</v>
      </c>
      <c r="P34" s="241">
        <f t="shared" si="1"/>
        <v>7.969999685883522E-3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</row>
    <row r="35" spans="1:98" s="53" customFormat="1" ht="18" customHeight="1">
      <c r="A35" s="321"/>
      <c r="B35" s="51" t="s">
        <v>542</v>
      </c>
      <c r="C35" s="138">
        <f>ROUND(Anx16AMN!C35+Anx16AME!C35*Disponible!$B$110,2)</f>
        <v>0</v>
      </c>
      <c r="D35" s="138">
        <f>ROUND(Anx16AMN!D35+Anx16AME!D35*Disponible!$B$110,2)</f>
        <v>0</v>
      </c>
      <c r="E35" s="138">
        <f>ROUND(Anx16AMN!E35+Anx16AME!E35*Disponible!$B$110,2)</f>
        <v>0</v>
      </c>
      <c r="F35" s="256">
        <f>ROUND(Anx16AMN!F35+Anx16AME!F35*Disponible!$B$110,2)</f>
        <v>0</v>
      </c>
      <c r="G35" s="256">
        <f>ROUND(Anx16AMN!G35+Anx16AME!G35*Disponible!$B$110,2)</f>
        <v>0</v>
      </c>
      <c r="H35" s="256">
        <f>ROUND(Anx16AMN!H35+Anx16AME!H35*Disponible!$B$110,2)</f>
        <v>0</v>
      </c>
      <c r="I35" s="256">
        <f>ROUND(Anx16AMN!I35+Anx16AME!I35*Disponible!$B$110,2)</f>
        <v>0</v>
      </c>
      <c r="J35" s="256">
        <f>ROUND(Anx16AMN!J35+Anx16AME!J35*Disponible!$B$110,2)</f>
        <v>0</v>
      </c>
      <c r="K35" s="256">
        <f>ROUND(Anx16AMN!K35+Anx16AME!K35*Disponible!$B$110,2)</f>
        <v>0</v>
      </c>
      <c r="L35" s="256">
        <f>ROUND(Anx16AMN!L35+Anx16AME!L35*Disponible!$B$110,2)</f>
        <v>0</v>
      </c>
      <c r="M35" s="256">
        <f>ROUND(Anx16AMN!M35+Anx16AME!M35*Disponible!$B$110,2)</f>
        <v>0</v>
      </c>
      <c r="N35" s="178">
        <f t="shared" si="0"/>
        <v>0</v>
      </c>
      <c r="O35" s="241">
        <f>+Anx16AMN!N35+Anx16AME!N35*Disponible!$B$110</f>
        <v>0</v>
      </c>
      <c r="P35" s="241">
        <f t="shared" si="1"/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</row>
    <row r="36" spans="1:98" s="30" customFormat="1" ht="18" customHeight="1">
      <c r="A36" s="36" t="s">
        <v>109</v>
      </c>
      <c r="B36" s="35" t="s">
        <v>32</v>
      </c>
      <c r="C36" s="61">
        <f>SUM(C37:C39)</f>
        <v>300765.91000000003</v>
      </c>
      <c r="D36" s="61">
        <f t="shared" ref="D36:M36" si="8">SUM(D37:D39)</f>
        <v>180265.78605</v>
      </c>
      <c r="E36" s="61">
        <f t="shared" si="8"/>
        <v>161289.37</v>
      </c>
      <c r="F36" s="178">
        <f t="shared" si="8"/>
        <v>183059.26</v>
      </c>
      <c r="G36" s="178">
        <f t="shared" si="8"/>
        <v>182406.44</v>
      </c>
      <c r="H36" s="178">
        <f t="shared" si="8"/>
        <v>174197.69999999998</v>
      </c>
      <c r="I36" s="178">
        <f t="shared" si="8"/>
        <v>567146.13</v>
      </c>
      <c r="J36" s="178">
        <f t="shared" si="8"/>
        <v>557638.42000000004</v>
      </c>
      <c r="K36" s="178">
        <f t="shared" si="8"/>
        <v>2261165.77</v>
      </c>
      <c r="L36" s="178">
        <f t="shared" si="8"/>
        <v>5588994.5599999996</v>
      </c>
      <c r="M36" s="178">
        <f t="shared" si="8"/>
        <v>5839786.3700000001</v>
      </c>
      <c r="N36" s="178">
        <f>SUM(C36:M36)</f>
        <v>15996715.716049999</v>
      </c>
      <c r="O36" s="241">
        <f>ROUND(Anx16AMN!N36+Anx16AME!N36*Disponible!$B$110,2)</f>
        <v>15996715.710000001</v>
      </c>
      <c r="P36" s="241">
        <f t="shared" si="1"/>
        <v>-6.0499981045722961E-3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</row>
    <row r="37" spans="1:98" s="53" customFormat="1" ht="18" customHeight="1">
      <c r="A37" s="56" t="s">
        <v>158</v>
      </c>
      <c r="B37" s="54" t="s">
        <v>152</v>
      </c>
      <c r="C37" s="138">
        <f>ROUND(Anx16AMN!C37+Anx16AME!C37*Disponible!$B$110,2)</f>
        <v>162793.39000000001</v>
      </c>
      <c r="D37" s="138">
        <f>Anx16AMN!D37+Anx16AME!D37*Disponible!$B$110</f>
        <v>167620.85605</v>
      </c>
      <c r="E37" s="138">
        <f>Anx16AMN!E37+Anx16AME!E37*Disponible!$B$110</f>
        <v>150696.46</v>
      </c>
      <c r="F37" s="256">
        <f>Anx16AMN!F37+Anx16AME!F37*Disponible!$B$110</f>
        <v>169665.67</v>
      </c>
      <c r="G37" s="256">
        <f>Anx16AMN!G37+Anx16AME!G37*Disponible!$B$110</f>
        <v>169473.13</v>
      </c>
      <c r="H37" s="256">
        <f>Anx16AMN!H37+Anx16AME!H37*Disponible!$B$110</f>
        <v>162770.29999999999</v>
      </c>
      <c r="I37" s="256">
        <f>Anx16AMN!I37+Anx16AME!I37*Disponible!$B$110</f>
        <v>523727.75</v>
      </c>
      <c r="J37" s="256">
        <f>Anx16AMN!J37+Anx16AME!J37*Disponible!$B$110</f>
        <v>513517.39</v>
      </c>
      <c r="K37" s="256">
        <f>Anx16AMN!K37+Anx16AME!K37*Disponible!$B$110</f>
        <v>2098675.4900000002</v>
      </c>
      <c r="L37" s="256">
        <f>Anx16AMN!L37+Anx16AME!L37*Disponible!$B$110</f>
        <v>5151358.8</v>
      </c>
      <c r="M37" s="256">
        <f>Anx16AMN!M37+Anx16AME!M37*Disponible!$B$110</f>
        <v>5659613.3399999999</v>
      </c>
      <c r="N37" s="178">
        <f t="shared" si="0"/>
        <v>14929912.57605</v>
      </c>
      <c r="O37" s="241">
        <f>+Anx16AMN!N37+Anx16AME!N37*Disponible!$B$110</f>
        <v>14929912.574409999</v>
      </c>
      <c r="P37" s="241">
        <f t="shared" si="1"/>
        <v>-1.6400013118982315E-3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</row>
    <row r="38" spans="1:98" s="53" customFormat="1" ht="18" customHeight="1">
      <c r="A38" s="56" t="s">
        <v>165</v>
      </c>
      <c r="B38" s="54" t="s">
        <v>153</v>
      </c>
      <c r="C38" s="138">
        <f>Anx16AMN!C38+Anx16AME!C38*Disponible!$B$110</f>
        <v>16985.29</v>
      </c>
      <c r="D38" s="138">
        <f>Anx16AMN!D38+Anx16AME!D38*Disponible!$B$110</f>
        <v>12644.93</v>
      </c>
      <c r="E38" s="138">
        <f>Anx16AMN!E38+Anx16AME!E38*Disponible!$B$110</f>
        <v>10592.91</v>
      </c>
      <c r="F38" s="256">
        <f>Anx16AMN!F38+Anx16AME!F38*Disponible!$B$110</f>
        <v>13393.59</v>
      </c>
      <c r="G38" s="256">
        <f>Anx16AMN!G38+Anx16AME!G38*Disponible!$B$110</f>
        <v>12933.31</v>
      </c>
      <c r="H38" s="256">
        <f>Anx16AMN!H38+Anx16AME!H38*Disponible!$B$110</f>
        <v>11427.4</v>
      </c>
      <c r="I38" s="256">
        <f>Anx16AMN!I38+Anx16AME!I38*Disponible!$B$110</f>
        <v>43418.38</v>
      </c>
      <c r="J38" s="256">
        <f>Anx16AMN!J38+Anx16AME!J38*Disponible!$B$110</f>
        <v>44121.03</v>
      </c>
      <c r="K38" s="256">
        <f>Anx16AMN!K38+Anx16AME!K38*Disponible!$B$110</f>
        <v>162490.28</v>
      </c>
      <c r="L38" s="256">
        <f>Anx16AMN!L38+Anx16AME!L38*Disponible!$B$110</f>
        <v>437635.76</v>
      </c>
      <c r="M38" s="256">
        <f>Anx16AMN!M38+Anx16AME!M38*Disponible!$B$110</f>
        <v>180173.03</v>
      </c>
      <c r="N38" s="178">
        <f t="shared" si="0"/>
        <v>945815.91</v>
      </c>
      <c r="O38" s="241">
        <f>+Anx16AMN!N38+Anx16AME!N38*Disponible!$B$110</f>
        <v>945815.91</v>
      </c>
      <c r="P38" s="241">
        <f t="shared" si="1"/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</row>
    <row r="39" spans="1:98" s="53" customFormat="1" ht="18" customHeight="1">
      <c r="A39" s="57" t="s">
        <v>170</v>
      </c>
      <c r="B39" s="51" t="s">
        <v>538</v>
      </c>
      <c r="C39" s="138">
        <f>Anx16AMN!C39+Anx16AME!C39*Disponible!$B$110</f>
        <v>120987.23</v>
      </c>
      <c r="D39" s="138">
        <f>Anx16AMN!D39+Anx16AME!D39*Disponible!$B$110</f>
        <v>0</v>
      </c>
      <c r="E39" s="138">
        <f>Anx16AMN!E39+Anx16AME!E39*Disponible!$B$110</f>
        <v>0</v>
      </c>
      <c r="F39" s="256">
        <f>Anx16AMN!F39+Anx16AME!F39*Disponible!$B$110</f>
        <v>0</v>
      </c>
      <c r="G39" s="256">
        <f>Anx16AMN!G39+Anx16AME!G39*Disponible!$B$110</f>
        <v>0</v>
      </c>
      <c r="H39" s="256">
        <f>Anx16AMN!H39+Anx16AME!H39*Disponible!$B$110</f>
        <v>0</v>
      </c>
      <c r="I39" s="256">
        <f>Anx16AMN!I39+Anx16AME!I39*Disponible!$B$110</f>
        <v>0</v>
      </c>
      <c r="J39" s="256">
        <f>Anx16AMN!J39+Anx16AME!J39*Disponible!$B$110</f>
        <v>0</v>
      </c>
      <c r="K39" s="256">
        <f>Anx16AMN!K39+Anx16AME!K39*Disponible!$B$110</f>
        <v>0</v>
      </c>
      <c r="L39" s="256">
        <f>Anx16AMN!L39+Anx16AME!L39*Disponible!$B$110</f>
        <v>0</v>
      </c>
      <c r="M39" s="256">
        <f>Anx16AMN!M39+Anx16AME!M39*Disponible!$B$110</f>
        <v>0</v>
      </c>
      <c r="N39" s="178">
        <f t="shared" si="0"/>
        <v>120987.23</v>
      </c>
      <c r="O39" s="241">
        <f>+Anx16AMN!N39+Anx16AME!N39*Disponible!$B$110</f>
        <v>120987.23</v>
      </c>
      <c r="P39" s="241">
        <f t="shared" si="1"/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</row>
    <row r="40" spans="1:98" s="30" customFormat="1" ht="18.75" customHeight="1">
      <c r="A40" s="36" t="s">
        <v>110</v>
      </c>
      <c r="B40" s="35" t="s">
        <v>34</v>
      </c>
      <c r="C40" s="61">
        <f>SUM(C41:C43)</f>
        <v>10405881.590000002</v>
      </c>
      <c r="D40" s="61">
        <f t="shared" ref="D40:K40" si="9">SUM(D41:D43)</f>
        <v>3565369.15</v>
      </c>
      <c r="E40" s="61">
        <f t="shared" si="9"/>
        <v>3462701.53</v>
      </c>
      <c r="F40" s="178">
        <f>SUM(F41:F43)</f>
        <v>3516411.12</v>
      </c>
      <c r="G40" s="178">
        <f t="shared" si="9"/>
        <v>3322412.7800000003</v>
      </c>
      <c r="H40" s="178">
        <f t="shared" si="9"/>
        <v>3188955.97</v>
      </c>
      <c r="I40" s="178">
        <f t="shared" si="9"/>
        <v>9022280.3599999994</v>
      </c>
      <c r="J40" s="178">
        <f t="shared" si="9"/>
        <v>7830515.5899999999</v>
      </c>
      <c r="K40" s="178">
        <f t="shared" si="9"/>
        <v>22858121.48</v>
      </c>
      <c r="L40" s="178">
        <f>SUM(L41:L43)</f>
        <v>32460068.18</v>
      </c>
      <c r="M40" s="178">
        <f>SUM(M41:M43)</f>
        <v>2432835.92</v>
      </c>
      <c r="N40" s="178">
        <f>SUM(C40:M40)</f>
        <v>102065553.67</v>
      </c>
      <c r="O40" s="241">
        <f>ROUND(Anx16AMN!N40+Anx16AME!N40*Disponible!$B$110,2)</f>
        <v>102065553.68000001</v>
      </c>
      <c r="P40" s="241">
        <f t="shared" si="1"/>
        <v>1.000000536441803E-2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</row>
    <row r="41" spans="1:98" s="53" customFormat="1" ht="17.25" customHeight="1">
      <c r="A41" s="56" t="s">
        <v>157</v>
      </c>
      <c r="B41" s="54" t="s">
        <v>154</v>
      </c>
      <c r="C41" s="138">
        <f>ROUND(Anx16AMN!C41+Anx16AME!C41*Disponible!$B$110,2)</f>
        <v>9101325.2300000004</v>
      </c>
      <c r="D41" s="138">
        <f>ROUND(Anx16AMN!D41+Anx16AME!D41*Disponible!$B$110,2)</f>
        <v>3544489.29</v>
      </c>
      <c r="E41" s="138">
        <f>ROUND(Anx16AMN!E41+Anx16AME!E41*Disponible!$B$110,2)</f>
        <v>3442870</v>
      </c>
      <c r="F41" s="256">
        <f>ROUND(Anx16AMN!F41+Anx16AME!F41*Disponible!$B$110,2)</f>
        <v>3495654.99</v>
      </c>
      <c r="G41" s="256">
        <f>ROUND(Anx16AMN!G41+Anx16AME!G41*Disponible!$B$110,2)</f>
        <v>3302507.79</v>
      </c>
      <c r="H41" s="256">
        <f>ROUND(Anx16AMN!H41+Anx16AME!H41*Disponible!$B$110,2)</f>
        <v>3168200.29</v>
      </c>
      <c r="I41" s="256">
        <f>ROUND(Anx16AMN!I41+Anx16AME!I41*Disponible!$B$110,2)</f>
        <v>8956429.2400000002</v>
      </c>
      <c r="J41" s="256">
        <f>ROUND(Anx16AMN!J41+Anx16AME!J41*Disponible!$B$110,2)</f>
        <v>7765711.3700000001</v>
      </c>
      <c r="K41" s="256">
        <f>ROUND(Anx16AMN!K41+Anx16AME!K41*Disponible!$B$110,2)</f>
        <v>22640070.289999999</v>
      </c>
      <c r="L41" s="256">
        <f>ROUND(Anx16AMN!L41+Anx16AME!L41*Disponible!$B$110,2)</f>
        <v>31865252.91</v>
      </c>
      <c r="M41" s="256">
        <f>ROUND(Anx16AMN!M41+Anx16AME!M41*Disponible!$B$110,2)</f>
        <v>2374298.63</v>
      </c>
      <c r="N41" s="178">
        <f t="shared" si="0"/>
        <v>99656810.029999986</v>
      </c>
      <c r="O41" s="241">
        <f>+Anx16AMN!N41+Anx16AME!N41*Disponible!$B$110</f>
        <v>99656810.039999977</v>
      </c>
      <c r="P41" s="241">
        <f t="shared" si="1"/>
        <v>9.9999904632568359E-3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</row>
    <row r="42" spans="1:98" s="53" customFormat="1" ht="17.25" customHeight="1">
      <c r="A42" s="56" t="s">
        <v>164</v>
      </c>
      <c r="B42" s="54" t="s">
        <v>155</v>
      </c>
      <c r="C42" s="138">
        <f>ROUND(Anx16AMN!C42+Anx16AME!C42*Disponible!$B$110,2)</f>
        <v>22582.560000000001</v>
      </c>
      <c r="D42" s="138">
        <f>ROUND(Anx16AMN!D42+Anx16AME!D42*Disponible!$B$110,2)</f>
        <v>20879.86</v>
      </c>
      <c r="E42" s="138">
        <f>ROUND(Anx16AMN!E42+Anx16AME!E42*Disponible!$B$110,2)</f>
        <v>19831.53</v>
      </c>
      <c r="F42" s="256">
        <f>ROUND(Anx16AMN!F42+Anx16AME!F42*Disponible!$B$110,2)</f>
        <v>20756.13</v>
      </c>
      <c r="G42" s="256">
        <f>ROUND(Anx16AMN!G42+Anx16AME!G42*Disponible!$B$110,2)</f>
        <v>19904.990000000002</v>
      </c>
      <c r="H42" s="256">
        <f>ROUND(Anx16AMN!H42+Anx16AME!H42*Disponible!$B$110,2)</f>
        <v>20755.68</v>
      </c>
      <c r="I42" s="256">
        <f>ROUND(Anx16AMN!I42+Anx16AME!I42*Disponible!$B$110,2)</f>
        <v>65851.12</v>
      </c>
      <c r="J42" s="256">
        <f>ROUND(Anx16AMN!J42+Anx16AME!J42*Disponible!$B$110,2)</f>
        <v>64804.22</v>
      </c>
      <c r="K42" s="256">
        <f>ROUND(Anx16AMN!K42+Anx16AME!K42*Disponible!$B$110,2)</f>
        <v>218051.19</v>
      </c>
      <c r="L42" s="256">
        <f>ROUND(Anx16AMN!L42+Anx16AME!L42*Disponible!$B$110,2)</f>
        <v>594815.27</v>
      </c>
      <c r="M42" s="256">
        <f>ROUND(Anx16AMN!M42+Anx16AME!M42*Disponible!$B$110,2)</f>
        <v>58537.29</v>
      </c>
      <c r="N42" s="178">
        <f t="shared" si="0"/>
        <v>1126769.8400000001</v>
      </c>
      <c r="O42" s="241">
        <f>+Anx16AMN!N42+Anx16AME!N42*Disponible!$B$110</f>
        <v>1126769.8400000001</v>
      </c>
      <c r="P42" s="241">
        <f t="shared" si="1"/>
        <v>0</v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</row>
    <row r="43" spans="1:98" s="53" customFormat="1" ht="17.25" customHeight="1">
      <c r="A43" s="57" t="s">
        <v>169</v>
      </c>
      <c r="B43" s="51" t="s">
        <v>539</v>
      </c>
      <c r="C43" s="138">
        <f>ROUND(Anx16AMN!C43+Anx16AME!C43*Disponible!$B$110,2)</f>
        <v>1281973.8</v>
      </c>
      <c r="D43" s="138">
        <f>ROUND(Anx16AMN!D43+Anx16AME!D43*Disponible!$B$110,2)</f>
        <v>0</v>
      </c>
      <c r="E43" s="138">
        <f>ROUND(Anx16AMN!E43+Anx16AME!E43*Disponible!$B$110,2)</f>
        <v>0</v>
      </c>
      <c r="F43" s="256">
        <f>ROUND(Anx16AMN!F43+Anx16AME!F43*Disponible!$B$110,2)</f>
        <v>0</v>
      </c>
      <c r="G43" s="256">
        <f>ROUND(Anx16AMN!G43+Anx16AME!G43*Disponible!$B$110,2)</f>
        <v>0</v>
      </c>
      <c r="H43" s="256">
        <f>ROUND(Anx16AMN!H43+Anx16AME!H43*Disponible!$B$110,2)</f>
        <v>0</v>
      </c>
      <c r="I43" s="256">
        <f>ROUND(Anx16AMN!I43+Anx16AME!I43*Disponible!$B$110,2)</f>
        <v>0</v>
      </c>
      <c r="J43" s="256">
        <f>ROUND(Anx16AMN!J43+Anx16AME!J43*Disponible!$B$110,2)</f>
        <v>0</v>
      </c>
      <c r="K43" s="256">
        <f>ROUND(Anx16AMN!K43+Anx16AME!K43*Disponible!$B$110,2)</f>
        <v>0</v>
      </c>
      <c r="L43" s="256">
        <f>ROUND(Anx16AMN!L43+Anx16AME!L43*Disponible!$B$110,2)</f>
        <v>0</v>
      </c>
      <c r="M43" s="256">
        <f>ROUND(Anx16AMN!M43+Anx16AME!M43*Disponible!$B$110,2)</f>
        <v>0</v>
      </c>
      <c r="N43" s="178">
        <f t="shared" si="0"/>
        <v>1281973.8</v>
      </c>
      <c r="O43" s="241">
        <f>+Anx16AMN!N43+Anx16AME!N43*Disponible!$B$110</f>
        <v>1281973.79779</v>
      </c>
      <c r="P43" s="241">
        <f t="shared" si="1"/>
        <v>-2.2100000642240047E-3</v>
      </c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</row>
    <row r="44" spans="1:98" s="30" customFormat="1" ht="16.5">
      <c r="A44" s="40" t="s">
        <v>7</v>
      </c>
      <c r="B44" s="35" t="s">
        <v>36</v>
      </c>
      <c r="C44" s="61"/>
      <c r="D44" s="61"/>
      <c r="E44" s="61"/>
      <c r="F44" s="178"/>
      <c r="G44" s="178"/>
      <c r="H44" s="178"/>
      <c r="I44" s="178"/>
      <c r="J44" s="178"/>
      <c r="K44" s="178"/>
      <c r="L44" s="178"/>
      <c r="M44" s="178"/>
      <c r="N44" s="178">
        <f t="shared" si="0"/>
        <v>0</v>
      </c>
      <c r="O44" s="241">
        <f>ROUND(Anx16AMN!N44+Anx16AME!N44*Disponible!$B$110,2)</f>
        <v>0</v>
      </c>
      <c r="P44" s="241">
        <f t="shared" si="1"/>
        <v>0</v>
      </c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</row>
    <row r="45" spans="1:98" s="30" customFormat="1" ht="16.5">
      <c r="A45" s="40" t="s">
        <v>6</v>
      </c>
      <c r="B45" s="35" t="s">
        <v>38</v>
      </c>
      <c r="C45" s="139">
        <f>Anx16AMN!C45+Anx16AME!C45*Disponible!$B$110</f>
        <v>994124.09</v>
      </c>
      <c r="D45" s="139">
        <f>Anx16AMN!D45+Anx16AME!D45*Disponible!$B$110</f>
        <v>2110535.7799999998</v>
      </c>
      <c r="E45" s="139">
        <f>Anx16AMN!E45+Anx16AME!E45*Disponible!$B$110</f>
        <v>1530896.72132</v>
      </c>
      <c r="F45" s="139">
        <f>Anx16AMN!F45+Anx16AME!F45*Disponible!$B$110</f>
        <v>483710.98</v>
      </c>
      <c r="G45" s="139">
        <f>Anx16AMN!G45+Anx16AME!G45*Disponible!$B$110</f>
        <v>1630317.31382</v>
      </c>
      <c r="H45" s="139">
        <f>Anx16AMN!H45+Anx16AME!H45*Disponible!$B$110</f>
        <v>194251.58987000003</v>
      </c>
      <c r="I45" s="139">
        <f>Anx16AMN!I45+Anx16AME!I45*Disponible!$B$110</f>
        <v>0</v>
      </c>
      <c r="J45" s="139">
        <f>Anx16AMN!J45+Anx16AME!J45*Disponible!$B$110</f>
        <v>0</v>
      </c>
      <c r="K45" s="139">
        <f>Anx16AMN!K45+Anx16AME!K45*Disponible!$B$110</f>
        <v>0</v>
      </c>
      <c r="L45" s="139">
        <f>Anx16AMN!L45+Anx16AME!L45*Disponible!$B$110</f>
        <v>0</v>
      </c>
      <c r="M45" s="139">
        <f>Anx16AMN!M45+Anx16AME!M45*Disponible!$B$110</f>
        <v>0</v>
      </c>
      <c r="N45" s="178">
        <f t="shared" si="0"/>
        <v>6943836.4750099992</v>
      </c>
      <c r="O45" s="241">
        <f>ROUND(Anx16AMN!N45+Anx16AME!N45*Disponible!$B$110,2)</f>
        <v>6943836.4800000004</v>
      </c>
      <c r="P45" s="241">
        <f t="shared" si="1"/>
        <v>4.9900012090802193E-3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</row>
    <row r="46" spans="1:98" s="30" customFormat="1" ht="17.25" customHeight="1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78">
        <f t="shared" si="0"/>
        <v>0</v>
      </c>
      <c r="O46" s="241">
        <f>ROUND(Anx16AMN!N46+Anx16AME!N46*Disponible!$B$110,2)</f>
        <v>0</v>
      </c>
      <c r="P46" s="241">
        <f t="shared" si="1"/>
        <v>0</v>
      </c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</row>
    <row r="47" spans="1:98" s="30" customFormat="1" ht="16.5">
      <c r="A47" s="29"/>
      <c r="B47" s="39" t="s">
        <v>0</v>
      </c>
      <c r="C47" s="245">
        <f>SUM(C9:C13)+C27+C36+C40+C45</f>
        <v>73114266.219999999</v>
      </c>
      <c r="D47" s="245">
        <f t="shared" ref="D47:M47" si="10">SUM(D9:D13)+D27+D36+D40+D45</f>
        <v>31191184.076049998</v>
      </c>
      <c r="E47" s="245">
        <f t="shared" si="10"/>
        <v>24186569.27132</v>
      </c>
      <c r="F47" s="245">
        <f t="shared" si="10"/>
        <v>16221593.710000001</v>
      </c>
      <c r="G47" s="245">
        <f t="shared" si="10"/>
        <v>20474486.733819999</v>
      </c>
      <c r="H47" s="245">
        <f t="shared" si="10"/>
        <v>16890621.719870001</v>
      </c>
      <c r="I47" s="245">
        <f t="shared" si="10"/>
        <v>43987691.190000005</v>
      </c>
      <c r="J47" s="245">
        <f t="shared" si="10"/>
        <v>34707582.340000004</v>
      </c>
      <c r="K47" s="245">
        <f t="shared" si="10"/>
        <v>87811853.230000004</v>
      </c>
      <c r="L47" s="245">
        <f t="shared" si="10"/>
        <v>99317569.330000013</v>
      </c>
      <c r="M47" s="245">
        <f t="shared" si="10"/>
        <v>16492847.9</v>
      </c>
      <c r="N47" s="242">
        <f>SUM(C47:M47)</f>
        <v>464396265.72106004</v>
      </c>
      <c r="O47" s="241">
        <f>ROUND(Anx16AMN!N47+Anx16AME!N47*Disponible!$B$110,2)</f>
        <v>464396265.75999999</v>
      </c>
      <c r="P47" s="241">
        <f t="shared" si="1"/>
        <v>3.8939952850341797E-2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</row>
    <row r="48" spans="1:98" s="30" customFormat="1" ht="16.5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41"/>
      <c r="P48" s="241">
        <f t="shared" si="1"/>
        <v>0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</row>
    <row r="49" spans="1:98" s="30" customFormat="1" ht="16.5" customHeight="1">
      <c r="A49" s="33" t="s">
        <v>111</v>
      </c>
      <c r="B49" s="35" t="s">
        <v>42</v>
      </c>
      <c r="C49" s="139">
        <f>ROUND(Anx16AMN!C49+Anx16AME!C49*Disponible!$B$110,2)</f>
        <v>5506265.9299999997</v>
      </c>
      <c r="D49" s="139">
        <f>ROUND(Anx16AMN!D49+Anx16AME!D49*Disponible!$B$110,2)</f>
        <v>4759647.2</v>
      </c>
      <c r="E49" s="139">
        <f>ROUND(Anx16AMN!E49+Anx16AME!E49*Disponible!$B$110,2)</f>
        <v>5697455.8200000003</v>
      </c>
      <c r="F49" s="139">
        <f>ROUND(Anx16AMN!F49+Anx16AME!F49*Disponible!$B$110,2)</f>
        <v>6862432.4900000002</v>
      </c>
      <c r="G49" s="139">
        <f>ROUND(Anx16AMN!G49+Anx16AME!G49*Disponible!$B$110,2)</f>
        <v>5718011.8200000003</v>
      </c>
      <c r="H49" s="139">
        <f>ROUND(Anx16AMN!H49+Anx16AME!H49*Disponible!$B$110,2)</f>
        <v>5011918.37</v>
      </c>
      <c r="I49" s="139">
        <f>ROUND(Anx16AMN!I49+Anx16AME!I49*Disponible!$B$110,2)</f>
        <v>10861765.51</v>
      </c>
      <c r="J49" s="139">
        <f>ROUND(Anx16AMN!J49+Anx16AME!J49*Disponible!$B$110,2)</f>
        <v>13409381.15</v>
      </c>
      <c r="K49" s="139">
        <f>ROUND(Anx16AMN!K49+Anx16AME!K49*Disponible!$B$110,2)</f>
        <v>20597351.870000001</v>
      </c>
      <c r="L49" s="139">
        <f>ROUND(Anx16AMN!L49+Anx16AME!L49*Disponible!$B$110,2)</f>
        <v>1143815.3700000001</v>
      </c>
      <c r="M49" s="139">
        <f>ROUND(Anx16AMN!M49+Anx16AME!M49*Disponible!$B$110,2)</f>
        <v>0</v>
      </c>
      <c r="N49" s="178">
        <f>SUM(C49:M49)</f>
        <v>79568045.530000001</v>
      </c>
      <c r="O49" s="241">
        <f>ROUND(Anx16AMN!N49+Anx16AME!N49*Disponible!$B$110,2)</f>
        <v>79568045.540000007</v>
      </c>
      <c r="P49" s="241">
        <f t="shared" si="1"/>
        <v>1.000000536441803E-2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</row>
    <row r="50" spans="1:98" s="30" customFormat="1" ht="16.5" customHeight="1">
      <c r="A50" s="33" t="s">
        <v>111</v>
      </c>
      <c r="B50" s="35" t="s">
        <v>43</v>
      </c>
      <c r="C50" s="139">
        <f>ROUND(Anx16AMN!C50+Anx16AME!C50*Disponible!$B$110,2)</f>
        <v>2777621.44</v>
      </c>
      <c r="D50" s="139">
        <f>ROUND(Anx16AMN!D50+Anx16AME!D50*Disponible!$B$110,2)</f>
        <v>3519687.53</v>
      </c>
      <c r="E50" s="139">
        <f>ROUND(Anx16AMN!E50+Anx16AME!E50*Disponible!$B$110,2)</f>
        <v>3385318.94</v>
      </c>
      <c r="F50" s="139">
        <f>ROUND(Anx16AMN!F50+Anx16AME!F50*Disponible!$B$110,2)</f>
        <v>4503239.3899999997</v>
      </c>
      <c r="G50" s="139">
        <f>ROUND(Anx16AMN!G50+Anx16AME!G50*Disponible!$B$110,2)</f>
        <v>4033240.35</v>
      </c>
      <c r="H50" s="139">
        <f>ROUND(Anx16AMN!H50+Anx16AME!H50*Disponible!$B$110,2)</f>
        <v>4306836.6399999997</v>
      </c>
      <c r="I50" s="139">
        <f>ROUND(Anx16AMN!I50+Anx16AME!I50*Disponible!$B$110,2)</f>
        <v>10716860.119999999</v>
      </c>
      <c r="J50" s="139">
        <f>ROUND(Anx16AMN!J50+Anx16AME!J50*Disponible!$B$110,2)</f>
        <v>10366571.529999999</v>
      </c>
      <c r="K50" s="139">
        <f>ROUND(Anx16AMN!K50+Anx16AME!K50*Disponible!$B$110,2)</f>
        <v>18852274.039999999</v>
      </c>
      <c r="L50" s="139">
        <f>ROUND(Anx16AMN!L50+Anx16AME!L50*Disponible!$B$110,2)</f>
        <v>2155208.0699999998</v>
      </c>
      <c r="M50" s="139">
        <f>ROUND(Anx16AMN!M50+Anx16AME!M50*Disponible!$B$110,2)</f>
        <v>0</v>
      </c>
      <c r="N50" s="61">
        <f>SUM(C50:M50)</f>
        <v>64616858.050000004</v>
      </c>
      <c r="O50" s="241">
        <f>ROUND(Anx16AMN!N50+Anx16AME!N50*Disponible!$B$110,2)</f>
        <v>64616858.049999997</v>
      </c>
      <c r="P50" s="241">
        <f t="shared" si="1"/>
        <v>0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</row>
    <row r="51" spans="1:98" s="30" customFormat="1" ht="16.5" customHeight="1">
      <c r="A51" s="33" t="s">
        <v>111</v>
      </c>
      <c r="B51" s="35" t="s">
        <v>44</v>
      </c>
      <c r="C51" s="243">
        <f>ROUND(Anx16AMN!C51+Anx16AME!C51*Disponible!$B$110,2)</f>
        <v>2524427.35</v>
      </c>
      <c r="D51" s="139">
        <f>ROUND(Anx16AMN!D51+Anx16AME!D51*Disponible!$B$110,2)</f>
        <v>881547.51</v>
      </c>
      <c r="E51" s="139">
        <f>ROUND(Anx16AMN!E51+Anx16AME!E51*Disponible!$B$110,2)</f>
        <v>1609458.06</v>
      </c>
      <c r="F51" s="139">
        <f>ROUND(Anx16AMN!F51+Anx16AME!F51*Disponible!$B$110,2)</f>
        <v>1554616.89</v>
      </c>
      <c r="G51" s="139">
        <f>ROUND(Anx16AMN!G51+Anx16AME!G51*Disponible!$B$110,2)</f>
        <v>6109800.9800000004</v>
      </c>
      <c r="H51" s="139">
        <f>ROUND(Anx16AMN!H51+Anx16AME!H51*Disponible!$B$110,2)</f>
        <v>1050015.33</v>
      </c>
      <c r="I51" s="139">
        <f>ROUND(Anx16AMN!I51+Anx16AME!I51*Disponible!$B$110,2)</f>
        <v>1333217.69</v>
      </c>
      <c r="J51" s="139">
        <f>ROUND(Anx16AMN!J51+Anx16AME!J51*Disponible!$B$110,2)</f>
        <v>9540893.8699999992</v>
      </c>
      <c r="K51" s="139">
        <f>ROUND(Anx16AMN!K51+Anx16AME!K51*Disponible!$B$110,2)</f>
        <v>7981898.8899999997</v>
      </c>
      <c r="L51" s="139">
        <f>ROUND(Anx16AMN!L51+Anx16AME!L51*Disponible!$B$110,2)</f>
        <v>4216542.58</v>
      </c>
      <c r="M51" s="139">
        <f>ROUND(Anx16AMN!M51+Anx16AME!M51*Disponible!$B$110,2)</f>
        <v>0</v>
      </c>
      <c r="N51" s="61">
        <f t="shared" ref="N51:N60" si="11">SUM(C51:M51)</f>
        <v>36802419.149999999</v>
      </c>
      <c r="O51" s="241">
        <f>ROUND(Anx16AMN!N51+Anx16AME!N51*Disponible!$B$110,2)</f>
        <v>36802419.149999999</v>
      </c>
      <c r="P51" s="241">
        <f t="shared" si="1"/>
        <v>0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</row>
    <row r="52" spans="1:98" s="30" customFormat="1" ht="17.25" customHeight="1">
      <c r="A52" s="36" t="s">
        <v>139</v>
      </c>
      <c r="B52" s="14" t="s">
        <v>131</v>
      </c>
      <c r="C52" s="139">
        <f>ROUND(Anx16AMN!C52+Anx16AME!C52*Disponible!$B$110,2)</f>
        <v>2534524.56</v>
      </c>
      <c r="D52" s="139">
        <f>ROUND(Anx16AMN!D52+Anx16AME!D52*Disponible!$B$110,2)</f>
        <v>2871389.8</v>
      </c>
      <c r="E52" s="139">
        <f>ROUND(Anx16AMN!E52+Anx16AME!E52*Disponible!$B$110,2)</f>
        <v>6230455.04</v>
      </c>
      <c r="F52" s="139">
        <f>ROUND(Anx16AMN!F52+Anx16AME!F52*Disponible!$B$110,2)</f>
        <v>3549742.5</v>
      </c>
      <c r="G52" s="139">
        <f>ROUND(Anx16AMN!G52+Anx16AME!G52*Disponible!$B$110,2)</f>
        <v>3182136.34</v>
      </c>
      <c r="H52" s="139">
        <f>ROUND(Anx16AMN!H52+Anx16AME!H52*Disponible!$B$110,2)</f>
        <v>3176222.53</v>
      </c>
      <c r="I52" s="139">
        <f>ROUND(Anx16AMN!I52+Anx16AME!I52*Disponible!$B$110,2)</f>
        <v>6980414.5</v>
      </c>
      <c r="J52" s="139">
        <f>ROUND(Anx16AMN!J52+Anx16AME!J52*Disponible!$B$110,2)</f>
        <v>7045021.3200000003</v>
      </c>
      <c r="K52" s="139">
        <f>ROUND(Anx16AMN!K52+Anx16AME!K52*Disponible!$B$110,2)</f>
        <v>14517713.939999999</v>
      </c>
      <c r="L52" s="139">
        <f>ROUND(Anx16AMN!L52+Anx16AME!L52*Disponible!$B$110,2)</f>
        <v>5887529.9500000002</v>
      </c>
      <c r="M52" s="139">
        <f>ROUND(Anx16AMN!M52+Anx16AME!M52*Disponible!$B$110,2)</f>
        <v>0</v>
      </c>
      <c r="N52" s="61">
        <f t="shared" si="11"/>
        <v>55975150.480000004</v>
      </c>
      <c r="O52" s="241">
        <f>ROUND(Anx16AMN!N52+Anx16AME!N52*Disponible!$B$110,2)</f>
        <v>55975150.469999999</v>
      </c>
      <c r="P52" s="241">
        <f t="shared" si="1"/>
        <v>-1.000000536441803E-2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</row>
    <row r="53" spans="1:98" s="30" customFormat="1" ht="16.5" customHeight="1">
      <c r="A53" s="173">
        <v>2200</v>
      </c>
      <c r="B53" s="225" t="s">
        <v>45</v>
      </c>
      <c r="C53" s="139">
        <f>ROUND(Anx16AMN!C53+Anx16AME!C53*Disponible!$B$110,2)</f>
        <v>0</v>
      </c>
      <c r="D53" s="139">
        <f>ROUND(Anx16AMN!D53+Anx16AME!D53*Disponible!$B$110,2)</f>
        <v>0</v>
      </c>
      <c r="E53" s="139">
        <f>ROUND(Anx16AMN!E53+Anx16AME!E53*Disponible!$B$110,2)</f>
        <v>0</v>
      </c>
      <c r="F53" s="139">
        <f>ROUND(Anx16AMN!F53+Anx16AME!F53*Disponible!$B$110,2)</f>
        <v>0</v>
      </c>
      <c r="G53" s="139">
        <f>ROUND(Anx16AMN!G53+Anx16AME!G53*Disponible!$B$110,2)</f>
        <v>0</v>
      </c>
      <c r="H53" s="139">
        <f>ROUND(Anx16AMN!H53+Anx16AME!H53*Disponible!$B$110,2)</f>
        <v>0</v>
      </c>
      <c r="I53" s="139">
        <f>ROUND(Anx16AMN!I53+Anx16AME!I53*Disponible!$B$110,2)</f>
        <v>0</v>
      </c>
      <c r="J53" s="139">
        <f>ROUND(Anx16AMN!J53+Anx16AME!J53*Disponible!$B$110,2)</f>
        <v>0</v>
      </c>
      <c r="K53" s="139">
        <f>ROUND(Anx16AMN!K53+Anx16AME!K53*Disponible!$B$110,2)</f>
        <v>0</v>
      </c>
      <c r="L53" s="139">
        <f>ROUND(Anx16AMN!L53+Anx16AME!L53*Disponible!$B$110,2)</f>
        <v>0</v>
      </c>
      <c r="M53" s="139">
        <f>ROUND(Anx16AMN!M53+Anx16AME!M53*Disponible!$B$110,2)</f>
        <v>0</v>
      </c>
      <c r="N53" s="61">
        <f t="shared" si="11"/>
        <v>0</v>
      </c>
      <c r="O53" s="241">
        <f>ROUND(Anx16AMN!N53+Anx16AME!N53*Disponible!$B$110,2)</f>
        <v>0</v>
      </c>
      <c r="P53" s="241">
        <f t="shared" si="1"/>
        <v>0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</row>
    <row r="54" spans="1:98" s="30" customFormat="1" ht="16.5" customHeight="1">
      <c r="A54" s="173" t="s">
        <v>112</v>
      </c>
      <c r="B54" s="225" t="s">
        <v>8</v>
      </c>
      <c r="C54" s="139">
        <f>ROUND(Anx16AMN!C54+Anx16AME!C54*Disponible!$B$110,2)</f>
        <v>1000074.84</v>
      </c>
      <c r="D54" s="139">
        <f>ROUND(Anx16AMN!D54+Anx16AME!D54*Disponible!$B$110,2)</f>
        <v>0</v>
      </c>
      <c r="E54" s="139">
        <f>ROUND(Anx16AMN!E54+Anx16AME!E54*Disponible!$B$110,2)</f>
        <v>0</v>
      </c>
      <c r="F54" s="139">
        <f>ROUND(Anx16AMN!F54+Anx16AME!F54*Disponible!$B$110,2)</f>
        <v>0</v>
      </c>
      <c r="G54" s="139">
        <f>ROUND(Anx16AMN!G54+Anx16AME!G54*Disponible!$B$110,2)</f>
        <v>0</v>
      </c>
      <c r="H54" s="139">
        <f>ROUND(Anx16AMN!H54+Anx16AME!H54*Disponible!$B$110,2)</f>
        <v>0</v>
      </c>
      <c r="I54" s="139">
        <f>ROUND(Anx16AMN!I54+Anx16AME!I54*Disponible!$B$110,2)</f>
        <v>0</v>
      </c>
      <c r="J54" s="139">
        <f>ROUND(Anx16AMN!J54+Anx16AME!J54*Disponible!$B$110,2)</f>
        <v>0</v>
      </c>
      <c r="K54" s="139">
        <f>ROUND(Anx16AMN!K54+Anx16AME!K54*Disponible!$B$110,2)</f>
        <v>0</v>
      </c>
      <c r="L54" s="139">
        <f>ROUND(Anx16AMN!L54+Anx16AME!L54*Disponible!$B$110,2)</f>
        <v>0</v>
      </c>
      <c r="M54" s="139">
        <f>ROUND(Anx16AMN!M54+Anx16AME!M54*Disponible!$B$110,2)</f>
        <v>0</v>
      </c>
      <c r="N54" s="61">
        <f t="shared" si="11"/>
        <v>1000074.84</v>
      </c>
      <c r="O54" s="241">
        <f>ROUND(Anx16AMN!N54+Anx16AME!N54*Disponible!$B$110,2)</f>
        <v>1000074.84</v>
      </c>
      <c r="P54" s="241">
        <f t="shared" si="1"/>
        <v>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</row>
    <row r="55" spans="1:98" s="30" customFormat="1" ht="16.5" customHeight="1">
      <c r="A55" s="173" t="s">
        <v>122</v>
      </c>
      <c r="B55" s="171" t="s">
        <v>119</v>
      </c>
      <c r="C55" s="139">
        <f>ROUND(Anx16AMN!C55+Anx16AME!C55*Disponible!$B$110,2)</f>
        <v>575234.64</v>
      </c>
      <c r="D55" s="139">
        <f>ROUND(Anx16AMN!D55+Anx16AME!D55*Disponible!$B$110,2)</f>
        <v>505437.66</v>
      </c>
      <c r="E55" s="139">
        <f>ROUND(Anx16AMN!E55+Anx16AME!E55*Disponible!$B$110,2)</f>
        <v>495504.77</v>
      </c>
      <c r="F55" s="139">
        <f>ROUND(Anx16AMN!F55+Anx16AME!F55*Disponible!$B$110,2)</f>
        <v>548051.68000000005</v>
      </c>
      <c r="G55" s="139">
        <f>ROUND(Anx16AMN!G55+Anx16AME!G55*Disponible!$B$110,2)</f>
        <v>833960.64</v>
      </c>
      <c r="H55" s="139">
        <f>ROUND(Anx16AMN!H55+Anx16AME!H55*Disponible!$B$110,2)</f>
        <v>819825.8</v>
      </c>
      <c r="I55" s="139">
        <f>ROUND(Anx16AMN!I55+Anx16AME!I55*Disponible!$B$110,2)</f>
        <v>2270106.56</v>
      </c>
      <c r="J55" s="139">
        <f>ROUND(Anx16AMN!J55+Anx16AME!J55*Disponible!$B$110,2)</f>
        <v>2007408.19</v>
      </c>
      <c r="K55" s="139">
        <f>ROUND(Anx16AMN!K55+Anx16AME!K55*Disponible!$B$110,2)</f>
        <v>6409223.4199999999</v>
      </c>
      <c r="L55" s="139">
        <f>ROUND(Anx16AMN!L55+Anx16AME!L55*Disponible!$B$110,2)</f>
        <v>3238862.95</v>
      </c>
      <c r="M55" s="139">
        <f>ROUND(Anx16AMN!M55+Anx16AME!M55*Disponible!$B$110,2)</f>
        <v>1950301.4</v>
      </c>
      <c r="N55" s="61">
        <f t="shared" si="11"/>
        <v>19653917.709999997</v>
      </c>
      <c r="O55" s="241">
        <f>ROUND(Anx16AMN!N55+Anx16AME!N55*Disponible!$B$110,2)</f>
        <v>19653917.710000001</v>
      </c>
      <c r="P55" s="241">
        <f t="shared" si="1"/>
        <v>0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</row>
    <row r="56" spans="1:98" s="30" customFormat="1" ht="16.5" customHeight="1">
      <c r="A56" s="173" t="s">
        <v>121</v>
      </c>
      <c r="B56" s="171" t="s">
        <v>120</v>
      </c>
      <c r="C56" s="139">
        <f>ROUND(Anx16AMN!C56+Anx16AME!C56*Disponible!$B$110,2)</f>
        <v>201051.05</v>
      </c>
      <c r="D56" s="139">
        <f>ROUND(Anx16AMN!D56+Anx16AME!D56*Disponible!$B$110,2)</f>
        <v>0</v>
      </c>
      <c r="E56" s="139">
        <f>ROUND(Anx16AMN!E56+Anx16AME!E56*Disponible!$B$110,2)</f>
        <v>0</v>
      </c>
      <c r="F56" s="139">
        <f>ROUND(Anx16AMN!F56+Anx16AME!F56*Disponible!$B$110,2)</f>
        <v>0</v>
      </c>
      <c r="G56" s="139">
        <f>ROUND(Anx16AMN!G56+Anx16AME!G56*Disponible!$B$110,2)</f>
        <v>0</v>
      </c>
      <c r="H56" s="139">
        <f>ROUND(Anx16AMN!H56+Anx16AME!H56*Disponible!$B$110,2)</f>
        <v>0</v>
      </c>
      <c r="I56" s="139">
        <f>ROUND(Anx16AMN!I56+Anx16AME!I56*Disponible!$B$110,2)</f>
        <v>0</v>
      </c>
      <c r="J56" s="139">
        <f>ROUND(Anx16AMN!J56+Anx16AME!J56*Disponible!$B$110,2)</f>
        <v>0</v>
      </c>
      <c r="K56" s="139">
        <f>ROUND(Anx16AMN!K56+Anx16AME!K56*Disponible!$B$110,2)</f>
        <v>0</v>
      </c>
      <c r="L56" s="139">
        <f>ROUND(Anx16AMN!L56+Anx16AME!L56*Disponible!$B$110,2)</f>
        <v>3757000</v>
      </c>
      <c r="M56" s="139">
        <f>ROUND(Anx16AMN!M56+Anx16AME!M56*Disponible!$B$110,2)</f>
        <v>0</v>
      </c>
      <c r="N56" s="61">
        <f t="shared" si="11"/>
        <v>3958051.05</v>
      </c>
      <c r="O56" s="241">
        <f>ROUND(Anx16AMN!N56+Anx16AME!N56*Disponible!$B$110,2)</f>
        <v>3958051.05</v>
      </c>
      <c r="P56" s="241">
        <f t="shared" si="1"/>
        <v>0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</row>
    <row r="57" spans="1:98" s="30" customFormat="1" ht="17.25" customHeight="1">
      <c r="A57" s="173" t="s">
        <v>113</v>
      </c>
      <c r="B57" s="225" t="s">
        <v>48</v>
      </c>
      <c r="C57" s="139">
        <f>ROUND(Anx16AMN!C57+Anx16AME!C57*Disponible!$B$110,2)</f>
        <v>0</v>
      </c>
      <c r="D57" s="139">
        <f>ROUND(Anx16AMN!D57+Anx16AME!D57*Disponible!$B$110,2)</f>
        <v>0</v>
      </c>
      <c r="E57" s="139">
        <f>ROUND(Anx16AMN!E57+Anx16AME!E57*Disponible!$B$110,2)</f>
        <v>0</v>
      </c>
      <c r="F57" s="139">
        <f>ROUND(Anx16AMN!F57+Anx16AME!F57*Disponible!$B$110,2)</f>
        <v>0</v>
      </c>
      <c r="G57" s="139">
        <f>ROUND(Anx16AMN!G57+Anx16AME!G57*Disponible!$B$110,2)</f>
        <v>0</v>
      </c>
      <c r="H57" s="139">
        <f>ROUND(Anx16AMN!H57+Anx16AME!H57*Disponible!$B$110,2)</f>
        <v>0</v>
      </c>
      <c r="I57" s="139">
        <f>ROUND(Anx16AMN!I57+Anx16AME!I57*Disponible!$B$110,2)</f>
        <v>0</v>
      </c>
      <c r="J57" s="139">
        <f>ROUND(Anx16AMN!J57+Anx16AME!J57*Disponible!$B$110,2)</f>
        <v>0</v>
      </c>
      <c r="K57" s="139">
        <f>ROUND(Anx16AMN!K57+Anx16AME!K57*Disponible!$B$110,2)</f>
        <v>0</v>
      </c>
      <c r="L57" s="139">
        <f>ROUND(Anx16AMN!L57+Anx16AME!L57*Disponible!$B$110,2)</f>
        <v>0</v>
      </c>
      <c r="M57" s="139">
        <f>ROUND(Anx16AMN!M57+Anx16AME!M57*Disponible!$B$110,2)</f>
        <v>0</v>
      </c>
      <c r="N57" s="61">
        <f t="shared" si="11"/>
        <v>0</v>
      </c>
      <c r="O57" s="241">
        <f>ROUND(Anx16AMN!N57+Anx16AME!N57*Disponible!$B$110,2)</f>
        <v>0</v>
      </c>
      <c r="P57" s="241">
        <f t="shared" si="1"/>
        <v>0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</row>
    <row r="58" spans="1:98" s="30" customFormat="1" ht="16.5">
      <c r="A58" s="173" t="s">
        <v>4</v>
      </c>
      <c r="B58" s="171" t="s">
        <v>50</v>
      </c>
      <c r="C58" s="139">
        <f>ROUND(Anx16AMN!C58+Anx16AME!C58*Disponible!$B$110,2)</f>
        <v>0</v>
      </c>
      <c r="D58" s="139">
        <f>ROUND(Anx16AMN!D58+Anx16AME!D58*Disponible!$B$110,2)</f>
        <v>0</v>
      </c>
      <c r="E58" s="139">
        <f>ROUND(Anx16AMN!E58+Anx16AME!E58*Disponible!$B$110,2)</f>
        <v>0</v>
      </c>
      <c r="F58" s="139">
        <f>ROUND(Anx16AMN!F58+Anx16AME!F58*Disponible!$B$110,2)</f>
        <v>0</v>
      </c>
      <c r="G58" s="139">
        <f>ROUND(Anx16AMN!G58+Anx16AME!G58*Disponible!$B$110,2)</f>
        <v>0</v>
      </c>
      <c r="H58" s="139">
        <f>ROUND(Anx16AMN!H58+Anx16AME!H58*Disponible!$B$110,2)</f>
        <v>0</v>
      </c>
      <c r="I58" s="139">
        <f>ROUND(Anx16AMN!I58+Anx16AME!I58*Disponible!$B$110,2)</f>
        <v>0</v>
      </c>
      <c r="J58" s="139">
        <f>ROUND(Anx16AMN!J58+Anx16AME!J58*Disponible!$B$110,2)</f>
        <v>0</v>
      </c>
      <c r="K58" s="139">
        <f>ROUND(Anx16AMN!K58+Anx16AME!K58*Disponible!$B$110,2)</f>
        <v>0</v>
      </c>
      <c r="L58" s="139">
        <f>ROUND(Anx16AMN!L58+Anx16AME!L58*Disponible!$B$110,2)</f>
        <v>0</v>
      </c>
      <c r="M58" s="139">
        <f>ROUND(Anx16AMN!M58+Anx16AME!M58*Disponible!$B$110,2)</f>
        <v>0</v>
      </c>
      <c r="N58" s="61">
        <f t="shared" si="11"/>
        <v>0</v>
      </c>
      <c r="O58" s="241">
        <f>ROUND(Anx16AMN!N58+Anx16AME!N58*Disponible!$B$110,2)</f>
        <v>0</v>
      </c>
      <c r="P58" s="241">
        <f t="shared" si="1"/>
        <v>0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</row>
    <row r="59" spans="1:98" s="30" customFormat="1" ht="16.5">
      <c r="A59" s="33" t="s">
        <v>3</v>
      </c>
      <c r="B59" s="34" t="s">
        <v>52</v>
      </c>
      <c r="C59" s="139">
        <f>ROUND(Anx16AMN!C59+Anx16AME!C59*Disponible!$B$110,2)</f>
        <v>0</v>
      </c>
      <c r="D59" s="139">
        <f>ROUND(Anx16AMN!D59+Anx16AME!D59*Disponible!$B$110,2)</f>
        <v>0</v>
      </c>
      <c r="E59" s="139">
        <f>ROUND(Anx16AMN!E59+Anx16AME!E59*Disponible!$B$110,2)</f>
        <v>0</v>
      </c>
      <c r="F59" s="139">
        <f>ROUND(Anx16AMN!F59+Anx16AME!F59*Disponible!$B$110,2)</f>
        <v>0</v>
      </c>
      <c r="G59" s="139">
        <f>ROUND(Anx16AMN!G59+Anx16AME!G59*Disponible!$B$110,2)</f>
        <v>0</v>
      </c>
      <c r="H59" s="139">
        <f>ROUND(Anx16AMN!H59+Anx16AME!H59*Disponible!$B$110,2)</f>
        <v>0</v>
      </c>
      <c r="I59" s="139">
        <f>ROUND(Anx16AMN!I59+Anx16AME!I59*Disponible!$B$110,2)</f>
        <v>0</v>
      </c>
      <c r="J59" s="139">
        <f>ROUND(Anx16AMN!J59+Anx16AME!J59*Disponible!$B$110,2)</f>
        <v>0</v>
      </c>
      <c r="K59" s="139">
        <f>ROUND(Anx16AMN!K59+Anx16AME!K59*Disponible!$B$110,2)</f>
        <v>0</v>
      </c>
      <c r="L59" s="139">
        <f>ROUND(Anx16AMN!L59+Anx16AME!L59*Disponible!$B$110,2)</f>
        <v>0</v>
      </c>
      <c r="M59" s="139">
        <f>ROUND(Anx16AMN!M59+Anx16AME!M59*Disponible!$B$110,2)</f>
        <v>0</v>
      </c>
      <c r="N59" s="61">
        <f t="shared" si="11"/>
        <v>0</v>
      </c>
      <c r="O59" s="241">
        <f>ROUND(Anx16AMN!N59+Anx16AME!N59*Disponible!$B$110,2)</f>
        <v>0</v>
      </c>
      <c r="P59" s="241">
        <f t="shared" si="1"/>
        <v>0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</row>
    <row r="60" spans="1:98" s="30" customFormat="1" ht="16.5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1"/>
        <v>0</v>
      </c>
      <c r="O60" s="241">
        <f>ROUND(Anx16AMN!N60+Anx16AME!N60*Disponible!$B$110,2)</f>
        <v>0</v>
      </c>
      <c r="P60" s="241">
        <f t="shared" si="1"/>
        <v>0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</row>
    <row r="61" spans="1:98" s="30" customFormat="1" ht="16.5">
      <c r="A61" s="29"/>
      <c r="B61" s="39" t="s">
        <v>1</v>
      </c>
      <c r="C61" s="242">
        <f t="shared" ref="C61:M61" si="12">SUM(C49:C60)</f>
        <v>15119199.810000001</v>
      </c>
      <c r="D61" s="242">
        <f t="shared" si="12"/>
        <v>12537709.699999999</v>
      </c>
      <c r="E61" s="242">
        <f t="shared" si="12"/>
        <v>17418192.629999999</v>
      </c>
      <c r="F61" s="242">
        <f t="shared" si="12"/>
        <v>17018082.949999999</v>
      </c>
      <c r="G61" s="242">
        <f t="shared" si="12"/>
        <v>19877150.130000003</v>
      </c>
      <c r="H61" s="242">
        <f t="shared" si="12"/>
        <v>14364818.67</v>
      </c>
      <c r="I61" s="242">
        <f t="shared" si="12"/>
        <v>32162364.379999999</v>
      </c>
      <c r="J61" s="242">
        <f t="shared" si="12"/>
        <v>42369276.059999995</v>
      </c>
      <c r="K61" s="242">
        <f t="shared" si="12"/>
        <v>68358462.159999996</v>
      </c>
      <c r="L61" s="242">
        <f t="shared" si="12"/>
        <v>20398958.919999998</v>
      </c>
      <c r="M61" s="242">
        <f t="shared" si="12"/>
        <v>1950301.4</v>
      </c>
      <c r="N61" s="242">
        <f>SUM(C61:M61)</f>
        <v>261574516.80999997</v>
      </c>
      <c r="O61" s="241">
        <f>ROUND(Anx16AMN!N61+Anx16AME!N61*Disponible!$B$110,2)</f>
        <v>261574516.80000001</v>
      </c>
      <c r="P61" s="241">
        <f t="shared" si="1"/>
        <v>-9.9999606609344482E-3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</row>
    <row r="62" spans="1:98" s="30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318" t="s">
        <v>143</v>
      </c>
      <c r="N62" s="318" t="s">
        <v>20</v>
      </c>
      <c r="O62" s="241"/>
      <c r="P62" s="24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</row>
    <row r="63" spans="1:98" s="30" customFormat="1" ht="16.5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41"/>
      <c r="P63" s="241">
        <f t="shared" si="1"/>
        <v>0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</row>
    <row r="64" spans="1:98" s="30" customFormat="1" ht="16.5">
      <c r="A64" s="36" t="s">
        <v>114</v>
      </c>
      <c r="B64" s="41" t="s">
        <v>23</v>
      </c>
      <c r="C64" s="243">
        <f>ROUND(Anx16AMN!C64+Anx16AME!C64*Disponible!$B$110,2)</f>
        <v>1370057.58</v>
      </c>
      <c r="D64" s="243">
        <f>ROUND(Anx16AMN!D64+Anx16AME!D64*Disponible!$B$110,2)</f>
        <v>988486.55</v>
      </c>
      <c r="E64" s="243">
        <f>ROUND(Anx16AMN!E64+Anx16AME!E64*Disponible!$B$110,2)</f>
        <v>1026442.89</v>
      </c>
      <c r="F64" s="243">
        <f>ROUND(Anx16AMN!F64+Anx16AME!F64*Disponible!$B$110,2)</f>
        <v>901643.59</v>
      </c>
      <c r="G64" s="243">
        <f>ROUND(Anx16AMN!G64+Anx16AME!G64*Disponible!$B$110,2)</f>
        <v>962102.96</v>
      </c>
      <c r="H64" s="243">
        <f>ROUND(Anx16AMN!H64+Anx16AME!H64*Disponible!$B$110,2)</f>
        <v>742350.1</v>
      </c>
      <c r="I64" s="243">
        <f>ROUND(Anx16AMN!I64+Anx16AME!I64*Disponible!$B$110,2)</f>
        <v>1599645.52</v>
      </c>
      <c r="J64" s="243">
        <f>ROUND(Anx16AMN!J64+Anx16AME!J64*Disponible!$B$110,2)</f>
        <v>2116934.2400000002</v>
      </c>
      <c r="K64" s="243">
        <f>ROUND(Anx16AMN!K64+Anx16AME!K64*Disponible!$B$110,2)</f>
        <v>12079409.27</v>
      </c>
      <c r="L64" s="243">
        <f>ROUND(Anx16AMN!L64+Anx16AME!L64*Disponible!$B$110,2)</f>
        <v>739931.49</v>
      </c>
      <c r="M64" s="243">
        <f>ROUND(Anx16AMN!M64+Anx16AME!M64*Disponible!$B$110,2)</f>
        <v>0</v>
      </c>
      <c r="N64" s="178">
        <f>SUM(C64:M64)</f>
        <v>22527004.189999998</v>
      </c>
      <c r="O64" s="241">
        <f>ROUND(Anx16AMN!N64+Anx16AME!N64*Disponible!$B$110,2)</f>
        <v>22527004.190000001</v>
      </c>
      <c r="P64" s="241">
        <f t="shared" si="1"/>
        <v>0</v>
      </c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</row>
    <row r="65" spans="1:98" s="30" customFormat="1" ht="17.25" customHeight="1">
      <c r="A65" s="40" t="s">
        <v>140</v>
      </c>
      <c r="B65" s="35" t="s">
        <v>55</v>
      </c>
      <c r="C65" s="243">
        <f>ROUND(Anx16AMN!C65+Anx16AME!C65*Disponible!$B$110,2)</f>
        <v>0</v>
      </c>
      <c r="D65" s="243">
        <f>ROUND(Anx16AMN!D65+Anx16AME!D65*Disponible!$B$110,2)</f>
        <v>0</v>
      </c>
      <c r="E65" s="243">
        <f>ROUND(Anx16AMN!E65+Anx16AME!E65*Disponible!$B$110,2)</f>
        <v>0</v>
      </c>
      <c r="F65" s="243">
        <f>ROUND(Anx16AMN!F65+Anx16AME!F65*Disponible!$B$110,2)</f>
        <v>0</v>
      </c>
      <c r="G65" s="243">
        <f>ROUND(Anx16AMN!G65+Anx16AME!G65*Disponible!$B$110,2)</f>
        <v>0</v>
      </c>
      <c r="H65" s="243">
        <f>ROUND(Anx16AMN!H65+Anx16AME!H65*Disponible!$B$110,2)</f>
        <v>0</v>
      </c>
      <c r="I65" s="243">
        <f>ROUND(Anx16AMN!I65+Anx16AME!I65*Disponible!$B$110,2)</f>
        <v>0</v>
      </c>
      <c r="J65" s="243">
        <f>ROUND(Anx16AMN!J65+Anx16AME!J65*Disponible!$B$110,2)</f>
        <v>0</v>
      </c>
      <c r="K65" s="243">
        <f>ROUND(Anx16AMN!K65+Anx16AME!K65*Disponible!$B$110,2)</f>
        <v>0</v>
      </c>
      <c r="L65" s="243">
        <f>ROUND(Anx16AMN!L65+Anx16AME!L65*Disponible!$B$110,2)</f>
        <v>0</v>
      </c>
      <c r="M65" s="243">
        <f>ROUND(Anx16AMN!M65+Anx16AME!M65*Disponible!$B$110,2)</f>
        <v>0</v>
      </c>
      <c r="N65" s="178">
        <f t="shared" ref="N65:N91" si="13">SUM(C65:M65)</f>
        <v>0</v>
      </c>
      <c r="O65" s="241">
        <f>ROUND(Anx16AMN!N65+Anx16AME!N65*Disponible!$B$110,2)</f>
        <v>0</v>
      </c>
      <c r="P65" s="241">
        <f t="shared" si="1"/>
        <v>0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</row>
    <row r="66" spans="1:98" s="30" customFormat="1" ht="16.5">
      <c r="A66" s="42" t="s">
        <v>137</v>
      </c>
      <c r="B66" s="35" t="s">
        <v>25</v>
      </c>
      <c r="C66" s="243">
        <f>ROUND(Anx16AMN!C66+Anx16AME!C66*Disponible!$B$110,2)</f>
        <v>0</v>
      </c>
      <c r="D66" s="243">
        <f>ROUND(Anx16AMN!D66+Anx16AME!D66*Disponible!$B$110,2)</f>
        <v>0</v>
      </c>
      <c r="E66" s="243">
        <f>ROUND(Anx16AMN!E66+Anx16AME!E66*Disponible!$B$110,2)</f>
        <v>0</v>
      </c>
      <c r="F66" s="243">
        <f>ROUND(Anx16AMN!F66+Anx16AME!F66*Disponible!$B$110,2)</f>
        <v>0</v>
      </c>
      <c r="G66" s="243">
        <f>ROUND(Anx16AMN!G66+Anx16AME!G66*Disponible!$B$110,2)</f>
        <v>0</v>
      </c>
      <c r="H66" s="243">
        <f>ROUND(Anx16AMN!H66+Anx16AME!H66*Disponible!$B$110,2)</f>
        <v>0</v>
      </c>
      <c r="I66" s="243">
        <f>ROUND(Anx16AMN!I66+Anx16AME!I66*Disponible!$B$110,2)</f>
        <v>0</v>
      </c>
      <c r="J66" s="243">
        <f>ROUND(Anx16AMN!J66+Anx16AME!J66*Disponible!$B$110,2)</f>
        <v>0</v>
      </c>
      <c r="K66" s="243">
        <f>ROUND(Anx16AMN!K66+Anx16AME!K66*Disponible!$B$110,2)</f>
        <v>0</v>
      </c>
      <c r="L66" s="243">
        <f>ROUND(Anx16AMN!L66+Anx16AME!L66*Disponible!$B$110,2)</f>
        <v>0</v>
      </c>
      <c r="M66" s="243">
        <f>ROUND(Anx16AMN!M66+Anx16AME!M66*Disponible!$B$110,2)</f>
        <v>0</v>
      </c>
      <c r="N66" s="178">
        <f t="shared" si="13"/>
        <v>0</v>
      </c>
      <c r="O66" s="241">
        <f>ROUND(Anx16AMN!N66+Anx16AME!N66*Disponible!$B$110,2)</f>
        <v>0</v>
      </c>
      <c r="P66" s="241">
        <f t="shared" si="1"/>
        <v>0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</row>
    <row r="67" spans="1:98" s="30" customFormat="1" ht="17.25" customHeight="1">
      <c r="A67" s="36" t="s">
        <v>107</v>
      </c>
      <c r="B67" s="41" t="s">
        <v>28</v>
      </c>
      <c r="C67" s="243">
        <f>ROUND(Anx16AMN!C67+Anx16AME!C67*Disponible!$B$110,2)</f>
        <v>0</v>
      </c>
      <c r="D67" s="243">
        <f>ROUND(Anx16AMN!D67+Anx16AME!D67*Disponible!$B$110,2)</f>
        <v>0</v>
      </c>
      <c r="E67" s="243">
        <f>ROUND(Anx16AMN!E67+Anx16AME!E67*Disponible!$B$110,2)</f>
        <v>0</v>
      </c>
      <c r="F67" s="243">
        <f>ROUND(Anx16AMN!F67+Anx16AME!F67*Disponible!$B$110,2)</f>
        <v>0</v>
      </c>
      <c r="G67" s="243">
        <f>ROUND(Anx16AMN!G67+Anx16AME!G67*Disponible!$B$110,2)</f>
        <v>0</v>
      </c>
      <c r="H67" s="243">
        <f>ROUND(Anx16AMN!H67+Anx16AME!H67*Disponible!$B$110,2)</f>
        <v>0</v>
      </c>
      <c r="I67" s="243">
        <f>ROUND(Anx16AMN!I67+Anx16AME!I67*Disponible!$B$110,2)</f>
        <v>0</v>
      </c>
      <c r="J67" s="243">
        <f>ROUND(Anx16AMN!J67+Anx16AME!J67*Disponible!$B$110,2)</f>
        <v>0</v>
      </c>
      <c r="K67" s="243">
        <f>ROUND(Anx16AMN!K67+Anx16AME!K67*Disponible!$B$110,2)</f>
        <v>0</v>
      </c>
      <c r="L67" s="243">
        <f>ROUND(Anx16AMN!L67+Anx16AME!L67*Disponible!$B$110,2)</f>
        <v>0</v>
      </c>
      <c r="M67" s="243">
        <f>ROUND(Anx16AMN!M67+Anx16AME!M67*Disponible!$B$110,2)</f>
        <v>0</v>
      </c>
      <c r="N67" s="178">
        <f t="shared" si="13"/>
        <v>0</v>
      </c>
      <c r="O67" s="241">
        <f>ROUND(Anx16AMN!N67+Anx16AME!N67*Disponible!$B$110,2)</f>
        <v>0</v>
      </c>
      <c r="P67" s="241">
        <f t="shared" si="1"/>
        <v>0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</row>
    <row r="68" spans="1:98" s="30" customFormat="1" ht="16.5" customHeight="1">
      <c r="A68" s="36" t="s">
        <v>108</v>
      </c>
      <c r="B68" s="35" t="s">
        <v>30</v>
      </c>
      <c r="C68" s="243">
        <f>ROUND(Anx16AMN!C68+Anx16AME!C68*Disponible!$B$110,2)</f>
        <v>0</v>
      </c>
      <c r="D68" s="243">
        <f>ROUND(Anx16AMN!D68+Anx16AME!D68*Disponible!$B$110,2)</f>
        <v>0</v>
      </c>
      <c r="E68" s="243">
        <f>ROUND(Anx16AMN!E68+Anx16AME!E68*Disponible!$B$110,2)</f>
        <v>0</v>
      </c>
      <c r="F68" s="243">
        <f>ROUND(Anx16AMN!F68+Anx16AME!F68*Disponible!$B$110,2)</f>
        <v>0</v>
      </c>
      <c r="G68" s="243">
        <f>ROUND(Anx16AMN!G68+Anx16AME!G68*Disponible!$B$110,2)</f>
        <v>0</v>
      </c>
      <c r="H68" s="243">
        <f>ROUND(Anx16AMN!H68+Anx16AME!H68*Disponible!$B$110,2)</f>
        <v>0</v>
      </c>
      <c r="I68" s="243">
        <f>ROUND(Anx16AMN!I68+Anx16AME!I68*Disponible!$B$110,2)</f>
        <v>0</v>
      </c>
      <c r="J68" s="243">
        <f>ROUND(Anx16AMN!J68+Anx16AME!J68*Disponible!$B$110,2)</f>
        <v>0</v>
      </c>
      <c r="K68" s="243">
        <f>ROUND(Anx16AMN!K68+Anx16AME!K68*Disponible!$B$110,2)</f>
        <v>0</v>
      </c>
      <c r="L68" s="243">
        <f>ROUND(Anx16AMN!L68+Anx16AME!L68*Disponible!$B$110,2)</f>
        <v>0</v>
      </c>
      <c r="M68" s="243">
        <f>ROUND(Anx16AMN!M68+Anx16AME!M68*Disponible!$B$110,2)</f>
        <v>0</v>
      </c>
      <c r="N68" s="178">
        <f t="shared" si="13"/>
        <v>0</v>
      </c>
      <c r="O68" s="241">
        <f>ROUND(Anx16AMN!N68+Anx16AME!N68*Disponible!$B$110,2)</f>
        <v>0</v>
      </c>
      <c r="P68" s="241">
        <f t="shared" si="1"/>
        <v>0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</row>
    <row r="69" spans="1:98" s="30" customFormat="1" ht="17.25" customHeight="1">
      <c r="A69" s="36" t="s">
        <v>109</v>
      </c>
      <c r="B69" s="35" t="s">
        <v>32</v>
      </c>
      <c r="C69" s="243">
        <f>ROUND(Anx16AMN!C69+Anx16AME!C69*Disponible!$B$110,2)</f>
        <v>0</v>
      </c>
      <c r="D69" s="243">
        <f>ROUND(Anx16AMN!D69+Anx16AME!D69*Disponible!$B$110,2)</f>
        <v>0</v>
      </c>
      <c r="E69" s="243">
        <f>ROUND(Anx16AMN!E69+Anx16AME!E69*Disponible!$B$110,2)</f>
        <v>0</v>
      </c>
      <c r="F69" s="243">
        <f>ROUND(Anx16AMN!F69+Anx16AME!F69*Disponible!$B$110,2)</f>
        <v>0</v>
      </c>
      <c r="G69" s="243">
        <f>ROUND(Anx16AMN!G69+Anx16AME!G69*Disponible!$B$110,2)</f>
        <v>0</v>
      </c>
      <c r="H69" s="243">
        <f>ROUND(Anx16AMN!H69+Anx16AME!H69*Disponible!$B$110,2)</f>
        <v>0</v>
      </c>
      <c r="I69" s="243">
        <f>ROUND(Anx16AMN!I69+Anx16AME!I69*Disponible!$B$110,2)</f>
        <v>0</v>
      </c>
      <c r="J69" s="243">
        <f>ROUND(Anx16AMN!J69+Anx16AME!J69*Disponible!$B$110,2)</f>
        <v>0</v>
      </c>
      <c r="K69" s="243">
        <f>ROUND(Anx16AMN!K69+Anx16AME!K69*Disponible!$B$110,2)</f>
        <v>0</v>
      </c>
      <c r="L69" s="243">
        <f>ROUND(Anx16AMN!L69+Anx16AME!L69*Disponible!$B$110,2)</f>
        <v>0</v>
      </c>
      <c r="M69" s="243">
        <f>ROUND(Anx16AMN!M69+Anx16AME!M69*Disponible!$B$110,2)</f>
        <v>0</v>
      </c>
      <c r="N69" s="178">
        <f t="shared" si="13"/>
        <v>0</v>
      </c>
      <c r="O69" s="241">
        <f>ROUND(Anx16AMN!N69+Anx16AME!N69*Disponible!$B$110,2)</f>
        <v>0</v>
      </c>
      <c r="P69" s="241">
        <f t="shared" si="1"/>
        <v>0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</row>
    <row r="70" spans="1:98" s="30" customFormat="1" ht="17.25" customHeight="1">
      <c r="A70" s="36" t="s">
        <v>110</v>
      </c>
      <c r="B70" s="35" t="s">
        <v>34</v>
      </c>
      <c r="C70" s="243">
        <f>ROUND(Anx16AMN!C70+Anx16AME!C70*Disponible!$B$110,2)</f>
        <v>0</v>
      </c>
      <c r="D70" s="243">
        <f>ROUND(Anx16AMN!D70+Anx16AME!D70*Disponible!$B$110,2)</f>
        <v>0</v>
      </c>
      <c r="E70" s="243">
        <f>ROUND(Anx16AMN!E70+Anx16AME!E70*Disponible!$B$110,2)</f>
        <v>0</v>
      </c>
      <c r="F70" s="243">
        <f>ROUND(Anx16AMN!F70+Anx16AME!F70*Disponible!$B$110,2)</f>
        <v>0</v>
      </c>
      <c r="G70" s="243">
        <f>ROUND(Anx16AMN!G70+Anx16AME!G70*Disponible!$B$110,2)</f>
        <v>0</v>
      </c>
      <c r="H70" s="243">
        <f>ROUND(Anx16AMN!H70+Anx16AME!H70*Disponible!$B$110,2)</f>
        <v>0</v>
      </c>
      <c r="I70" s="243">
        <f>ROUND(Anx16AMN!I70+Anx16AME!I70*Disponible!$B$110,2)</f>
        <v>0</v>
      </c>
      <c r="J70" s="243">
        <f>ROUND(Anx16AMN!J70+Anx16AME!J70*Disponible!$B$110,2)</f>
        <v>0</v>
      </c>
      <c r="K70" s="243">
        <f>ROUND(Anx16AMN!K70+Anx16AME!K70*Disponible!$B$110,2)</f>
        <v>0</v>
      </c>
      <c r="L70" s="243">
        <f>ROUND(Anx16AMN!L70+Anx16AME!L70*Disponible!$B$110,2)</f>
        <v>0</v>
      </c>
      <c r="M70" s="243">
        <f>ROUND(Anx16AMN!M70+Anx16AME!M70*Disponible!$B$110,2)</f>
        <v>0</v>
      </c>
      <c r="N70" s="178">
        <f t="shared" si="13"/>
        <v>0</v>
      </c>
      <c r="O70" s="241">
        <f>ROUND(Anx16AMN!N70+Anx16AME!N70*Disponible!$B$110,2)</f>
        <v>0</v>
      </c>
      <c r="P70" s="241">
        <f t="shared" si="1"/>
        <v>0</v>
      </c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</row>
    <row r="71" spans="1:98" s="30" customFormat="1" ht="16.5">
      <c r="A71" s="40" t="s">
        <v>7</v>
      </c>
      <c r="B71" s="35" t="s">
        <v>36</v>
      </c>
      <c r="C71" s="243">
        <f>ROUND(Anx16AMN!C71+Anx16AME!C71*Disponible!$B$110,2)</f>
        <v>0</v>
      </c>
      <c r="D71" s="243">
        <f>ROUND(Anx16AMN!D71+Anx16AME!D71*Disponible!$B$110,2)</f>
        <v>0</v>
      </c>
      <c r="E71" s="243">
        <f>ROUND(Anx16AMN!E71+Anx16AME!E71*Disponible!$B$110,2)</f>
        <v>0</v>
      </c>
      <c r="F71" s="243">
        <f>ROUND(Anx16AMN!F71+Anx16AME!F71*Disponible!$B$110,2)</f>
        <v>0</v>
      </c>
      <c r="G71" s="243">
        <f>ROUND(Anx16AMN!G71+Anx16AME!G71*Disponible!$B$110,2)</f>
        <v>0</v>
      </c>
      <c r="H71" s="243">
        <f>ROUND(Anx16AMN!H71+Anx16AME!H71*Disponible!$B$110,2)</f>
        <v>0</v>
      </c>
      <c r="I71" s="243">
        <f>ROUND(Anx16AMN!I71+Anx16AME!I71*Disponible!$B$110,2)</f>
        <v>0</v>
      </c>
      <c r="J71" s="243">
        <f>ROUND(Anx16AMN!J71+Anx16AME!J71*Disponible!$B$110,2)</f>
        <v>0</v>
      </c>
      <c r="K71" s="243">
        <f>ROUND(Anx16AMN!K71+Anx16AME!K71*Disponible!$B$110,2)</f>
        <v>0</v>
      </c>
      <c r="L71" s="243">
        <f>ROUND(Anx16AMN!L71+Anx16AME!L71*Disponible!$B$110,2)</f>
        <v>0</v>
      </c>
      <c r="M71" s="243">
        <f>ROUND(Anx16AMN!M71+Anx16AME!M71*Disponible!$B$110,2)</f>
        <v>0</v>
      </c>
      <c r="N71" s="178">
        <f t="shared" si="13"/>
        <v>0</v>
      </c>
      <c r="O71" s="241">
        <f>ROUND(Anx16AMN!N71+Anx16AME!N71*Disponible!$B$110,2)</f>
        <v>0</v>
      </c>
      <c r="P71" s="241">
        <f t="shared" si="1"/>
        <v>0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</row>
    <row r="72" spans="1:98" s="30" customFormat="1" ht="16.5">
      <c r="A72" s="40" t="s">
        <v>6</v>
      </c>
      <c r="B72" s="35" t="s">
        <v>38</v>
      </c>
      <c r="C72" s="243">
        <f>ROUND(Anx16AMN!C72+Anx16AME!C72*Disponible!$B$110,2)</f>
        <v>442922.53</v>
      </c>
      <c r="D72" s="243">
        <f>ROUND(Anx16AMN!D72+Anx16AME!D72*Disponible!$B$110,2)</f>
        <v>0</v>
      </c>
      <c r="E72" s="243">
        <f>ROUND(Anx16AMN!E72+Anx16AME!E72*Disponible!$B$110,2)</f>
        <v>667052.07999999996</v>
      </c>
      <c r="F72" s="243">
        <f>ROUND(Anx16AMN!F72+Anx16AME!F72*Disponible!$B$110,2)</f>
        <v>0</v>
      </c>
      <c r="G72" s="243">
        <f>ROUND(Anx16AMN!G72+Anx16AME!G72*Disponible!$B$110,2)</f>
        <v>0</v>
      </c>
      <c r="H72" s="243">
        <f>ROUND(Anx16AMN!H72+Anx16AME!H72*Disponible!$B$110,2)</f>
        <v>0</v>
      </c>
      <c r="I72" s="243">
        <f>ROUND(Anx16AMN!I72+Anx16AME!I72*Disponible!$B$110,2)</f>
        <v>0</v>
      </c>
      <c r="J72" s="243">
        <f>ROUND(Anx16AMN!J72+Anx16AME!J72*Disponible!$B$110,2)</f>
        <v>73005.36</v>
      </c>
      <c r="K72" s="243">
        <f>ROUND(Anx16AMN!K72+Anx16AME!K72*Disponible!$B$110,2)</f>
        <v>153988.74</v>
      </c>
      <c r="L72" s="243">
        <f>ROUND(Anx16AMN!L72+Anx16AME!L72*Disponible!$B$110,2)</f>
        <v>0</v>
      </c>
      <c r="M72" s="243">
        <f>ROUND(Anx16AMN!M72+Anx16AME!M72*Disponible!$B$110,2)</f>
        <v>0</v>
      </c>
      <c r="N72" s="178">
        <f>SUM(C72:M72)</f>
        <v>1336968.71</v>
      </c>
      <c r="O72" s="241">
        <f>ROUND(Anx16AMN!N72+Anx16AME!N72*Disponible!$B$110,2)</f>
        <v>1336968.71</v>
      </c>
      <c r="P72" s="241">
        <f t="shared" si="1"/>
        <v>0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</row>
    <row r="73" spans="1:98" s="30" customFormat="1" ht="16.5">
      <c r="A73" s="29"/>
      <c r="B73" s="34" t="s">
        <v>39</v>
      </c>
      <c r="C73" s="243">
        <f>ROUND(Anx16AMN!C73+Anx16AME!C73*Disponible!$B$110,2)</f>
        <v>0</v>
      </c>
      <c r="D73" s="243">
        <f>ROUND(Anx16AMN!D73+Anx16AME!D73*Disponible!$B$110,2)</f>
        <v>0</v>
      </c>
      <c r="E73" s="243">
        <f>ROUND(Anx16AMN!E73+Anx16AME!E73*Disponible!$B$110,2)</f>
        <v>0</v>
      </c>
      <c r="F73" s="243">
        <f>ROUND(Anx16AMN!F73+Anx16AME!F73*Disponible!$B$110,2)</f>
        <v>0</v>
      </c>
      <c r="G73" s="243">
        <f>ROUND(Anx16AMN!G73+Anx16AME!G73*Disponible!$B$110,2)</f>
        <v>0</v>
      </c>
      <c r="H73" s="243">
        <f>ROUND(Anx16AMN!H73+Anx16AME!H73*Disponible!$B$110,2)</f>
        <v>0</v>
      </c>
      <c r="I73" s="243">
        <f>ROUND(Anx16AMN!I73+Anx16AME!I73*Disponible!$B$110,2)</f>
        <v>0</v>
      </c>
      <c r="J73" s="243">
        <f>ROUND(Anx16AMN!J73+Anx16AME!J73*Disponible!$B$110,2)</f>
        <v>0</v>
      </c>
      <c r="K73" s="243">
        <f>ROUND(Anx16AMN!K73+Anx16AME!K73*Disponible!$B$110,2)</f>
        <v>0</v>
      </c>
      <c r="L73" s="243">
        <f>ROUND(Anx16AMN!L73+Anx16AME!L73*Disponible!$B$110,2)</f>
        <v>0</v>
      </c>
      <c r="M73" s="243">
        <f>ROUND(Anx16AMN!M73+Anx16AME!M73*Disponible!$B$110,2)</f>
        <v>0</v>
      </c>
      <c r="N73" s="178">
        <f t="shared" si="13"/>
        <v>0</v>
      </c>
      <c r="O73" s="241">
        <f>ROUND(Anx16AMN!N73+Anx16AME!N73*Disponible!$B$110,2)</f>
        <v>0</v>
      </c>
      <c r="P73" s="241">
        <f t="shared" ref="P73:P92" si="14">+O73-N73</f>
        <v>0</v>
      </c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</row>
    <row r="74" spans="1:98" s="30" customFormat="1" ht="16.5">
      <c r="A74" s="29"/>
      <c r="B74" s="35" t="s">
        <v>57</v>
      </c>
      <c r="C74" s="243">
        <f>ROUND(Anx16AMN!C74+Anx16AME!C74*Disponible!$B$110,2)</f>
        <v>0</v>
      </c>
      <c r="D74" s="243">
        <f>ROUND(Anx16AMN!D74+Anx16AME!D74*Disponible!$B$110,2)</f>
        <v>0</v>
      </c>
      <c r="E74" s="243">
        <f>ROUND(Anx16AMN!E74+Anx16AME!E74*Disponible!$B$110,2)</f>
        <v>0</v>
      </c>
      <c r="F74" s="243">
        <f>ROUND(Anx16AMN!F74+Anx16AME!F74*Disponible!$B$110,2)</f>
        <v>0</v>
      </c>
      <c r="G74" s="243">
        <f>ROUND(Anx16AMN!G74+Anx16AME!G74*Disponible!$B$110,2)</f>
        <v>0</v>
      </c>
      <c r="H74" s="243">
        <f>ROUND(Anx16AMN!H74+Anx16AME!H74*Disponible!$B$110,2)</f>
        <v>0</v>
      </c>
      <c r="I74" s="243">
        <f>ROUND(Anx16AMN!I74+Anx16AME!I74*Disponible!$B$110,2)</f>
        <v>0</v>
      </c>
      <c r="J74" s="243">
        <f>ROUND(Anx16AMN!J74+Anx16AME!J74*Disponible!$B$110,2)</f>
        <v>0</v>
      </c>
      <c r="K74" s="243">
        <f>ROUND(Anx16AMN!K74+Anx16AME!K74*Disponible!$B$110,2)</f>
        <v>0</v>
      </c>
      <c r="L74" s="243">
        <f>ROUND(Anx16AMN!L74+Anx16AME!L74*Disponible!$B$110,2)</f>
        <v>0</v>
      </c>
      <c r="M74" s="243">
        <f>ROUND(Anx16AMN!M74+Anx16AME!M74*Disponible!$B$110,2)</f>
        <v>0</v>
      </c>
      <c r="N74" s="178">
        <f t="shared" si="13"/>
        <v>0</v>
      </c>
      <c r="O74" s="241">
        <f>ROUND(Anx16AMN!N74+Anx16AME!N74*Disponible!$B$110,2)</f>
        <v>0</v>
      </c>
      <c r="P74" s="241">
        <f t="shared" si="14"/>
        <v>0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</row>
    <row r="75" spans="1:98" s="30" customFormat="1" ht="16.5">
      <c r="A75" s="29"/>
      <c r="B75" s="39" t="s">
        <v>2</v>
      </c>
      <c r="C75" s="227">
        <f>SUM(C64:C74)</f>
        <v>1812980.11</v>
      </c>
      <c r="D75" s="227">
        <f t="shared" ref="D75:M75" si="15">SUM(D64:D74)</f>
        <v>988486.55</v>
      </c>
      <c r="E75" s="227">
        <f>SUM(E64:E74)</f>
        <v>1693494.97</v>
      </c>
      <c r="F75" s="227">
        <f t="shared" si="15"/>
        <v>901643.59</v>
      </c>
      <c r="G75" s="227">
        <f t="shared" si="15"/>
        <v>962102.96</v>
      </c>
      <c r="H75" s="227">
        <f t="shared" si="15"/>
        <v>742350.1</v>
      </c>
      <c r="I75" s="227">
        <f t="shared" si="15"/>
        <v>1599645.52</v>
      </c>
      <c r="J75" s="227">
        <f t="shared" si="15"/>
        <v>2189939.6</v>
      </c>
      <c r="K75" s="227">
        <f t="shared" si="15"/>
        <v>12233398.01</v>
      </c>
      <c r="L75" s="227">
        <f t="shared" si="15"/>
        <v>739931.49</v>
      </c>
      <c r="M75" s="227">
        <f t="shared" si="15"/>
        <v>0</v>
      </c>
      <c r="N75" s="242">
        <f>SUM(C75:M75)</f>
        <v>23863972.899999995</v>
      </c>
      <c r="O75" s="241">
        <f>ROUND(Anx16AMN!N75+Anx16AME!N75*Disponible!$B$110,2)</f>
        <v>23863972.899999999</v>
      </c>
      <c r="P75" s="241">
        <f t="shared" si="14"/>
        <v>0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</row>
    <row r="76" spans="1:98" s="30" customFormat="1" ht="16.5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241"/>
      <c r="P76" s="24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</row>
    <row r="77" spans="1:98" s="30" customFormat="1" ht="16.5">
      <c r="A77" s="33" t="s">
        <v>115</v>
      </c>
      <c r="B77" s="35" t="s">
        <v>59</v>
      </c>
      <c r="C77" s="139">
        <f>ROUND(Anx16AMN!C77+Anx16AME!C77*Disponible!$B$110,2)</f>
        <v>137811.35</v>
      </c>
      <c r="D77" s="139">
        <f>ROUND(Anx16AMN!D77+Anx16AME!D77*Disponible!$B$110,2)</f>
        <v>159</v>
      </c>
      <c r="E77" s="139">
        <f>ROUND(Anx16AMN!E77+Anx16AME!E77*Disponible!$B$110,2)</f>
        <v>0</v>
      </c>
      <c r="F77" s="139">
        <f>ROUND(Anx16AMN!F77+Anx16AME!F77*Disponible!$B$110,2)</f>
        <v>0</v>
      </c>
      <c r="G77" s="139">
        <f>ROUND(Anx16AMN!G77+Anx16AME!G77*Disponible!$B$110,2)</f>
        <v>0</v>
      </c>
      <c r="H77" s="139">
        <f>ROUND(Anx16AMN!H77+Anx16AME!H77*Disponible!$B$110,2)</f>
        <v>0</v>
      </c>
      <c r="I77" s="139">
        <f>ROUND(Anx16AMN!I77+Anx16AME!I77*Disponible!$B$110,2)</f>
        <v>0</v>
      </c>
      <c r="J77" s="139">
        <f>ROUND(Anx16AMN!J77+Anx16AME!J77*Disponible!$B$110,2)</f>
        <v>0</v>
      </c>
      <c r="K77" s="139">
        <f>ROUND(Anx16AMN!K77+Anx16AME!K77*Disponible!$B$110,2)</f>
        <v>0</v>
      </c>
      <c r="L77" s="139">
        <f>ROUND(Anx16AMN!L77+Anx16AME!L77*Disponible!$B$110,2)</f>
        <v>0</v>
      </c>
      <c r="M77" s="139">
        <f>ROUND(Anx16AMN!M77+Anx16AME!M77*Disponible!$B$110,2)</f>
        <v>0</v>
      </c>
      <c r="N77" s="61">
        <f t="shared" si="13"/>
        <v>137970.35</v>
      </c>
      <c r="O77" s="241">
        <f>ROUND(Anx16AMN!N77+Anx16AME!N77*Disponible!$B$110,2)</f>
        <v>137970.34</v>
      </c>
      <c r="P77" s="241">
        <f t="shared" si="14"/>
        <v>-1.0000000009313226E-2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</row>
    <row r="78" spans="1:98" s="30" customFormat="1" ht="16.5">
      <c r="A78" s="33" t="s">
        <v>115</v>
      </c>
      <c r="B78" s="35" t="s">
        <v>60</v>
      </c>
      <c r="C78" s="139">
        <f>ROUND(Anx16AMN!C78+Anx16AME!C78*Disponible!$B$110,2)</f>
        <v>0</v>
      </c>
      <c r="D78" s="139">
        <f>ROUND(Anx16AMN!D78+Anx16AME!D78*Disponible!$B$110,2)</f>
        <v>0</v>
      </c>
      <c r="E78" s="139">
        <f>ROUND(Anx16AMN!E78+Anx16AME!E78*Disponible!$B$110,2)</f>
        <v>0</v>
      </c>
      <c r="F78" s="139">
        <f>ROUND(Anx16AMN!F78+Anx16AME!F78*Disponible!$B$110,2)</f>
        <v>0</v>
      </c>
      <c r="G78" s="139">
        <f>ROUND(Anx16AMN!G78+Anx16AME!G78*Disponible!$B$110,2)</f>
        <v>0</v>
      </c>
      <c r="H78" s="139">
        <f>ROUND(Anx16AMN!H78+Anx16AME!H78*Disponible!$B$110,2)</f>
        <v>0</v>
      </c>
      <c r="I78" s="139">
        <f>ROUND(Anx16AMN!I78+Anx16AME!I78*Disponible!$B$110,2)</f>
        <v>0</v>
      </c>
      <c r="J78" s="139">
        <f>ROUND(Anx16AMN!J78+Anx16AME!J78*Disponible!$B$110,2)</f>
        <v>0</v>
      </c>
      <c r="K78" s="139">
        <f>ROUND(Anx16AMN!K78+Anx16AME!K78*Disponible!$B$110,2)</f>
        <v>0</v>
      </c>
      <c r="L78" s="139">
        <f>ROUND(Anx16AMN!L78+Anx16AME!L78*Disponible!$B$110,2)</f>
        <v>0</v>
      </c>
      <c r="M78" s="139">
        <f>ROUND(Anx16AMN!M78+Anx16AME!M78*Disponible!$B$110,2)</f>
        <v>0</v>
      </c>
      <c r="N78" s="178">
        <f t="shared" si="13"/>
        <v>0</v>
      </c>
      <c r="O78" s="241">
        <f>ROUND(Anx16AMN!N78+Anx16AME!N78*Disponible!$B$110,2)</f>
        <v>0</v>
      </c>
      <c r="P78" s="241">
        <f t="shared" si="14"/>
        <v>0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</row>
    <row r="79" spans="1:98" s="30" customFormat="1" ht="16.5">
      <c r="A79" s="33" t="s">
        <v>115</v>
      </c>
      <c r="B79" s="35" t="s">
        <v>61</v>
      </c>
      <c r="C79" s="139">
        <f>ROUND(Anx16AMN!C79+Anx16AME!C79*Disponible!$B$110,2)</f>
        <v>0</v>
      </c>
      <c r="D79" s="139">
        <f>ROUND(Anx16AMN!D79+Anx16AME!D79*Disponible!$B$110,2)</f>
        <v>0</v>
      </c>
      <c r="E79" s="139">
        <f>ROUND(Anx16AMN!E79+Anx16AME!E79*Disponible!$B$110,2)</f>
        <v>0</v>
      </c>
      <c r="F79" s="139">
        <f>ROUND(Anx16AMN!F79+Anx16AME!F79*Disponible!$B$110,2)</f>
        <v>0</v>
      </c>
      <c r="G79" s="139">
        <f>ROUND(Anx16AMN!G79+Anx16AME!G79*Disponible!$B$110,2)</f>
        <v>0</v>
      </c>
      <c r="H79" s="139">
        <f>ROUND(Anx16AMN!H79+Anx16AME!H79*Disponible!$B$110,2)</f>
        <v>0</v>
      </c>
      <c r="I79" s="139">
        <f>ROUND(Anx16AMN!I79+Anx16AME!I79*Disponible!$B$110,2)</f>
        <v>0</v>
      </c>
      <c r="J79" s="139">
        <f>ROUND(Anx16AMN!J79+Anx16AME!J79*Disponible!$B$110,2)</f>
        <v>0</v>
      </c>
      <c r="K79" s="139">
        <f>ROUND(Anx16AMN!K79+Anx16AME!K79*Disponible!$B$110,2)</f>
        <v>0</v>
      </c>
      <c r="L79" s="139">
        <f>ROUND(Anx16AMN!L79+Anx16AME!L79*Disponible!$B$110,2)</f>
        <v>0</v>
      </c>
      <c r="M79" s="139">
        <f>ROUND(Anx16AMN!M79+Anx16AME!M79*Disponible!$B$110,2)</f>
        <v>0</v>
      </c>
      <c r="N79" s="178">
        <f t="shared" si="13"/>
        <v>0</v>
      </c>
      <c r="O79" s="241">
        <f>ROUND(Anx16AMN!N79+Anx16AME!N79*Disponible!$B$110,2)</f>
        <v>0</v>
      </c>
      <c r="P79" s="241">
        <f t="shared" si="14"/>
        <v>0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</row>
    <row r="80" spans="1:98" s="30" customFormat="1" ht="16.5">
      <c r="A80" s="33" t="s">
        <v>116</v>
      </c>
      <c r="B80" s="35" t="s">
        <v>63</v>
      </c>
      <c r="C80" s="139">
        <f>ROUND(Anx16AMN!C80+Anx16AME!C80*Disponible!$B$110,2)</f>
        <v>5033538.2699999996</v>
      </c>
      <c r="D80" s="139">
        <f>ROUND(Anx16AMN!D80+Anx16AME!D80*Disponible!$B$110,2)</f>
        <v>2084959.82</v>
      </c>
      <c r="E80" s="139">
        <f>ROUND(Anx16AMN!E80+Anx16AME!E80*Disponible!$B$110,2)</f>
        <v>1599845.94</v>
      </c>
      <c r="F80" s="139">
        <f>ROUND(Anx16AMN!F80+Anx16AME!F80*Disponible!$B$110,2)</f>
        <v>0</v>
      </c>
      <c r="G80" s="139">
        <f>ROUND(Anx16AMN!G80+Anx16AME!G80*Disponible!$B$110,2)</f>
        <v>0</v>
      </c>
      <c r="H80" s="139">
        <f>ROUND(Anx16AMN!H80+Anx16AME!H80*Disponible!$B$110,2)</f>
        <v>0</v>
      </c>
      <c r="I80" s="139">
        <f>ROUND(Anx16AMN!I80+Anx16AME!I80*Disponible!$B$110,2)</f>
        <v>0</v>
      </c>
      <c r="J80" s="139">
        <f>ROUND(Anx16AMN!J80+Anx16AME!J80*Disponible!$B$110,2)</f>
        <v>0</v>
      </c>
      <c r="K80" s="139">
        <f>ROUND(Anx16AMN!K80+Anx16AME!K80*Disponible!$B$110,2)</f>
        <v>36253557.950000003</v>
      </c>
      <c r="L80" s="139">
        <f>ROUND(Anx16AMN!L80+Anx16AME!L80*Disponible!$B$110,2)</f>
        <v>0</v>
      </c>
      <c r="M80" s="139">
        <f>ROUND(Anx16AMN!M80+Anx16AME!M80*Disponible!$B$110,2)</f>
        <v>0</v>
      </c>
      <c r="N80" s="178">
        <f>SUM(C80:M80)</f>
        <v>44971901.980000004</v>
      </c>
      <c r="O80" s="241">
        <f>ROUND(Anx16AMN!N80+Anx16AME!N80*Disponible!$B$110,2)</f>
        <v>44971901.979999997</v>
      </c>
      <c r="P80" s="241">
        <f t="shared" si="14"/>
        <v>0</v>
      </c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</row>
    <row r="81" spans="1:98" s="30" customFormat="1" ht="16.5">
      <c r="A81" s="33" t="s">
        <v>116</v>
      </c>
      <c r="B81" s="35" t="s">
        <v>64</v>
      </c>
      <c r="C81" s="243">
        <f>ROUND(Anx16AMN!C81+Anx16AME!C81*Disponible!$B$110,2)</f>
        <v>1994014.56</v>
      </c>
      <c r="D81" s="139">
        <f>ROUND(Anx16AMN!D81+Anx16AME!D81*Disponible!$B$110,2)</f>
        <v>825947.87</v>
      </c>
      <c r="E81" s="139">
        <f>ROUND(Anx16AMN!E81+Anx16AME!E81*Disponible!$B$110,2)</f>
        <v>633772.09</v>
      </c>
      <c r="F81" s="139">
        <f>ROUND(Anx16AMN!F81+Anx16AME!F81*Disponible!$B$110,2)</f>
        <v>0</v>
      </c>
      <c r="G81" s="139">
        <f>ROUND(Anx16AMN!G81+Anx16AME!G81*Disponible!$B$110,2)</f>
        <v>0</v>
      </c>
      <c r="H81" s="139">
        <f>ROUND(Anx16AMN!H81+Anx16AME!H81*Disponible!$B$110,2)</f>
        <v>0</v>
      </c>
      <c r="I81" s="139">
        <f>ROUND(Anx16AMN!I81+Anx16AME!I81*Disponible!$B$110,2)</f>
        <v>0</v>
      </c>
      <c r="J81" s="139">
        <f>ROUND(Anx16AMN!J81+Anx16AME!J81*Disponible!$B$110,2)</f>
        <v>0</v>
      </c>
      <c r="K81" s="139">
        <f>ROUND(Anx16AMN!K81+Anx16AME!K81*Disponible!$B$110,2)</f>
        <v>14358416.779999999</v>
      </c>
      <c r="L81" s="139">
        <f>ROUND(Anx16AMN!L81+Anx16AME!L81*Disponible!$B$110,2)</f>
        <v>0</v>
      </c>
      <c r="M81" s="139">
        <f>ROUND(Anx16AMN!M81+Anx16AME!M81*Disponible!$B$110,2)</f>
        <v>0</v>
      </c>
      <c r="N81" s="178">
        <f t="shared" si="13"/>
        <v>17812151.300000001</v>
      </c>
      <c r="O81" s="241">
        <f>ROUND(Anx16AMN!N81+Anx16AME!N81*Disponible!$B$110,2)</f>
        <v>17812151.309999999</v>
      </c>
      <c r="P81" s="241">
        <f t="shared" si="14"/>
        <v>9.9999979138374329E-3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</row>
    <row r="82" spans="1:98" s="30" customFormat="1" ht="16.5">
      <c r="A82" s="33" t="s">
        <v>116</v>
      </c>
      <c r="B82" s="35" t="s">
        <v>65</v>
      </c>
      <c r="C82" s="243">
        <f>ROUND(Anx16AMN!C82+Anx16AME!C82*Disponible!$B$110,2)</f>
        <v>601769.82999999996</v>
      </c>
      <c r="D82" s="139">
        <f>ROUND(Anx16AMN!D82+Anx16AME!D82*Disponible!$B$110,2)</f>
        <v>249261.23</v>
      </c>
      <c r="E82" s="139">
        <f>ROUND(Anx16AMN!E82+Anx16AME!E82*Disponible!$B$110,2)</f>
        <v>191264.87</v>
      </c>
      <c r="F82" s="139">
        <f>ROUND(Anx16AMN!F82+Anx16AME!F82*Disponible!$B$110,2)</f>
        <v>0</v>
      </c>
      <c r="G82" s="139">
        <f>ROUND(Anx16AMN!G82+Anx16AME!G82*Disponible!$B$110,2)</f>
        <v>0</v>
      </c>
      <c r="H82" s="139">
        <f>ROUND(Anx16AMN!H82+Anx16AME!H82*Disponible!$B$110,2)</f>
        <v>0</v>
      </c>
      <c r="I82" s="139">
        <f>ROUND(Anx16AMN!I82+Anx16AME!I82*Disponible!$B$110,2)</f>
        <v>0</v>
      </c>
      <c r="J82" s="139">
        <f>ROUND(Anx16AMN!J82+Anx16AME!J82*Disponible!$B$110,2)</f>
        <v>0</v>
      </c>
      <c r="K82" s="139">
        <f>ROUND(Anx16AMN!K82+Anx16AME!K82*Disponible!$B$110,2)</f>
        <v>4356979.92</v>
      </c>
      <c r="L82" s="139">
        <f>ROUND(Anx16AMN!L82+Anx16AME!L82*Disponible!$B$110,2)</f>
        <v>0</v>
      </c>
      <c r="M82" s="139">
        <f>ROUND(Anx16AMN!M82+Anx16AME!M82*Disponible!$B$110,2)</f>
        <v>0</v>
      </c>
      <c r="N82" s="178">
        <f t="shared" si="13"/>
        <v>5399275.8499999996</v>
      </c>
      <c r="O82" s="241">
        <f>ROUND(Anx16AMN!N82+Anx16AME!N82*Disponible!$B$110,2)</f>
        <v>5399275.8600000003</v>
      </c>
      <c r="P82" s="241">
        <f t="shared" si="14"/>
        <v>1.0000000707805157E-2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</row>
    <row r="83" spans="1:98" s="30" customFormat="1" ht="16.5">
      <c r="A83" s="33" t="s">
        <v>117</v>
      </c>
      <c r="B83" s="35" t="s">
        <v>42</v>
      </c>
      <c r="C83" s="243">
        <f>ROUND(Anx16AMN!C83+Anx16AME!C83*Disponible!$B$110,2)</f>
        <v>4215754.7</v>
      </c>
      <c r="D83" s="139">
        <f>ROUND(Anx16AMN!D83+Anx16AME!D83*Disponible!$B$110,2)</f>
        <v>1746222.79</v>
      </c>
      <c r="E83" s="139">
        <f>ROUND(Anx16AMN!E83+Anx16AME!E83*Disponible!$B$110,2)</f>
        <v>1339923.8799999999</v>
      </c>
      <c r="F83" s="139">
        <f>ROUND(Anx16AMN!F83+Anx16AME!F83*Disponible!$B$110,2)</f>
        <v>0</v>
      </c>
      <c r="G83" s="139">
        <f>ROUND(Anx16AMN!G83+Anx16AME!G83*Disponible!$B$110,2)</f>
        <v>0</v>
      </c>
      <c r="H83" s="139">
        <f>ROUND(Anx16AMN!H83+Anx16AME!H83*Disponible!$B$110,2)</f>
        <v>0</v>
      </c>
      <c r="I83" s="139">
        <f>ROUND(Anx16AMN!I83+Anx16AME!I83*Disponible!$B$110,2)</f>
        <v>0</v>
      </c>
      <c r="J83" s="139">
        <f>ROUND(Anx16AMN!J83+Anx16AME!J83*Disponible!$B$110,2)</f>
        <v>0</v>
      </c>
      <c r="K83" s="139">
        <f>ROUND(Anx16AMN!K83+Anx16AME!K83*Disponible!$B$110,2)</f>
        <v>53148159.740000002</v>
      </c>
      <c r="L83" s="139">
        <f>ROUND(Anx16AMN!L83+Anx16AME!L83*Disponible!$B$110,2)</f>
        <v>0</v>
      </c>
      <c r="M83" s="139">
        <f>ROUND(Anx16AMN!M83+Anx16AME!M83*Disponible!$B$110,2)</f>
        <v>0</v>
      </c>
      <c r="N83" s="178">
        <f t="shared" si="13"/>
        <v>60450061.109999999</v>
      </c>
      <c r="O83" s="241">
        <f>ROUND(Anx16AMN!N83+Anx16AME!N83*Disponible!$B$110,2)</f>
        <v>60450061.109999999</v>
      </c>
      <c r="P83" s="241">
        <f t="shared" si="14"/>
        <v>0</v>
      </c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</row>
    <row r="84" spans="1:98" s="30" customFormat="1" ht="16.5">
      <c r="A84" s="33" t="s">
        <v>117</v>
      </c>
      <c r="B84" s="35" t="s">
        <v>43</v>
      </c>
      <c r="C84" s="243">
        <f>ROUND(Anx16AMN!C84+Anx16AME!C84*Disponible!$B$110,2)</f>
        <v>629292.13</v>
      </c>
      <c r="D84" s="139">
        <f>ROUND(Anx16AMN!D84+Anx16AME!D84*Disponible!$B$110,2)</f>
        <v>260661.35</v>
      </c>
      <c r="E84" s="139">
        <f>ROUND(Anx16AMN!E84+Anx16AME!E84*Disponible!$B$110,2)</f>
        <v>200012.48</v>
      </c>
      <c r="F84" s="139">
        <f>ROUND(Anx16AMN!F84+Anx16AME!F84*Disponible!$B$110,2)</f>
        <v>0</v>
      </c>
      <c r="G84" s="139">
        <f>ROUND(Anx16AMN!G84+Anx16AME!G84*Disponible!$B$110,2)</f>
        <v>0</v>
      </c>
      <c r="H84" s="139">
        <f>ROUND(Anx16AMN!H84+Anx16AME!H84*Disponible!$B$110,2)</f>
        <v>0</v>
      </c>
      <c r="I84" s="139">
        <f>ROUND(Anx16AMN!I84+Anx16AME!I84*Disponible!$B$110,2)</f>
        <v>0</v>
      </c>
      <c r="J84" s="139">
        <f>ROUND(Anx16AMN!J84+Anx16AME!J84*Disponible!$B$110,2)</f>
        <v>0</v>
      </c>
      <c r="K84" s="139">
        <f>ROUND(Anx16AMN!K84+Anx16AME!K84*Disponible!$B$110,2)</f>
        <v>7863086.1299999999</v>
      </c>
      <c r="L84" s="139">
        <f>ROUND(Anx16AMN!L84+Anx16AME!L84*Disponible!$B$110,2)</f>
        <v>0</v>
      </c>
      <c r="M84" s="139">
        <f>ROUND(Anx16AMN!M84+Anx16AME!M84*Disponible!$B$110,2)</f>
        <v>0</v>
      </c>
      <c r="N84" s="178">
        <f t="shared" si="13"/>
        <v>8953052.0899999999</v>
      </c>
      <c r="O84" s="241">
        <f>ROUND(Anx16AMN!N84+Anx16AME!N84*Disponible!$B$110,2)</f>
        <v>8953052.0899999999</v>
      </c>
      <c r="P84" s="241">
        <f t="shared" si="14"/>
        <v>0</v>
      </c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</row>
    <row r="85" spans="1:98" s="30" customFormat="1" ht="16.5">
      <c r="A85" s="33" t="s">
        <v>117</v>
      </c>
      <c r="B85" s="35" t="s">
        <v>68</v>
      </c>
      <c r="C85" s="243">
        <f>ROUND(Anx16AMN!C85+Anx16AME!C85*Disponible!$B$110,2)+0.02</f>
        <v>51737.53</v>
      </c>
      <c r="D85" s="139">
        <f>ROUND(Anx16AMN!D85+Anx16AME!D85*Disponible!$B$110,2)</f>
        <v>21430.400000000001</v>
      </c>
      <c r="E85" s="139">
        <f>ROUND(Anx16AMN!E85+Anx16AME!E85*Disponible!$B$110,2)</f>
        <v>16444.11</v>
      </c>
      <c r="F85" s="139">
        <f>ROUND(Anx16AMN!F85+Anx16AME!F85*Disponible!$B$110,2)</f>
        <v>0</v>
      </c>
      <c r="G85" s="139">
        <f>ROUND(Anx16AMN!G85+Anx16AME!G85*Disponible!$B$110,2)</f>
        <v>0</v>
      </c>
      <c r="H85" s="139">
        <f>ROUND(Anx16AMN!H85+Anx16AME!H85*Disponible!$B$110,2)</f>
        <v>0</v>
      </c>
      <c r="I85" s="139">
        <f>ROUND(Anx16AMN!I85+Anx16AME!I85*Disponible!$B$110,2)</f>
        <v>0</v>
      </c>
      <c r="J85" s="139">
        <f>ROUND(Anx16AMN!J85+Anx16AME!J85*Disponible!$B$110,2)</f>
        <v>0</v>
      </c>
      <c r="K85" s="139">
        <f>ROUND(Anx16AMN!K85+Anx16AME!K85*Disponible!$B$110,2)</f>
        <v>811387.04</v>
      </c>
      <c r="L85" s="139">
        <f>ROUND(Anx16AMN!L85+Anx16AME!L85*Disponible!$B$110,2)</f>
        <v>0</v>
      </c>
      <c r="M85" s="139">
        <f>ROUND(Anx16AMN!M85+Anx16AME!M85*Disponible!$B$110,2)</f>
        <v>0</v>
      </c>
      <c r="N85" s="178">
        <f t="shared" si="13"/>
        <v>900999.08000000007</v>
      </c>
      <c r="O85" s="241">
        <f>ROUND(Anx16AMN!N85+Anx16AME!N85*Disponible!$B$110,2)</f>
        <v>900999.06</v>
      </c>
      <c r="P85" s="241">
        <f t="shared" si="14"/>
        <v>-2.0000000018626451E-2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</row>
    <row r="86" spans="1:98" s="30" customFormat="1" ht="18.75" customHeight="1">
      <c r="A86" s="36" t="s">
        <v>127</v>
      </c>
      <c r="B86" s="14" t="s">
        <v>131</v>
      </c>
      <c r="C86" s="243">
        <f>ROUND(Anx16AMN!C86+Anx16AME!C86*Disponible!$B$110,2)</f>
        <v>1167330.55</v>
      </c>
      <c r="D86" s="139">
        <f>ROUND(Anx16AMN!D86+Anx16AME!D86*Disponible!$B$110,2)</f>
        <v>915331.99</v>
      </c>
      <c r="E86" s="139">
        <f>ROUND(Anx16AMN!E86+Anx16AME!E86*Disponible!$B$110,2)</f>
        <v>100881.59</v>
      </c>
      <c r="F86" s="139">
        <f>ROUND(Anx16AMN!F86+Anx16AME!F86*Disponible!$B$110,2)</f>
        <v>0</v>
      </c>
      <c r="G86" s="139">
        <f>ROUND(Anx16AMN!G86+Anx16AME!G86*Disponible!$B$110,2)</f>
        <v>0</v>
      </c>
      <c r="H86" s="139">
        <f>ROUND(Anx16AMN!H86+Anx16AME!H86*Disponible!$B$110,2)</f>
        <v>0</v>
      </c>
      <c r="I86" s="139">
        <f>ROUND(Anx16AMN!I86+Anx16AME!I86*Disponible!$B$110,2)</f>
        <v>0</v>
      </c>
      <c r="J86" s="139">
        <f>ROUND(Anx16AMN!J86+Anx16AME!J86*Disponible!$B$110,2)</f>
        <v>0</v>
      </c>
      <c r="K86" s="139">
        <f>ROUND(Anx16AMN!K86+Anx16AME!K86*Disponible!$B$110,2)</f>
        <v>2629726.52</v>
      </c>
      <c r="L86" s="139">
        <f>ROUND(Anx16AMN!L86+Anx16AME!L86*Disponible!$B$110,2)</f>
        <v>0</v>
      </c>
      <c r="M86" s="139">
        <f>ROUND(Anx16AMN!M86+Anx16AME!M86*Disponible!$B$110,2)</f>
        <v>0</v>
      </c>
      <c r="N86" s="178">
        <f t="shared" si="13"/>
        <v>4813270.6500000004</v>
      </c>
      <c r="O86" s="241">
        <f>ROUND(Anx16AMN!N86+Anx16AME!N86*Disponible!$B$110,2)</f>
        <v>4813270.6500000004</v>
      </c>
      <c r="P86" s="241">
        <f t="shared" si="14"/>
        <v>0</v>
      </c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</row>
    <row r="87" spans="1:98" s="30" customFormat="1" ht="16.5">
      <c r="A87" s="33" t="s">
        <v>112</v>
      </c>
      <c r="B87" s="32" t="s">
        <v>8</v>
      </c>
      <c r="C87" s="139">
        <f>ROUND(Anx16AMN!C87+Anx16AME!C87*Disponible!$B$110,2)</f>
        <v>13745.65</v>
      </c>
      <c r="D87" s="139">
        <f>ROUND(Anx16AMN!D87+Anx16AME!D87*Disponible!$B$110,2)</f>
        <v>0</v>
      </c>
      <c r="E87" s="139">
        <f>ROUND(Anx16AMN!E87+Anx16AME!E87*Disponible!$B$110,2)</f>
        <v>0</v>
      </c>
      <c r="F87" s="139">
        <f>ROUND(Anx16AMN!F87+Anx16AME!F87*Disponible!$B$110,2)</f>
        <v>0</v>
      </c>
      <c r="G87" s="139">
        <f>ROUND(Anx16AMN!G87+Anx16AME!G87*Disponible!$B$110,2)</f>
        <v>0</v>
      </c>
      <c r="H87" s="139">
        <f>ROUND(Anx16AMN!H87+Anx16AME!H87*Disponible!$B$110,2)</f>
        <v>0</v>
      </c>
      <c r="I87" s="139">
        <f>ROUND(Anx16AMN!I87+Anx16AME!I87*Disponible!$B$110,2)</f>
        <v>0</v>
      </c>
      <c r="J87" s="139">
        <f>ROUND(Anx16AMN!J87+Anx16AME!J87*Disponible!$B$110,2)</f>
        <v>0</v>
      </c>
      <c r="K87" s="139">
        <f>ROUND(Anx16AMN!K87+Anx16AME!K87*Disponible!$B$110,2)</f>
        <v>0</v>
      </c>
      <c r="L87" s="139">
        <f>ROUND(Anx16AMN!L87+Anx16AME!L87*Disponible!$B$110,2)</f>
        <v>0</v>
      </c>
      <c r="M87" s="139">
        <f>ROUND(Anx16AMN!M87+Anx16AME!M87*Disponible!$B$110,2)</f>
        <v>0</v>
      </c>
      <c r="N87" s="178">
        <f t="shared" si="13"/>
        <v>13745.65</v>
      </c>
      <c r="O87" s="241">
        <f>ROUND(Anx16AMN!N87+Anx16AME!N87*Disponible!$B$110,2)</f>
        <v>13745.65</v>
      </c>
      <c r="P87" s="241">
        <f t="shared" si="14"/>
        <v>0</v>
      </c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</row>
    <row r="88" spans="1:98" s="30" customFormat="1" ht="16.5">
      <c r="A88" s="33" t="s">
        <v>4</v>
      </c>
      <c r="B88" s="34" t="s">
        <v>50</v>
      </c>
      <c r="C88" s="139">
        <f>ROUND(Anx16AMN!C88+Anx16AME!C88*Disponible!$B$110,2)</f>
        <v>0</v>
      </c>
      <c r="D88" s="139">
        <f>ROUND(Anx16AMN!D88+Anx16AME!D88*Disponible!$B$110,2)</f>
        <v>0</v>
      </c>
      <c r="E88" s="139">
        <f>ROUND(Anx16AMN!E88+Anx16AME!E88*Disponible!$B$110,2)</f>
        <v>0</v>
      </c>
      <c r="F88" s="139">
        <f>ROUND(Anx16AMN!F88+Anx16AME!F88*Disponible!$B$110,2)</f>
        <v>0</v>
      </c>
      <c r="G88" s="139">
        <f>ROUND(Anx16AMN!G88+Anx16AME!G88*Disponible!$B$110,2)</f>
        <v>0</v>
      </c>
      <c r="H88" s="139">
        <f>ROUND(Anx16AMN!H88+Anx16AME!H88*Disponible!$B$110,2)</f>
        <v>0</v>
      </c>
      <c r="I88" s="139">
        <f>ROUND(Anx16AMN!I88+Anx16AME!I88*Disponible!$B$110,2)</f>
        <v>0</v>
      </c>
      <c r="J88" s="139">
        <f>ROUND(Anx16AMN!J88+Anx16AME!J88*Disponible!$B$110,2)</f>
        <v>0</v>
      </c>
      <c r="K88" s="139">
        <f>ROUND(Anx16AMN!K88+Anx16AME!K88*Disponible!$B$110,2)</f>
        <v>0</v>
      </c>
      <c r="L88" s="139">
        <f>ROUND(Anx16AMN!L88+Anx16AME!L88*Disponible!$B$110,2)</f>
        <v>0</v>
      </c>
      <c r="M88" s="139">
        <f>ROUND(Anx16AMN!M88+Anx16AME!M88*Disponible!$B$110,2)</f>
        <v>0</v>
      </c>
      <c r="N88" s="178">
        <f t="shared" si="13"/>
        <v>0</v>
      </c>
      <c r="O88" s="241">
        <f>ROUND(Anx16AMN!N88+Anx16AME!N88*Disponible!$B$110,2)</f>
        <v>0</v>
      </c>
      <c r="P88" s="241">
        <f t="shared" si="14"/>
        <v>0</v>
      </c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</row>
    <row r="89" spans="1:98" s="30" customFormat="1" ht="16.5">
      <c r="A89" s="33" t="s">
        <v>3</v>
      </c>
      <c r="B89" s="34" t="s">
        <v>118</v>
      </c>
      <c r="C89" s="139">
        <f>ROUND(Anx16AMN!C89+Anx16AME!C89*Disponible!$B$110,2)</f>
        <v>5939415.7199999997</v>
      </c>
      <c r="D89" s="139">
        <f>ROUND(Anx16AMN!D89+Anx16AME!D89*Disponible!$B$110,2)</f>
        <v>0</v>
      </c>
      <c r="E89" s="139">
        <f>ROUND(Anx16AMN!E89+Anx16AME!E89*Disponible!$B$110,2)</f>
        <v>795434.31</v>
      </c>
      <c r="F89" s="139">
        <f>ROUND(Anx16AMN!F89+Anx16AME!F89*Disponible!$B$110,2)</f>
        <v>0</v>
      </c>
      <c r="G89" s="139">
        <f>ROUND(Anx16AMN!G89+Anx16AME!G89*Disponible!$B$110,2)</f>
        <v>0</v>
      </c>
      <c r="H89" s="139">
        <f>ROUND(Anx16AMN!H89+Anx16AME!H89*Disponible!$B$110,2)</f>
        <v>701700.8</v>
      </c>
      <c r="I89" s="139">
        <f>ROUND(Anx16AMN!I89+Anx16AME!I89*Disponible!$B$110,2)</f>
        <v>0</v>
      </c>
      <c r="J89" s="139">
        <f>ROUND(Anx16AMN!J89+Anx16AME!J89*Disponible!$B$110,2)</f>
        <v>0</v>
      </c>
      <c r="K89" s="139">
        <f>ROUND(Anx16AMN!K89+Anx16AME!K89*Disponible!$B$110,2)</f>
        <v>248789.04</v>
      </c>
      <c r="L89" s="139">
        <f>ROUND(Anx16AMN!L89+Anx16AME!L89*Disponible!$B$110,2)</f>
        <v>0</v>
      </c>
      <c r="M89" s="139">
        <f>ROUND(Anx16AMN!M89+Anx16AME!M89*Disponible!$B$110,2)</f>
        <v>0</v>
      </c>
      <c r="N89" s="178">
        <f t="shared" si="13"/>
        <v>7685339.8699999992</v>
      </c>
      <c r="O89" s="241">
        <f>ROUND(Anx16AMN!N89+Anx16AME!N89*Disponible!$B$110,2)</f>
        <v>7685339.8700000001</v>
      </c>
      <c r="P89" s="241">
        <f t="shared" si="14"/>
        <v>0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</row>
    <row r="90" spans="1:98" s="30" customFormat="1" ht="16.5">
      <c r="A90" s="29"/>
      <c r="B90" s="32" t="s">
        <v>53</v>
      </c>
      <c r="C90" s="139">
        <f>ROUND(Anx16AMN!C90+Anx16AME!C90*Disponible!$B$110,2)</f>
        <v>0</v>
      </c>
      <c r="D90" s="139">
        <f>ROUND(Anx16AMN!D90+Anx16AME!D90*Disponible!$B$110,2)</f>
        <v>0</v>
      </c>
      <c r="E90" s="139">
        <f>ROUND(Anx16AMN!E90+Anx16AME!E90*Disponible!$B$110,2)</f>
        <v>0</v>
      </c>
      <c r="F90" s="139">
        <f>ROUND(Anx16AMN!F90+Anx16AME!F90*Disponible!$B$110,2)</f>
        <v>0</v>
      </c>
      <c r="G90" s="139">
        <f>ROUND(Anx16AMN!G90+Anx16AME!G90*Disponible!$B$110,2)</f>
        <v>0</v>
      </c>
      <c r="H90" s="139">
        <f>ROUND(Anx16AMN!H90+Anx16AME!H90*Disponible!$B$110,2)</f>
        <v>0</v>
      </c>
      <c r="I90" s="139">
        <f>ROUND(Anx16AMN!I90+Anx16AME!I90*Disponible!$B$110,2)</f>
        <v>0</v>
      </c>
      <c r="J90" s="139">
        <f>ROUND(Anx16AMN!J90+Anx16AME!J90*Disponible!$B$110,2)</f>
        <v>0</v>
      </c>
      <c r="K90" s="139">
        <f>ROUND(Anx16AMN!K90+Anx16AME!K90*Disponible!$B$110,2)</f>
        <v>0</v>
      </c>
      <c r="L90" s="139">
        <f>ROUND(Anx16AMN!L90+Anx16AME!L90*Disponible!$B$110,2)</f>
        <v>0</v>
      </c>
      <c r="M90" s="139">
        <f>ROUND(Anx16AMN!M90+Anx16AME!M90*Disponible!$B$110,2)</f>
        <v>0</v>
      </c>
      <c r="N90" s="178">
        <f t="shared" si="13"/>
        <v>0</v>
      </c>
      <c r="O90" s="241">
        <f>ROUND(Anx16AMN!N90+Anx16AME!N90*Disponible!$B$110,2)</f>
        <v>0</v>
      </c>
      <c r="P90" s="241">
        <f t="shared" si="14"/>
        <v>0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</row>
    <row r="91" spans="1:98" s="30" customFormat="1" ht="16.5">
      <c r="A91" s="29"/>
      <c r="B91" s="32" t="s">
        <v>70</v>
      </c>
      <c r="C91" s="139">
        <f>ROUND(Anx16AMN!C91+Anx16AME!C91*Disponible!$B$110,2)</f>
        <v>0</v>
      </c>
      <c r="D91" s="139">
        <f>ROUND(Anx16AMN!D91+Anx16AME!D91*Disponible!$B$110,2)</f>
        <v>0</v>
      </c>
      <c r="E91" s="139">
        <f>ROUND(Anx16AMN!E91+Anx16AME!E91*Disponible!$B$110,2)</f>
        <v>0</v>
      </c>
      <c r="F91" s="139">
        <f>ROUND(Anx16AMN!F91+Anx16AME!F91*Disponible!$B$110,2)</f>
        <v>0</v>
      </c>
      <c r="G91" s="139">
        <f>ROUND(Anx16AMN!G91+Anx16AME!G91*Disponible!$B$110,2)</f>
        <v>0</v>
      </c>
      <c r="H91" s="139">
        <f>ROUND(Anx16AMN!H91+Anx16AME!H91*Disponible!$B$110,2)</f>
        <v>0</v>
      </c>
      <c r="I91" s="139">
        <f>ROUND(Anx16AMN!I91+Anx16AME!I91*Disponible!$B$110,2)</f>
        <v>0</v>
      </c>
      <c r="J91" s="139">
        <f>ROUND(Anx16AMN!J91+Anx16AME!J91*Disponible!$B$110,2)</f>
        <v>0</v>
      </c>
      <c r="K91" s="139">
        <f>ROUND(Anx16AMN!K91+Anx16AME!K91*Disponible!$B$110,2)</f>
        <v>0</v>
      </c>
      <c r="L91" s="139">
        <f>ROUND(Anx16AMN!L91+Anx16AME!L91*Disponible!$B$110,2)</f>
        <v>0</v>
      </c>
      <c r="M91" s="139">
        <f>ROUND(Anx16AMN!M91+Anx16AME!M91*Disponible!$B$110,2)</f>
        <v>0</v>
      </c>
      <c r="N91" s="178">
        <f t="shared" si="13"/>
        <v>0</v>
      </c>
      <c r="O91" s="241">
        <f>ROUND(Anx16AMN!N91+Anx16AME!N91*Disponible!$B$110,2)</f>
        <v>0</v>
      </c>
      <c r="P91" s="241">
        <f t="shared" si="14"/>
        <v>0</v>
      </c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</row>
    <row r="92" spans="1:98" s="30" customFormat="1" ht="16.5">
      <c r="A92" s="29"/>
      <c r="B92" s="31" t="s">
        <v>71</v>
      </c>
      <c r="C92" s="242">
        <f t="shared" ref="C92:M92" si="16">SUM(C77:C91)</f>
        <v>19784410.290000003</v>
      </c>
      <c r="D92" s="242">
        <f t="shared" si="16"/>
        <v>6103974.4500000002</v>
      </c>
      <c r="E92" s="242">
        <f t="shared" si="16"/>
        <v>4877579.2699999996</v>
      </c>
      <c r="F92" s="242">
        <f t="shared" si="16"/>
        <v>0</v>
      </c>
      <c r="G92" s="242">
        <f t="shared" si="16"/>
        <v>0</v>
      </c>
      <c r="H92" s="242">
        <f t="shared" si="16"/>
        <v>701700.8</v>
      </c>
      <c r="I92" s="242">
        <f t="shared" si="16"/>
        <v>0</v>
      </c>
      <c r="J92" s="242">
        <f t="shared" si="16"/>
        <v>0</v>
      </c>
      <c r="K92" s="242">
        <f t="shared" si="16"/>
        <v>119670103.12000002</v>
      </c>
      <c r="L92" s="242">
        <f t="shared" si="16"/>
        <v>0</v>
      </c>
      <c r="M92" s="242">
        <f t="shared" si="16"/>
        <v>0</v>
      </c>
      <c r="N92" s="242">
        <f>SUM(C92:M92)</f>
        <v>151137767.93000001</v>
      </c>
      <c r="O92" s="257">
        <f>ROUND(Anx16AMN!N92+Anx16AME!N92*Disponible!$B$110,2)</f>
        <v>151137767.91999999</v>
      </c>
      <c r="P92" s="241">
        <f t="shared" si="14"/>
        <v>-1.0000020265579224E-2</v>
      </c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</row>
    <row r="93" spans="1:98" s="30" customFormat="1" ht="16.5">
      <c r="A93" s="29"/>
      <c r="B93" s="28" t="s">
        <v>72</v>
      </c>
      <c r="C93" s="242">
        <f>C47-C61+C75-C92</f>
        <v>40023636.229999989</v>
      </c>
      <c r="D93" s="242">
        <f>D47-D61+D75-D92</f>
        <v>13537986.476050001</v>
      </c>
      <c r="E93" s="242">
        <f t="shared" ref="E93:M93" si="17">+E47-E61+E75-E92</f>
        <v>3584292.3413200025</v>
      </c>
      <c r="F93" s="242">
        <f t="shared" si="17"/>
        <v>105154.35000000161</v>
      </c>
      <c r="G93" s="242">
        <f t="shared" si="17"/>
        <v>1559439.5638199961</v>
      </c>
      <c r="H93" s="242">
        <f t="shared" si="17"/>
        <v>2566452.349870001</v>
      </c>
      <c r="I93" s="242">
        <f t="shared" si="17"/>
        <v>13424972.330000006</v>
      </c>
      <c r="J93" s="242">
        <f t="shared" si="17"/>
        <v>-5471754.1199999917</v>
      </c>
      <c r="K93" s="242">
        <f t="shared" si="17"/>
        <v>-87983314.040000021</v>
      </c>
      <c r="L93" s="242">
        <f t="shared" si="17"/>
        <v>79658541.900000006</v>
      </c>
      <c r="M93" s="242">
        <f t="shared" si="17"/>
        <v>14542546.5</v>
      </c>
      <c r="N93" s="242">
        <f>SUM(C93:M93)+0.01</f>
        <v>75547953.891059995</v>
      </c>
      <c r="O93" s="258"/>
      <c r="P93" s="244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</row>
    <row r="94" spans="1:98" s="30" customFormat="1" ht="16.5">
      <c r="A94" s="29"/>
      <c r="B94" s="28" t="s">
        <v>73</v>
      </c>
      <c r="C94" s="242">
        <f>+C93</f>
        <v>40023636.229999989</v>
      </c>
      <c r="D94" s="242">
        <f t="shared" ref="D94:M94" si="18">C94+D93</f>
        <v>53561622.706049994</v>
      </c>
      <c r="E94" s="242">
        <f>D94+E93+0.01</f>
        <v>57145915.057369992</v>
      </c>
      <c r="F94" s="242">
        <f t="shared" si="18"/>
        <v>57251069.407369994</v>
      </c>
      <c r="G94" s="242">
        <f>F94+G93+0.01</f>
        <v>58810508.981189989</v>
      </c>
      <c r="H94" s="242">
        <f>G94+H93-0.01</f>
        <v>61376961.321059994</v>
      </c>
      <c r="I94" s="242">
        <f t="shared" si="18"/>
        <v>74801933.65106</v>
      </c>
      <c r="J94" s="242">
        <f t="shared" si="18"/>
        <v>69330179.53106001</v>
      </c>
      <c r="K94" s="242">
        <f t="shared" si="18"/>
        <v>-18653134.508940011</v>
      </c>
      <c r="L94" s="242">
        <f t="shared" si="18"/>
        <v>61005407.391059995</v>
      </c>
      <c r="M94" s="242">
        <f t="shared" si="18"/>
        <v>75547953.891059995</v>
      </c>
      <c r="N94" s="242"/>
      <c r="O94" s="16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</row>
    <row r="95" spans="1:98" s="30" customFormat="1" ht="16.5">
      <c r="A95" s="29"/>
      <c r="B95" s="28" t="s">
        <v>74</v>
      </c>
      <c r="C95" s="242">
        <f>+C94/$Q$2</f>
        <v>0.43287719260773366</v>
      </c>
      <c r="D95" s="242">
        <f t="shared" ref="D95:M95" si="19">+D94/$Q$2</f>
        <v>0.57929781130507663</v>
      </c>
      <c r="E95" s="242">
        <f t="shared" si="19"/>
        <v>0.61806386448446748</v>
      </c>
      <c r="F95" s="242">
        <f t="shared" si="19"/>
        <v>0.61920116544225434</v>
      </c>
      <c r="G95" s="242">
        <f t="shared" si="19"/>
        <v>0.63606734473884252</v>
      </c>
      <c r="H95" s="242">
        <f t="shared" si="19"/>
        <v>0.66382490973019503</v>
      </c>
      <c r="I95" s="242">
        <f t="shared" si="19"/>
        <v>0.80902321954021073</v>
      </c>
      <c r="J95" s="242">
        <f t="shared" si="19"/>
        <v>0.7498432502717014</v>
      </c>
      <c r="K95" s="242">
        <f t="shared" si="19"/>
        <v>-0.20174370097617667</v>
      </c>
      <c r="L95" s="242">
        <f t="shared" si="19"/>
        <v>0.6598063537650023</v>
      </c>
      <c r="M95" s="242">
        <f t="shared" si="19"/>
        <v>0.81709183042963529</v>
      </c>
      <c r="N95" s="242"/>
      <c r="O95" s="16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</row>
    <row r="99" spans="3:14"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</row>
    <row r="100" spans="3:14"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</row>
  </sheetData>
  <customSheetViews>
    <customSheetView guid="{D62CAC70-1ACE-4E87-9E99-FED2C7460049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1"/>
    </customSheetView>
    <customSheetView guid="{4FE66BC3-94B4-4710-8AD9-CFB3A1891FB3}" scale="90" showGridLines="0">
      <selection activeCell="O31" sqref="O31"/>
      <pageMargins left="0.59055118110236227" right="0.70866141732283472" top="0.31496062992125984" bottom="0.31496062992125984" header="0.31496062992125984" footer="0.31496062992125984"/>
      <pageSetup scale="40" orientation="landscape" r:id="rId2"/>
    </customSheetView>
    <customSheetView guid="{2FDD5145-1E6D-41A8-8E6A-3079E1C158EF}" scale="70" showGridLines="0" topLeftCell="A8">
      <selection activeCell="L21" sqref="L21"/>
      <pageMargins left="0.59055118110236227" right="0.70866141732283472" top="0.31496062992125984" bottom="0.31496062992125984" header="0.31496062992125984" footer="0.31496062992125984"/>
      <pageSetup scale="40" orientation="landscape" r:id="rId3"/>
    </customSheetView>
    <customSheetView guid="{D5145478-5081-4F28-88BB-A95644E8496C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4"/>
    </customSheetView>
    <customSheetView guid="{E21B7D27-3E40-4AEF-B95E-08CACAE41300}" scale="87" showGridLines="0">
      <pageMargins left="0.59055118110236227" right="0.70866141732283472" top="0.31496062992125984" bottom="0.31496062992125984" header="0.31496062992125984" footer="0.31496062992125984"/>
      <pageSetup scale="40" orientation="landscape" r:id="rId5"/>
    </customSheetView>
  </customSheetViews>
  <mergeCells count="3">
    <mergeCell ref="E4:G4"/>
    <mergeCell ref="F5:H5"/>
    <mergeCell ref="B3:N3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0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9"/>
  <sheetViews>
    <sheetView showGridLines="0" zoomScale="85" zoomScaleNormal="85" workbookViewId="0">
      <selection activeCell="A4" sqref="A4"/>
    </sheetView>
  </sheetViews>
  <sheetFormatPr baseColWidth="10" defaultRowHeight="16.5"/>
  <cols>
    <col min="1" max="1" width="49.5703125" style="30" customWidth="1"/>
    <col min="2" max="2" width="24.7109375" style="30" customWidth="1"/>
    <col min="3" max="3" width="22.28515625" style="30" customWidth="1"/>
    <col min="4" max="4" width="14.28515625" style="30" customWidth="1"/>
    <col min="5" max="5" width="15.5703125" style="30" customWidth="1"/>
    <col min="6" max="6" width="22.5703125" style="30" customWidth="1"/>
    <col min="7" max="7" width="5.42578125" style="30" customWidth="1"/>
    <col min="8" max="8" width="4" style="30" customWidth="1"/>
    <col min="9" max="9" width="4.28515625" style="30" customWidth="1"/>
    <col min="10" max="10" width="4.85546875" style="30" customWidth="1"/>
    <col min="11" max="11" width="5" style="30" customWidth="1"/>
    <col min="12" max="12" width="26.28515625" style="30" customWidth="1"/>
    <col min="13" max="13" width="23.85546875" style="30" customWidth="1"/>
    <col min="14" max="14" width="29.42578125" style="30" customWidth="1"/>
    <col min="15" max="16384" width="11.42578125" style="30"/>
  </cols>
  <sheetData>
    <row r="1" spans="1:16" ht="16.5" customHeight="1">
      <c r="A1" s="46" t="s">
        <v>91</v>
      </c>
      <c r="E1" s="336"/>
      <c r="F1" s="857" t="s">
        <v>317</v>
      </c>
      <c r="G1" s="336"/>
    </row>
    <row r="2" spans="1:16">
      <c r="A2" s="278" t="str">
        <f>Anx16AMN!B4</f>
        <v>AL 31 DE MARZO DEL  2021</v>
      </c>
      <c r="E2" s="336"/>
      <c r="F2" s="857"/>
      <c r="G2" s="339"/>
      <c r="H2" s="856"/>
      <c r="I2" s="856"/>
      <c r="L2" s="357" t="s">
        <v>318</v>
      </c>
      <c r="M2" s="358"/>
      <c r="N2" s="359"/>
    </row>
    <row r="3" spans="1:16">
      <c r="A3" s="333" t="str">
        <f>+Anx16AMN!A5:N5</f>
        <v>(Expresado en Soles)</v>
      </c>
      <c r="B3" s="333" t="s">
        <v>92</v>
      </c>
      <c r="C3" s="333" t="s">
        <v>20</v>
      </c>
      <c r="D3" s="336"/>
      <c r="E3" s="334"/>
      <c r="F3" s="857"/>
      <c r="G3" s="335"/>
      <c r="H3" s="342"/>
      <c r="I3" s="342"/>
      <c r="J3" s="336"/>
      <c r="K3" s="336"/>
      <c r="L3" s="360"/>
      <c r="M3" s="361" t="s">
        <v>205</v>
      </c>
      <c r="N3" s="361" t="s">
        <v>204</v>
      </c>
    </row>
    <row r="4" spans="1:16">
      <c r="A4" s="38" t="s">
        <v>93</v>
      </c>
      <c r="B4" s="65">
        <f>+B25/C31</f>
        <v>1.3751476137927035E-2</v>
      </c>
      <c r="C4" s="65">
        <f>+C25/C31</f>
        <v>0.11896550419979493</v>
      </c>
      <c r="D4" s="336"/>
      <c r="E4" s="341" t="s">
        <v>313</v>
      </c>
      <c r="F4" s="759">
        <f>+F5+F6*$F$7</f>
        <v>99744383.145360008</v>
      </c>
      <c r="G4" s="337"/>
      <c r="H4" s="343"/>
      <c r="I4" s="343"/>
      <c r="J4" s="337"/>
      <c r="K4" s="337"/>
      <c r="L4" s="365" t="s">
        <v>295</v>
      </c>
      <c r="M4" s="762">
        <v>448636989.92000002</v>
      </c>
      <c r="N4" s="760">
        <v>28500010.57</v>
      </c>
      <c r="O4" s="259"/>
      <c r="P4" s="259"/>
    </row>
    <row r="5" spans="1:16" ht="17.25" customHeight="1">
      <c r="A5" s="38" t="s">
        <v>94</v>
      </c>
      <c r="B5" s="65">
        <f>+B26/C31</f>
        <v>1.7899375696231207E-2</v>
      </c>
      <c r="C5" s="65">
        <f>+C26/C31</f>
        <v>0.16024177892000746</v>
      </c>
      <c r="D5" s="336"/>
      <c r="E5" s="341" t="s">
        <v>314</v>
      </c>
      <c r="F5" s="759">
        <v>83158105.480000004</v>
      </c>
      <c r="G5" s="338"/>
      <c r="H5" s="342"/>
      <c r="I5" s="344"/>
      <c r="J5" s="336"/>
      <c r="K5" s="336"/>
      <c r="L5" s="341" t="s">
        <v>319</v>
      </c>
      <c r="M5" s="761">
        <v>31</v>
      </c>
      <c r="N5" s="362"/>
      <c r="O5" s="259"/>
      <c r="P5" s="259"/>
    </row>
    <row r="6" spans="1:16" ht="17.25" customHeight="1">
      <c r="A6" s="47" t="s">
        <v>95</v>
      </c>
      <c r="B6" s="65">
        <f>+B27/C30</f>
        <v>1.3306745480248149E-2</v>
      </c>
      <c r="C6" s="65">
        <f>+C27/C30</f>
        <v>7.9379631645985424E-2</v>
      </c>
      <c r="D6" s="336"/>
      <c r="E6" s="341" t="s">
        <v>315</v>
      </c>
      <c r="F6" s="759">
        <v>4414766.4800000004</v>
      </c>
      <c r="G6" s="290"/>
      <c r="H6" s="342"/>
      <c r="I6" s="343"/>
      <c r="J6" s="337"/>
      <c r="K6" s="336"/>
      <c r="L6" s="341" t="s">
        <v>320</v>
      </c>
      <c r="M6" s="363">
        <f>+M4/M5</f>
        <v>14472160.96516129</v>
      </c>
      <c r="N6" s="363">
        <f>+N4/M5</f>
        <v>919355.17967741936</v>
      </c>
      <c r="O6" s="259"/>
      <c r="P6" s="259"/>
    </row>
    <row r="7" spans="1:16" ht="17.25" customHeight="1">
      <c r="A7" s="47" t="s">
        <v>96</v>
      </c>
      <c r="B7" s="65">
        <f>+B28/C30</f>
        <v>1.7757103011305644E-2</v>
      </c>
      <c r="C7" s="65">
        <f>+C28/C30</f>
        <v>0.11637638088136451</v>
      </c>
      <c r="D7" s="336"/>
      <c r="E7" s="341" t="s">
        <v>316</v>
      </c>
      <c r="F7" s="340">
        <v>3.7570000000000001</v>
      </c>
      <c r="G7" s="336"/>
      <c r="H7" s="345"/>
      <c r="I7" s="345"/>
      <c r="L7" s="358"/>
      <c r="M7" s="341" t="s">
        <v>321</v>
      </c>
      <c r="N7" s="363">
        <f>+M6+N6*F7</f>
        <v>17926178.375209354</v>
      </c>
      <c r="O7" s="259"/>
      <c r="P7" s="259"/>
    </row>
    <row r="8" spans="1:16" ht="17.25" customHeight="1">
      <c r="A8" s="38" t="s">
        <v>97</v>
      </c>
      <c r="B8" s="65">
        <f>+B27/F4</f>
        <v>4.9837179070882288E-2</v>
      </c>
      <c r="C8" s="65">
        <f>+C27/F4</f>
        <v>0.29729710565170259</v>
      </c>
      <c r="D8" s="336"/>
      <c r="E8" s="336"/>
      <c r="F8" s="336"/>
      <c r="G8" s="336"/>
      <c r="H8" s="345"/>
      <c r="I8" s="345"/>
      <c r="L8" s="364" t="s">
        <v>322</v>
      </c>
      <c r="M8" s="358"/>
      <c r="N8" s="358"/>
      <c r="O8" s="259"/>
      <c r="P8" s="259"/>
    </row>
    <row r="9" spans="1:16">
      <c r="A9" s="27" t="s">
        <v>98</v>
      </c>
      <c r="B9" s="65">
        <f>+B29/C30</f>
        <v>0</v>
      </c>
      <c r="C9" s="65">
        <f>+C29/C30</f>
        <v>1.0707545797957522E-2</v>
      </c>
      <c r="D9" s="336"/>
      <c r="H9" s="345"/>
      <c r="I9" s="345"/>
      <c r="L9" s="365" t="s">
        <v>323</v>
      </c>
      <c r="M9" s="363">
        <v>8220783.0300000003</v>
      </c>
      <c r="N9" s="358"/>
      <c r="O9" s="259"/>
      <c r="P9" s="259"/>
    </row>
    <row r="10" spans="1:16">
      <c r="A10" s="279" t="s">
        <v>99</v>
      </c>
      <c r="B10" s="367"/>
      <c r="C10" s="64">
        <v>0</v>
      </c>
      <c r="D10" s="336"/>
      <c r="H10" s="345"/>
      <c r="I10" s="345"/>
      <c r="L10" s="365" t="s">
        <v>324</v>
      </c>
      <c r="M10" s="363">
        <v>536719552.01999998</v>
      </c>
      <c r="N10" s="358"/>
      <c r="O10" s="259"/>
      <c r="P10" s="259"/>
    </row>
    <row r="11" spans="1:16">
      <c r="A11" s="279" t="s">
        <v>100</v>
      </c>
      <c r="B11" s="368"/>
      <c r="C11" s="285">
        <v>0.5</v>
      </c>
      <c r="D11" s="767" t="s">
        <v>294</v>
      </c>
      <c r="H11" s="345"/>
      <c r="I11" s="345"/>
      <c r="M11" s="259"/>
      <c r="N11" s="259"/>
      <c r="O11" s="259"/>
      <c r="P11" s="259"/>
    </row>
    <row r="12" spans="1:16">
      <c r="A12" s="279" t="s">
        <v>101</v>
      </c>
      <c r="B12" s="368"/>
      <c r="C12" s="366"/>
      <c r="E12" s="336"/>
      <c r="F12" s="336"/>
      <c r="G12" s="336"/>
      <c r="H12" s="350"/>
      <c r="I12" s="351"/>
      <c r="J12" s="351"/>
      <c r="K12" s="336"/>
      <c r="L12" s="336"/>
      <c r="M12" s="336"/>
      <c r="N12" s="337"/>
      <c r="O12" s="259"/>
      <c r="P12" s="259"/>
    </row>
    <row r="13" spans="1:16">
      <c r="A13" s="279" t="s">
        <v>102</v>
      </c>
      <c r="B13" s="368"/>
      <c r="C13" s="370">
        <f>+N7/F4</f>
        <v>0.17972118138306678</v>
      </c>
      <c r="E13" s="336"/>
      <c r="F13" s="336"/>
      <c r="G13" s="346"/>
      <c r="H13" s="352"/>
      <c r="I13" s="353"/>
      <c r="J13" s="353"/>
      <c r="K13" s="336"/>
      <c r="L13" s="336"/>
      <c r="M13" s="336"/>
      <c r="N13" s="337"/>
      <c r="O13" s="259"/>
      <c r="P13" s="260"/>
    </row>
    <row r="14" spans="1:16">
      <c r="A14" s="279" t="s">
        <v>103</v>
      </c>
      <c r="B14" s="368"/>
      <c r="C14" s="280">
        <f>SUM(Anx16Atotal!N50+Anx16Atotal!N51+Anx16Atotal!N54+Anx16Atotal!N78+Anx16Atotal!N79+Anx16Atotal!N81+Anx16Atotal!N82+Anx16Atotal!N84+Anx16Atotal!N85+Anx16Atotal!N87+M9 - F4)/(M10-F4)</f>
        <v>0.10063495371576964</v>
      </c>
      <c r="E14" s="336"/>
      <c r="F14" s="347"/>
      <c r="G14" s="337"/>
      <c r="H14" s="354"/>
      <c r="I14" s="343"/>
      <c r="J14" s="343"/>
      <c r="K14" s="337"/>
      <c r="L14" s="337"/>
      <c r="M14" s="336"/>
      <c r="N14" s="337"/>
      <c r="O14" s="259"/>
      <c r="P14" s="259"/>
    </row>
    <row r="15" spans="1:16">
      <c r="A15" s="279" t="s">
        <v>104</v>
      </c>
      <c r="B15" s="369"/>
      <c r="C15" s="280">
        <f>SUM(Anx16Atotal!N50+Anx16Atotal!N51+Anx16Atotal!N54+Anx16Atotal!N78+Anx16Atotal!N79+Anx16Atotal!N81+Anx16Atotal!N82+Anx16Atotal!N84+Anx16Atotal!N85+Anx16Atotal!N87+M9)/(M10)</f>
        <v>0.26777366037644285</v>
      </c>
      <c r="E15" s="336"/>
      <c r="F15" s="336"/>
      <c r="G15" s="337"/>
      <c r="H15" s="354"/>
      <c r="I15" s="343"/>
      <c r="J15" s="343"/>
      <c r="K15" s="337"/>
      <c r="L15" s="337"/>
      <c r="M15" s="336"/>
      <c r="N15" s="337"/>
      <c r="O15" s="259"/>
      <c r="P15" s="260"/>
    </row>
    <row r="16" spans="1:16" ht="13.5" customHeight="1">
      <c r="C16" s="259"/>
      <c r="E16" s="336"/>
      <c r="F16" s="336"/>
      <c r="G16" s="348"/>
      <c r="H16" s="355"/>
      <c r="I16" s="342"/>
      <c r="J16" s="342"/>
      <c r="K16" s="337"/>
      <c r="L16" s="337"/>
      <c r="M16" s="336"/>
      <c r="N16" s="336"/>
    </row>
    <row r="17" spans="1:14" ht="13.5" customHeight="1">
      <c r="C17" s="259"/>
      <c r="E17" s="336"/>
      <c r="F17" s="336"/>
      <c r="G17" s="348"/>
      <c r="H17" s="355"/>
      <c r="I17" s="342"/>
      <c r="J17" s="342"/>
      <c r="K17" s="337"/>
      <c r="L17" s="337"/>
      <c r="M17" s="336"/>
      <c r="N17" s="336"/>
    </row>
    <row r="18" spans="1:14" ht="13.5" customHeight="1">
      <c r="C18" s="259"/>
      <c r="E18" s="336"/>
      <c r="F18" s="336"/>
      <c r="G18" s="348"/>
      <c r="H18" s="355"/>
      <c r="I18" s="342"/>
      <c r="J18" s="342"/>
      <c r="K18" s="337"/>
      <c r="L18" s="337"/>
      <c r="M18" s="336"/>
      <c r="N18" s="336"/>
    </row>
    <row r="19" spans="1:14" ht="13.5" customHeight="1">
      <c r="C19" s="259"/>
      <c r="E19" s="336"/>
      <c r="F19" s="336"/>
      <c r="G19" s="348"/>
      <c r="H19" s="355"/>
      <c r="I19" s="342"/>
      <c r="J19" s="342"/>
      <c r="K19" s="337"/>
      <c r="L19" s="337"/>
      <c r="M19" s="336"/>
      <c r="N19" s="336"/>
    </row>
    <row r="20" spans="1:14">
      <c r="E20" s="336"/>
      <c r="F20" s="346"/>
      <c r="G20" s="349"/>
      <c r="H20" s="356"/>
      <c r="I20" s="343"/>
      <c r="J20" s="343"/>
      <c r="K20" s="337"/>
      <c r="L20" s="337"/>
      <c r="M20" s="336"/>
      <c r="N20" s="336"/>
    </row>
    <row r="22" spans="1:14">
      <c r="A22" s="364"/>
      <c r="B22" s="378"/>
    </row>
    <row r="23" spans="1:14">
      <c r="F23" s="364" t="s">
        <v>342</v>
      </c>
      <c r="G23" s="376"/>
    </row>
    <row r="24" spans="1:14">
      <c r="A24" s="758" t="s">
        <v>327</v>
      </c>
      <c r="B24" s="758" t="s">
        <v>340</v>
      </c>
      <c r="C24" s="758" t="s">
        <v>20</v>
      </c>
      <c r="F24" s="377" t="s">
        <v>343</v>
      </c>
      <c r="G24" s="378"/>
    </row>
    <row r="25" spans="1:14">
      <c r="A25" s="27" t="s">
        <v>325</v>
      </c>
      <c r="B25" s="64">
        <f>SUM(B46:B55)</f>
        <v>5461500.8477999996</v>
      </c>
      <c r="C25" s="64">
        <f>SUM(C46:C55)</f>
        <v>47248033.267800003</v>
      </c>
      <c r="F25" s="364" t="s">
        <v>344</v>
      </c>
      <c r="G25" s="378"/>
    </row>
    <row r="26" spans="1:14">
      <c r="A26" s="27" t="s">
        <v>326</v>
      </c>
      <c r="B26" s="64">
        <f>SUM(B46:B65)</f>
        <v>7108869.953999999</v>
      </c>
      <c r="C26" s="64">
        <f>SUM(C46:C65)</f>
        <v>63641212.23399999</v>
      </c>
      <c r="D26" s="276"/>
      <c r="E26" s="277"/>
    </row>
    <row r="27" spans="1:14">
      <c r="A27" s="375" t="s">
        <v>328</v>
      </c>
      <c r="B27" s="64">
        <f>SUM(B69:B78)</f>
        <v>4970978.68413</v>
      </c>
      <c r="C27" s="64">
        <f>SUM(C69:C78)</f>
        <v>29653716.414129999</v>
      </c>
      <c r="D27" s="276"/>
      <c r="E27" s="277"/>
    </row>
    <row r="28" spans="1:14">
      <c r="A28" s="375" t="s">
        <v>329</v>
      </c>
      <c r="B28" s="64">
        <f>SUM(B69:B88)</f>
        <v>6633491.3140200004</v>
      </c>
      <c r="C28" s="64">
        <f>SUM(C69:C88)</f>
        <v>43474530.234019995</v>
      </c>
      <c r="D28" s="276"/>
      <c r="E28" s="277"/>
    </row>
    <row r="29" spans="1:14">
      <c r="A29" s="279" t="s">
        <v>330</v>
      </c>
      <c r="B29" s="64">
        <v>0</v>
      </c>
      <c r="C29" s="64">
        <v>4000000</v>
      </c>
      <c r="D29" s="276"/>
      <c r="E29" s="277"/>
    </row>
    <row r="30" spans="1:14">
      <c r="A30" s="279" t="s">
        <v>331</v>
      </c>
      <c r="B30" s="379"/>
      <c r="C30" s="64">
        <v>373568329.80000001</v>
      </c>
      <c r="D30" s="80"/>
      <c r="E30" s="277"/>
    </row>
    <row r="31" spans="1:14">
      <c r="A31" s="279" t="s">
        <v>347</v>
      </c>
      <c r="B31" s="379"/>
      <c r="C31" s="64">
        <v>397157424.63</v>
      </c>
      <c r="D31" s="276"/>
      <c r="E31" s="277"/>
    </row>
    <row r="32" spans="1:14">
      <c r="A32" s="279" t="s">
        <v>332</v>
      </c>
      <c r="B32" s="382"/>
      <c r="C32" s="65">
        <f>+F4</f>
        <v>99744383.145360008</v>
      </c>
      <c r="D32" s="354"/>
      <c r="E32" s="354"/>
    </row>
    <row r="33" spans="1:6">
      <c r="A33" s="565" t="s">
        <v>333</v>
      </c>
      <c r="B33" s="65">
        <v>110928229.03</v>
      </c>
      <c r="C33" s="65">
        <v>184990008.63999999</v>
      </c>
      <c r="D33" s="373"/>
      <c r="E33" s="374"/>
    </row>
    <row r="34" spans="1:6">
      <c r="A34" s="565" t="s">
        <v>334</v>
      </c>
      <c r="B34" s="65">
        <v>38367527.140000001</v>
      </c>
      <c r="C34" s="65">
        <v>134484755.55000001</v>
      </c>
    </row>
    <row r="35" spans="1:6">
      <c r="A35" s="279" t="s">
        <v>335</v>
      </c>
      <c r="B35" s="379"/>
      <c r="C35" s="64">
        <f>+N7</f>
        <v>17926178.375209354</v>
      </c>
      <c r="D35" s="80"/>
    </row>
    <row r="36" spans="1:6">
      <c r="A36" s="27" t="s">
        <v>336</v>
      </c>
      <c r="B36" s="64">
        <f>SUM(Anx16Atotal!C50+Anx16Atotal!C51+Anx16Atotal!C54+Anx16Atotal!C78+Anx16Atotal!C79+Anx16Atotal!C81+Anx16Atotal!C82+Anx16Atotal!C84+Anx16Atotal!C85+Anx16Atotal!C87+Anx16Atotal!C55+Anx16Atotal!C56)</f>
        <v>10368969.020000001</v>
      </c>
      <c r="C36" s="64">
        <f>SUM(Anx16Atotal!N50+Anx16Atotal!N51+Anx16Atotal!N54+Anx16Atotal!N78+Anx16Atotal!N79+Anx16Atotal!N81+Anx16Atotal!N82+Anx16Atotal!N84+Anx16Atotal!N85+Anx16Atotal!N87+M9)</f>
        <v>143719359.04000002</v>
      </c>
    </row>
    <row r="37" spans="1:6">
      <c r="A37" s="27" t="s">
        <v>337</v>
      </c>
      <c r="B37" s="64">
        <f>SUM(Anx16Atotal!C50+Anx16Atotal!C78+Anx16Atotal!C81+Anx16Atotal!C84)</f>
        <v>5400928.1299999999</v>
      </c>
      <c r="C37" s="64">
        <f>SUM(Anx16Atotal!N50+Anx16Atotal!N78+Anx16Atotal!N81+Anx16Atotal!N84)</f>
        <v>91382061.440000013</v>
      </c>
    </row>
    <row r="38" spans="1:6">
      <c r="A38" s="27" t="s">
        <v>338</v>
      </c>
      <c r="B38" s="64">
        <f>SUM(Anx16Atotal!C54+Anx16Atotal!C87)</f>
        <v>1013820.49</v>
      </c>
      <c r="C38" s="64">
        <f>SUM(Anx16Atotal!N54+Anx16Atotal!N87)</f>
        <v>1013820.49</v>
      </c>
    </row>
    <row r="39" spans="1:6">
      <c r="A39" s="27" t="s">
        <v>341</v>
      </c>
      <c r="B39" s="380"/>
      <c r="C39" s="64">
        <f>+M9</f>
        <v>8220783.0300000003</v>
      </c>
    </row>
    <row r="40" spans="1:6">
      <c r="A40" s="27" t="s">
        <v>339</v>
      </c>
      <c r="B40" s="380"/>
      <c r="C40" s="64">
        <f>+F4</f>
        <v>99744383.145360008</v>
      </c>
    </row>
    <row r="41" spans="1:6">
      <c r="A41" s="27" t="s">
        <v>345</v>
      </c>
      <c r="B41" s="380"/>
      <c r="C41" s="64">
        <f>+M10</f>
        <v>536719552.01999998</v>
      </c>
    </row>
    <row r="42" spans="1:6">
      <c r="A42" s="27" t="s">
        <v>346</v>
      </c>
      <c r="B42" s="381"/>
      <c r="C42" s="64">
        <v>451379171.51999998</v>
      </c>
      <c r="D42" s="371"/>
      <c r="E42" s="372"/>
      <c r="F42" s="372"/>
    </row>
    <row r="45" spans="1:6">
      <c r="A45" s="758" t="s">
        <v>363</v>
      </c>
      <c r="B45" s="758" t="s">
        <v>340</v>
      </c>
      <c r="C45" s="758" t="s">
        <v>20</v>
      </c>
    </row>
    <row r="46" spans="1:6">
      <c r="A46" s="591" t="s">
        <v>558</v>
      </c>
      <c r="B46" s="466">
        <v>550269.34</v>
      </c>
      <c r="C46" s="467">
        <v>15544340.17</v>
      </c>
    </row>
    <row r="47" spans="1:6">
      <c r="A47" s="591" t="s">
        <v>559</v>
      </c>
      <c r="B47" s="466">
        <v>1060570.5578000001</v>
      </c>
      <c r="C47" s="467">
        <v>5392085.1978000002</v>
      </c>
    </row>
    <row r="48" spans="1:6">
      <c r="A48" s="591" t="s">
        <v>560</v>
      </c>
      <c r="B48" s="466">
        <v>24965.3</v>
      </c>
      <c r="C48" s="467">
        <v>4188695.09</v>
      </c>
    </row>
    <row r="49" spans="1:3">
      <c r="A49" s="591" t="s">
        <v>561</v>
      </c>
      <c r="B49" s="466">
        <v>0</v>
      </c>
      <c r="C49" s="467">
        <v>4000000</v>
      </c>
    </row>
    <row r="50" spans="1:3">
      <c r="A50" s="591" t="s">
        <v>562</v>
      </c>
      <c r="B50" s="466">
        <v>0</v>
      </c>
      <c r="C50" s="467">
        <v>3757000</v>
      </c>
    </row>
    <row r="51" spans="1:3">
      <c r="A51" s="591" t="s">
        <v>563</v>
      </c>
      <c r="B51" s="466">
        <v>61714.53</v>
      </c>
      <c r="C51" s="467">
        <v>3561714.53</v>
      </c>
    </row>
    <row r="52" spans="1:3">
      <c r="A52" s="591" t="s">
        <v>564</v>
      </c>
      <c r="B52" s="466">
        <v>0</v>
      </c>
      <c r="C52" s="467">
        <v>3000000</v>
      </c>
    </row>
    <row r="53" spans="1:3">
      <c r="A53" s="591" t="s">
        <v>565</v>
      </c>
      <c r="B53" s="466">
        <v>1239553.77</v>
      </c>
      <c r="C53" s="467">
        <v>2759969.95</v>
      </c>
    </row>
    <row r="54" spans="1:3">
      <c r="A54" s="591" t="s">
        <v>566</v>
      </c>
      <c r="B54" s="466">
        <v>2524427.35</v>
      </c>
      <c r="C54" s="467">
        <v>2634228.33</v>
      </c>
    </row>
    <row r="55" spans="1:3">
      <c r="A55" s="591" t="s">
        <v>567</v>
      </c>
      <c r="B55" s="466">
        <v>0</v>
      </c>
      <c r="C55" s="467">
        <v>2410000</v>
      </c>
    </row>
    <row r="56" spans="1:3">
      <c r="A56" s="591" t="s">
        <v>568</v>
      </c>
      <c r="B56" s="466">
        <v>55.35</v>
      </c>
      <c r="C56" s="467">
        <v>2124718.44</v>
      </c>
    </row>
    <row r="57" spans="1:3">
      <c r="A57" s="591" t="s">
        <v>569</v>
      </c>
      <c r="B57" s="466">
        <v>23890.526300000001</v>
      </c>
      <c r="C57" s="467">
        <v>2028389.1762999999</v>
      </c>
    </row>
    <row r="58" spans="1:3">
      <c r="A58" s="591" t="s">
        <v>570</v>
      </c>
      <c r="B58" s="466">
        <v>60766.6</v>
      </c>
      <c r="C58" s="467">
        <v>1742610.79</v>
      </c>
    </row>
    <row r="59" spans="1:3">
      <c r="A59" s="591" t="s">
        <v>571</v>
      </c>
      <c r="B59" s="466">
        <v>8531.84</v>
      </c>
      <c r="C59" s="467">
        <v>1680025.5</v>
      </c>
    </row>
    <row r="60" spans="1:3">
      <c r="A60" s="591" t="s">
        <v>572</v>
      </c>
      <c r="B60" s="466">
        <v>23902.5455</v>
      </c>
      <c r="C60" s="467">
        <v>1672203.5655</v>
      </c>
    </row>
    <row r="61" spans="1:3">
      <c r="A61" s="591" t="s">
        <v>573</v>
      </c>
      <c r="B61" s="466">
        <v>143285.48000000001</v>
      </c>
      <c r="C61" s="467">
        <v>1543285.48</v>
      </c>
    </row>
    <row r="62" spans="1:3">
      <c r="A62" s="591" t="s">
        <v>574</v>
      </c>
      <c r="B62" s="466">
        <v>370.87439999999998</v>
      </c>
      <c r="C62" s="467">
        <v>1500370.8744000001</v>
      </c>
    </row>
    <row r="63" spans="1:3">
      <c r="A63" s="591" t="s">
        <v>575</v>
      </c>
      <c r="B63" s="466">
        <v>9857.56</v>
      </c>
      <c r="C63" s="467">
        <v>1424866.81</v>
      </c>
    </row>
    <row r="64" spans="1:3">
      <c r="A64" s="591" t="s">
        <v>576</v>
      </c>
      <c r="B64" s="466">
        <v>1376595.55</v>
      </c>
      <c r="C64" s="467">
        <v>1376595.55</v>
      </c>
    </row>
    <row r="65" spans="1:4">
      <c r="A65" s="591" t="s">
        <v>577</v>
      </c>
      <c r="B65" s="466">
        <v>112.78</v>
      </c>
      <c r="C65" s="467">
        <v>1300112.78</v>
      </c>
    </row>
    <row r="66" spans="1:4">
      <c r="C66" s="336"/>
      <c r="D66" s="336"/>
    </row>
    <row r="68" spans="1:4">
      <c r="A68" s="758" t="s">
        <v>364</v>
      </c>
      <c r="B68" s="758" t="s">
        <v>340</v>
      </c>
      <c r="C68" s="758" t="s">
        <v>20</v>
      </c>
    </row>
    <row r="69" spans="1:4">
      <c r="A69" s="591" t="s">
        <v>559</v>
      </c>
      <c r="B69" s="466">
        <v>1060570.55779</v>
      </c>
      <c r="C69" s="467">
        <v>5392085.1977899997</v>
      </c>
    </row>
    <row r="70" spans="1:4">
      <c r="A70" s="591" t="s">
        <v>561</v>
      </c>
      <c r="B70" s="467">
        <v>0</v>
      </c>
      <c r="C70" s="467">
        <v>4000000</v>
      </c>
    </row>
    <row r="71" spans="1:4">
      <c r="A71" s="591" t="s">
        <v>563</v>
      </c>
      <c r="B71" s="467">
        <v>61714.53</v>
      </c>
      <c r="C71" s="467">
        <v>3561714.53</v>
      </c>
    </row>
    <row r="72" spans="1:4">
      <c r="A72" s="591" t="s">
        <v>564</v>
      </c>
      <c r="B72" s="467">
        <v>0</v>
      </c>
      <c r="C72" s="467">
        <v>3000000</v>
      </c>
    </row>
    <row r="73" spans="1:4">
      <c r="A73" s="591" t="s">
        <v>565</v>
      </c>
      <c r="B73" s="467">
        <v>1239553.77</v>
      </c>
      <c r="C73" s="467">
        <v>2759969.95</v>
      </c>
    </row>
    <row r="74" spans="1:4">
      <c r="A74" s="591" t="s">
        <v>566</v>
      </c>
      <c r="B74" s="467">
        <v>2524427.35</v>
      </c>
      <c r="C74" s="467">
        <v>2634228.33</v>
      </c>
    </row>
    <row r="75" spans="1:4">
      <c r="A75" s="591" t="s">
        <v>567</v>
      </c>
      <c r="B75" s="467">
        <v>0</v>
      </c>
      <c r="C75" s="467">
        <v>2410000</v>
      </c>
    </row>
    <row r="76" spans="1:4">
      <c r="A76" s="591" t="s">
        <v>568</v>
      </c>
      <c r="B76" s="467">
        <v>55.35</v>
      </c>
      <c r="C76" s="467">
        <v>2124718.44</v>
      </c>
    </row>
    <row r="77" spans="1:4">
      <c r="A77" s="591" t="s">
        <v>569</v>
      </c>
      <c r="B77" s="467">
        <v>23890.52634</v>
      </c>
      <c r="C77" s="467">
        <v>2028389.17634</v>
      </c>
    </row>
    <row r="78" spans="1:4">
      <c r="A78" s="591" t="s">
        <v>570</v>
      </c>
      <c r="B78" s="467">
        <v>60766.6</v>
      </c>
      <c r="C78" s="467">
        <v>1742610.79</v>
      </c>
    </row>
    <row r="79" spans="1:4">
      <c r="A79" s="591" t="s">
        <v>571</v>
      </c>
      <c r="B79" s="467">
        <v>8531.84</v>
      </c>
      <c r="C79" s="467">
        <v>1680025.5</v>
      </c>
    </row>
    <row r="80" spans="1:4">
      <c r="A80" s="591" t="s">
        <v>572</v>
      </c>
      <c r="B80" s="467">
        <v>23902.545450000001</v>
      </c>
      <c r="C80" s="467">
        <v>1672203.5654500001</v>
      </c>
    </row>
    <row r="81" spans="1:3">
      <c r="A81" s="591" t="s">
        <v>573</v>
      </c>
      <c r="B81" s="467">
        <v>143285.48000000001</v>
      </c>
      <c r="C81" s="467">
        <v>1543285.48</v>
      </c>
    </row>
    <row r="82" spans="1:3">
      <c r="A82" s="591" t="s">
        <v>574</v>
      </c>
      <c r="B82" s="467">
        <v>370.87443999999999</v>
      </c>
      <c r="C82" s="467">
        <v>1500370.8744399999</v>
      </c>
    </row>
    <row r="83" spans="1:3">
      <c r="A83" s="591" t="s">
        <v>575</v>
      </c>
      <c r="B83" s="467">
        <v>9857.56</v>
      </c>
      <c r="C83" s="467">
        <v>1424866.81</v>
      </c>
    </row>
    <row r="84" spans="1:3">
      <c r="A84" s="591" t="s">
        <v>576</v>
      </c>
      <c r="B84" s="467">
        <v>1376595.55</v>
      </c>
      <c r="C84" s="467">
        <v>1376595.55</v>
      </c>
    </row>
    <row r="85" spans="1:3">
      <c r="A85" s="591" t="s">
        <v>577</v>
      </c>
      <c r="B85" s="467">
        <v>112.78</v>
      </c>
      <c r="C85" s="467">
        <v>1300112.78</v>
      </c>
    </row>
    <row r="86" spans="1:3">
      <c r="A86" s="591" t="s">
        <v>578</v>
      </c>
      <c r="B86" s="467">
        <v>5.79</v>
      </c>
      <c r="C86" s="467">
        <v>1144905.76</v>
      </c>
    </row>
    <row r="87" spans="1:3">
      <c r="A87" s="591" t="s">
        <v>579</v>
      </c>
      <c r="B87" s="467">
        <v>99850.21</v>
      </c>
      <c r="C87" s="467">
        <v>1110953.8400000001</v>
      </c>
    </row>
    <row r="88" spans="1:3">
      <c r="A88" s="591" t="s">
        <v>580</v>
      </c>
      <c r="B88" s="467">
        <v>0</v>
      </c>
      <c r="C88" s="467">
        <v>1067493.6599999999</v>
      </c>
    </row>
    <row r="89" spans="1:3">
      <c r="A89" s="590"/>
    </row>
  </sheetData>
  <customSheetViews>
    <customSheetView guid="{D62CAC70-1ACE-4E87-9E99-FED2C7460049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1"/>
    </customSheetView>
    <customSheetView guid="{4FE66BC3-94B4-4710-8AD9-CFB3A1891FB3}" scale="90" showGridLines="0">
      <selection activeCell="B22" sqref="B22"/>
      <pageMargins left="0.70866141732283472" right="0.70866141732283472" top="0.74803149606299213" bottom="0.74803149606299213" header="0.31496062992125984" footer="0.31496062992125984"/>
      <pageSetup scale="70" orientation="landscape" r:id="rId2"/>
    </customSheetView>
    <customSheetView guid="{2FDD5145-1E6D-41A8-8E6A-3079E1C158EF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3"/>
    </customSheetView>
    <customSheetView guid="{D5145478-5081-4F28-88BB-A95644E8496C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4"/>
    </customSheetView>
    <customSheetView guid="{E21B7D27-3E40-4AEF-B95E-08CACAE41300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5"/>
    </customSheetView>
  </customSheetViews>
  <mergeCells count="2">
    <mergeCell ref="H2:I2"/>
    <mergeCell ref="F1:F3"/>
  </mergeCells>
  <printOptions horizontalCentered="1"/>
  <pageMargins left="0.70866141732283472" right="0.70866141732283472" top="0.74803149606299213" bottom="0.78740157480314965" header="0.31496062992125984" footer="0.31496062992125984"/>
  <pageSetup paperSize="9" scale="70" orientation="landscape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56"/>
  <sheetViews>
    <sheetView showGridLines="0" zoomScale="85" zoomScaleNormal="85" workbookViewId="0">
      <selection activeCell="AD13" sqref="AD13"/>
    </sheetView>
  </sheetViews>
  <sheetFormatPr baseColWidth="10" defaultRowHeight="12.75"/>
  <cols>
    <col min="1" max="1" width="13.28515625" customWidth="1"/>
    <col min="2" max="2" width="61.140625" bestFit="1" customWidth="1"/>
    <col min="27" max="27" width="14" style="71" customWidth="1"/>
    <col min="28" max="28" width="11.5703125" customWidth="1"/>
    <col min="29" max="29" width="12.140625" customWidth="1"/>
  </cols>
  <sheetData>
    <row r="1" spans="1:31" ht="16.5">
      <c r="A1" s="853" t="s">
        <v>530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853"/>
      <c r="X1" s="853"/>
      <c r="Y1" s="853"/>
      <c r="Z1" s="853"/>
      <c r="AA1" s="801"/>
    </row>
    <row r="2" spans="1:31" ht="16.5">
      <c r="A2" s="853" t="s">
        <v>547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853"/>
      <c r="X2" s="853"/>
      <c r="Y2" s="853"/>
      <c r="Z2" s="853"/>
      <c r="AA2" s="801"/>
    </row>
    <row r="3" spans="1:31" ht="16.5">
      <c r="A3" s="853" t="str">
        <f>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853"/>
      <c r="X3" s="853"/>
      <c r="Y3" s="853"/>
      <c r="Z3" s="853"/>
      <c r="AA3" s="801"/>
    </row>
    <row r="4" spans="1:31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01"/>
    </row>
    <row r="5" spans="1:31" ht="16.5">
      <c r="A5" s="860" t="s">
        <v>438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02"/>
    </row>
    <row r="6" spans="1:31" ht="16.5">
      <c r="A6" s="161"/>
      <c r="B6" s="18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803"/>
    </row>
    <row r="7" spans="1:31" ht="16.5">
      <c r="A7" s="161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803"/>
    </row>
    <row r="8" spans="1:31" ht="16.5">
      <c r="A8" s="187" t="s">
        <v>5</v>
      </c>
      <c r="B8" s="44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19</v>
      </c>
      <c r="R8" s="859"/>
      <c r="S8" s="858" t="s">
        <v>141</v>
      </c>
      <c r="T8" s="859"/>
      <c r="U8" s="858" t="s">
        <v>142</v>
      </c>
      <c r="V8" s="859"/>
      <c r="W8" s="858" t="s">
        <v>143</v>
      </c>
      <c r="X8" s="859"/>
      <c r="Y8" s="858" t="s">
        <v>20</v>
      </c>
      <c r="Z8" s="859"/>
      <c r="AA8" s="789"/>
      <c r="AB8" s="860"/>
      <c r="AC8" s="860"/>
    </row>
    <row r="9" spans="1:31" s="160" customFormat="1" ht="16.5">
      <c r="A9" s="161"/>
      <c r="B9" s="186"/>
      <c r="C9" s="44" t="s">
        <v>205</v>
      </c>
      <c r="D9" s="44" t="s">
        <v>204</v>
      </c>
      <c r="E9" s="44" t="s">
        <v>205</v>
      </c>
      <c r="F9" s="44" t="s">
        <v>204</v>
      </c>
      <c r="G9" s="44" t="s">
        <v>205</v>
      </c>
      <c r="H9" s="44" t="s">
        <v>204</v>
      </c>
      <c r="I9" s="44" t="s">
        <v>205</v>
      </c>
      <c r="J9" s="44" t="s">
        <v>204</v>
      </c>
      <c r="K9" s="44" t="s">
        <v>205</v>
      </c>
      <c r="L9" s="44" t="s">
        <v>204</v>
      </c>
      <c r="M9" s="44" t="s">
        <v>205</v>
      </c>
      <c r="N9" s="44" t="s">
        <v>204</v>
      </c>
      <c r="O9" s="44" t="s">
        <v>205</v>
      </c>
      <c r="P9" s="44" t="s">
        <v>204</v>
      </c>
      <c r="Q9" s="44" t="s">
        <v>205</v>
      </c>
      <c r="R9" s="44" t="s">
        <v>204</v>
      </c>
      <c r="S9" s="44" t="s">
        <v>205</v>
      </c>
      <c r="T9" s="44" t="s">
        <v>204</v>
      </c>
      <c r="U9" s="44" t="s">
        <v>205</v>
      </c>
      <c r="V9" s="44" t="s">
        <v>204</v>
      </c>
      <c r="W9" s="44" t="s">
        <v>205</v>
      </c>
      <c r="X9" s="44" t="s">
        <v>204</v>
      </c>
      <c r="Y9" s="44" t="s">
        <v>205</v>
      </c>
      <c r="Z9" s="44" t="s">
        <v>204</v>
      </c>
      <c r="AA9" s="789"/>
      <c r="AB9" s="860" t="s">
        <v>421</v>
      </c>
      <c r="AC9" s="860"/>
      <c r="AD9" s="860" t="s">
        <v>531</v>
      </c>
      <c r="AE9" s="860"/>
    </row>
    <row r="10" spans="1:31" s="160" customFormat="1" ht="15" customHeight="1">
      <c r="A10" s="8" t="s">
        <v>172</v>
      </c>
      <c r="B10" s="813" t="s">
        <v>28</v>
      </c>
      <c r="C10" s="64">
        <f>+C11+C24</f>
        <v>1363980.27</v>
      </c>
      <c r="D10" s="64">
        <f>+D11+D24</f>
        <v>3548.4</v>
      </c>
      <c r="E10" s="64">
        <f t="shared" ref="E10:X10" si="0">+E11+E24</f>
        <v>1076474.43</v>
      </c>
      <c r="F10" s="64">
        <f t="shared" si="0"/>
        <v>6042.41</v>
      </c>
      <c r="G10" s="64">
        <f t="shared" si="0"/>
        <v>1320746.8399999999</v>
      </c>
      <c r="H10" s="64">
        <f t="shared" si="0"/>
        <v>9190.98</v>
      </c>
      <c r="I10" s="64">
        <f t="shared" si="0"/>
        <v>1336861.05</v>
      </c>
      <c r="J10" s="64">
        <f t="shared" si="0"/>
        <v>10609.44</v>
      </c>
      <c r="K10" s="64">
        <f t="shared" si="0"/>
        <v>803312.63</v>
      </c>
      <c r="L10" s="64">
        <f t="shared" si="0"/>
        <v>7601.37</v>
      </c>
      <c r="M10" s="64">
        <f t="shared" si="0"/>
        <v>3181563.1100000003</v>
      </c>
      <c r="N10" s="64">
        <f t="shared" si="0"/>
        <v>12657.66</v>
      </c>
      <c r="O10" s="64">
        <f t="shared" si="0"/>
        <v>3395760.52</v>
      </c>
      <c r="P10" s="64">
        <f t="shared" si="0"/>
        <v>38686.400000000001</v>
      </c>
      <c r="Q10" s="64">
        <f t="shared" si="0"/>
        <v>4750609.5599999996</v>
      </c>
      <c r="R10" s="64">
        <f t="shared" si="0"/>
        <v>39759.35</v>
      </c>
      <c r="S10" s="64">
        <f t="shared" si="0"/>
        <v>11747615.140000001</v>
      </c>
      <c r="T10" s="64">
        <f t="shared" si="0"/>
        <v>133052.29</v>
      </c>
      <c r="U10" s="64">
        <f t="shared" si="0"/>
        <v>18886252.480000004</v>
      </c>
      <c r="V10" s="64">
        <f t="shared" si="0"/>
        <v>146845.89000000001</v>
      </c>
      <c r="W10" s="64">
        <f t="shared" si="0"/>
        <v>3981130.26</v>
      </c>
      <c r="X10" s="64">
        <f t="shared" si="0"/>
        <v>0</v>
      </c>
      <c r="Y10" s="64">
        <f>C10+E10+G10+I10+K10+M10+O10+Q10+S10+U10+W10</f>
        <v>51844306.289999999</v>
      </c>
      <c r="Z10" s="64">
        <f>D10+F10+H10+J10+L10+N10+P10+R10+T10+V10+X10</f>
        <v>407994.19000000006</v>
      </c>
      <c r="AA10" s="789"/>
      <c r="AB10" s="806" t="s">
        <v>205</v>
      </c>
      <c r="AC10" s="806" t="s">
        <v>204</v>
      </c>
      <c r="AD10" s="805"/>
      <c r="AE10" s="805"/>
    </row>
    <row r="11" spans="1:31" ht="16.5">
      <c r="A11" s="790"/>
      <c r="B11" s="50" t="s">
        <v>144</v>
      </c>
      <c r="C11" s="61">
        <f>SUM(C12:C23)</f>
        <v>1363980.27</v>
      </c>
      <c r="D11" s="61">
        <f>SUM(D12:D23)</f>
        <v>3548.4</v>
      </c>
      <c r="E11" s="61">
        <f t="shared" ref="E11:X11" si="1">SUM(E12:E23)</f>
        <v>1076474.43</v>
      </c>
      <c r="F11" s="61">
        <f t="shared" si="1"/>
        <v>6042.41</v>
      </c>
      <c r="G11" s="61">
        <f t="shared" si="1"/>
        <v>1320746.8399999999</v>
      </c>
      <c r="H11" s="61">
        <f t="shared" si="1"/>
        <v>6046.19</v>
      </c>
      <c r="I11" s="61">
        <f t="shared" si="1"/>
        <v>1336861.05</v>
      </c>
      <c r="J11" s="61">
        <f t="shared" si="1"/>
        <v>6124.35</v>
      </c>
      <c r="K11" s="61">
        <f t="shared" si="1"/>
        <v>803312.63</v>
      </c>
      <c r="L11" s="61">
        <f t="shared" si="1"/>
        <v>3102.45</v>
      </c>
      <c r="M11" s="61">
        <f t="shared" si="1"/>
        <v>3176463.16</v>
      </c>
      <c r="N11" s="61">
        <f t="shared" si="1"/>
        <v>8079.13</v>
      </c>
      <c r="O11" s="61">
        <f t="shared" si="1"/>
        <v>3379907.98</v>
      </c>
      <c r="P11" s="61">
        <f t="shared" si="1"/>
        <v>24722.22</v>
      </c>
      <c r="Q11" s="61">
        <f t="shared" si="1"/>
        <v>4734138.79</v>
      </c>
      <c r="R11" s="61">
        <f t="shared" si="1"/>
        <v>25343.77</v>
      </c>
      <c r="S11" s="61">
        <f t="shared" si="1"/>
        <v>11676540.710000001</v>
      </c>
      <c r="T11" s="61">
        <f t="shared" si="1"/>
        <v>70541.850000000006</v>
      </c>
      <c r="U11" s="61">
        <f t="shared" si="1"/>
        <v>18686307.810000002</v>
      </c>
      <c r="V11" s="61">
        <f t="shared" si="1"/>
        <v>146845.89000000001</v>
      </c>
      <c r="W11" s="61">
        <f t="shared" si="1"/>
        <v>3981130.26</v>
      </c>
      <c r="X11" s="61">
        <f t="shared" si="1"/>
        <v>0</v>
      </c>
      <c r="Y11" s="61">
        <f>C11+E11+G11+I11+K11+M11+O11+Q11+S11+U11+W11</f>
        <v>51535863.93</v>
      </c>
      <c r="Z11" s="61">
        <f>D11+F11+H11+J11+L11+N11+P11+R11+T11+V11+X11</f>
        <v>300396.66000000003</v>
      </c>
      <c r="AA11" s="483"/>
      <c r="AB11" s="804"/>
      <c r="AC11" s="804"/>
      <c r="AD11" s="805"/>
      <c r="AE11" s="805"/>
    </row>
    <row r="12" spans="1:31" ht="16.5">
      <c r="A12" s="790" t="s">
        <v>159</v>
      </c>
      <c r="B12" s="51" t="s">
        <v>145</v>
      </c>
      <c r="C12" s="61">
        <v>124827.49</v>
      </c>
      <c r="D12" s="61"/>
      <c r="E12" s="61">
        <v>0</v>
      </c>
      <c r="F12" s="61"/>
      <c r="G12" s="61">
        <v>530000</v>
      </c>
      <c r="H12" s="61"/>
      <c r="I12" s="61">
        <v>491493.33</v>
      </c>
      <c r="J12" s="61"/>
      <c r="K12" s="61">
        <v>0</v>
      </c>
      <c r="L12" s="61"/>
      <c r="M12" s="61">
        <v>2239345.4700000002</v>
      </c>
      <c r="N12" s="61"/>
      <c r="O12" s="61">
        <v>816965.61</v>
      </c>
      <c r="P12" s="61"/>
      <c r="Q12" s="61">
        <v>1991181.91</v>
      </c>
      <c r="R12" s="61"/>
      <c r="S12" s="61">
        <v>3434865.24</v>
      </c>
      <c r="T12" s="61"/>
      <c r="U12" s="61">
        <v>3132785.34</v>
      </c>
      <c r="V12" s="61"/>
      <c r="W12" s="61">
        <v>0</v>
      </c>
      <c r="X12" s="61"/>
      <c r="Y12" s="61">
        <f t="shared" ref="Y12:Y55" si="2">C12+E12+G12+I12+K12+M12+O12+Q12+S12+U12+W12</f>
        <v>12761464.390000001</v>
      </c>
      <c r="Z12" s="61">
        <f t="shared" ref="Z12:Z55" si="3">D12+F12+H12+J12+L12+N12+P12+R12+T12+V12+X12</f>
        <v>0</v>
      </c>
      <c r="AA12" s="695">
        <v>140109</v>
      </c>
      <c r="AB12" s="694">
        <f>Anx16AMN!Q15</f>
        <v>12761464.390000001</v>
      </c>
      <c r="AC12" s="694">
        <f>Anx16AME!Q15</f>
        <v>0</v>
      </c>
      <c r="AD12" s="814">
        <f>Y12-AB12</f>
        <v>0</v>
      </c>
      <c r="AE12" s="814">
        <f>Z12-AC12</f>
        <v>0</v>
      </c>
    </row>
    <row r="13" spans="1:31" ht="16.5">
      <c r="A13" s="790">
        <v>140110</v>
      </c>
      <c r="B13" s="51" t="s">
        <v>146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>
        <f t="shared" si="2"/>
        <v>0</v>
      </c>
      <c r="Z13" s="61">
        <f t="shared" si="3"/>
        <v>0</v>
      </c>
      <c r="AA13" s="695">
        <v>140110</v>
      </c>
      <c r="AB13" s="694">
        <f>Anx16AMN!Q16</f>
        <v>0</v>
      </c>
      <c r="AC13" s="694">
        <f>Anx16AME!Q16</f>
        <v>0</v>
      </c>
      <c r="AD13" s="814">
        <f t="shared" ref="AD13:AD19" si="4">Y13-AB13</f>
        <v>0</v>
      </c>
      <c r="AE13" s="814">
        <f t="shared" ref="AE13:AE19" si="5">Z13-AC13</f>
        <v>0</v>
      </c>
    </row>
    <row r="14" spans="1:31" ht="16.5">
      <c r="A14" s="790">
        <v>140111</v>
      </c>
      <c r="B14" s="51" t="s">
        <v>147</v>
      </c>
      <c r="C14" s="61">
        <v>296892.59999999998</v>
      </c>
      <c r="D14" s="61"/>
      <c r="E14" s="61">
        <v>301007.2</v>
      </c>
      <c r="F14" s="61"/>
      <c r="G14" s="61">
        <v>72548.100000000006</v>
      </c>
      <c r="H14" s="61"/>
      <c r="I14" s="61">
        <v>74424.23</v>
      </c>
      <c r="J14" s="61"/>
      <c r="K14" s="61">
        <v>74084.460000000006</v>
      </c>
      <c r="L14" s="61"/>
      <c r="M14" s="61">
        <v>74858.86</v>
      </c>
      <c r="N14" s="61"/>
      <c r="O14" s="61">
        <v>231358.75</v>
      </c>
      <c r="P14" s="61"/>
      <c r="Q14" s="61">
        <v>226076.34</v>
      </c>
      <c r="R14" s="61"/>
      <c r="S14" s="61">
        <v>844289.31</v>
      </c>
      <c r="T14" s="61"/>
      <c r="U14" s="61">
        <v>1746263.9</v>
      </c>
      <c r="V14" s="61"/>
      <c r="W14" s="61">
        <v>0</v>
      </c>
      <c r="X14" s="61"/>
      <c r="Y14" s="61">
        <f t="shared" si="2"/>
        <v>3941803.75</v>
      </c>
      <c r="Z14" s="61">
        <f t="shared" si="3"/>
        <v>0</v>
      </c>
      <c r="AA14" s="696">
        <v>140111</v>
      </c>
      <c r="AB14" s="694">
        <f>Anx16AMN!Q17</f>
        <v>3941803.75</v>
      </c>
      <c r="AC14" s="694">
        <f>Anx16AME!Q17</f>
        <v>0</v>
      </c>
      <c r="AD14" s="814">
        <f t="shared" si="4"/>
        <v>0</v>
      </c>
      <c r="AE14" s="814">
        <f t="shared" si="5"/>
        <v>0</v>
      </c>
    </row>
    <row r="15" spans="1:31" ht="16.5">
      <c r="A15" s="790" t="s">
        <v>160</v>
      </c>
      <c r="B15" s="51" t="s">
        <v>148</v>
      </c>
      <c r="C15" s="61">
        <v>713266.85</v>
      </c>
      <c r="D15" s="61">
        <v>3243.86</v>
      </c>
      <c r="E15" s="61">
        <v>775467.23</v>
      </c>
      <c r="F15" s="61">
        <v>6042.41</v>
      </c>
      <c r="G15" s="61">
        <v>718198.74</v>
      </c>
      <c r="H15" s="61">
        <v>6046.19</v>
      </c>
      <c r="I15" s="61">
        <v>770943.49</v>
      </c>
      <c r="J15" s="61">
        <v>6124.35</v>
      </c>
      <c r="K15" s="61">
        <v>729228.17</v>
      </c>
      <c r="L15" s="61">
        <v>3102.45</v>
      </c>
      <c r="M15" s="61">
        <v>862258.83</v>
      </c>
      <c r="N15" s="61">
        <v>8079.13</v>
      </c>
      <c r="O15" s="61">
        <v>2331583.62</v>
      </c>
      <c r="P15" s="61">
        <v>24722.22</v>
      </c>
      <c r="Q15" s="61">
        <v>2516880.54</v>
      </c>
      <c r="R15" s="61">
        <v>25343.77</v>
      </c>
      <c r="S15" s="61">
        <v>7397386.1600000001</v>
      </c>
      <c r="T15" s="61">
        <v>70541.850000000006</v>
      </c>
      <c r="U15" s="61">
        <v>13807258.57</v>
      </c>
      <c r="V15" s="61">
        <v>146845.89000000001</v>
      </c>
      <c r="W15" s="61">
        <v>3981130.26</v>
      </c>
      <c r="X15" s="61">
        <v>0</v>
      </c>
      <c r="Y15" s="61">
        <f t="shared" si="2"/>
        <v>34603602.460000001</v>
      </c>
      <c r="Z15" s="61">
        <f t="shared" si="3"/>
        <v>300092.12</v>
      </c>
      <c r="AA15" s="696">
        <v>140112</v>
      </c>
      <c r="AB15" s="694">
        <f>Anx16AMN!Q18</f>
        <v>39620403.640000001</v>
      </c>
      <c r="AC15" s="694">
        <f>Anx16AME!Q18</f>
        <v>300092.12</v>
      </c>
      <c r="AD15" s="814">
        <f t="shared" si="4"/>
        <v>-5016801.18</v>
      </c>
      <c r="AE15" s="814">
        <f t="shared" si="5"/>
        <v>0</v>
      </c>
    </row>
    <row r="16" spans="1:31" ht="16.5">
      <c r="A16" s="790" t="s">
        <v>171</v>
      </c>
      <c r="B16" s="51" t="s">
        <v>177</v>
      </c>
      <c r="C16" s="61">
        <v>148594.20000000001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f t="shared" si="2"/>
        <v>148594.20000000001</v>
      </c>
      <c r="Z16" s="61">
        <f t="shared" si="3"/>
        <v>0</v>
      </c>
      <c r="AA16" s="716">
        <v>140809</v>
      </c>
      <c r="AB16" s="694">
        <f>Anx16AMN!Q19</f>
        <v>148594.20000000001</v>
      </c>
      <c r="AC16" s="694">
        <f>Anx16AME!Q19</f>
        <v>0</v>
      </c>
      <c r="AD16" s="814">
        <f t="shared" si="4"/>
        <v>0</v>
      </c>
      <c r="AE16" s="814">
        <f t="shared" si="5"/>
        <v>0</v>
      </c>
    </row>
    <row r="17" spans="1:31" ht="16.5">
      <c r="A17" s="790">
        <v>140810</v>
      </c>
      <c r="B17" s="51" t="s">
        <v>176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>
        <f t="shared" si="2"/>
        <v>0</v>
      </c>
      <c r="Z17" s="61">
        <f t="shared" si="3"/>
        <v>0</v>
      </c>
      <c r="AA17" s="716">
        <v>140810</v>
      </c>
      <c r="AB17" s="694">
        <f>Anx16AMN!Q20</f>
        <v>0</v>
      </c>
      <c r="AC17" s="694">
        <f>Anx16AME!Q20</f>
        <v>0</v>
      </c>
      <c r="AD17" s="814">
        <f t="shared" si="4"/>
        <v>0</v>
      </c>
      <c r="AE17" s="814">
        <f t="shared" si="5"/>
        <v>0</v>
      </c>
    </row>
    <row r="18" spans="1:31" ht="16.5">
      <c r="A18" s="790">
        <v>140811</v>
      </c>
      <c r="B18" s="51" t="s">
        <v>178</v>
      </c>
      <c r="C18" s="61">
        <v>33728.54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>
        <f t="shared" si="2"/>
        <v>33728.54</v>
      </c>
      <c r="Z18" s="61">
        <f t="shared" si="3"/>
        <v>0</v>
      </c>
      <c r="AA18" s="716">
        <v>140811</v>
      </c>
      <c r="AB18" s="694">
        <f>Anx16AMN!Q21</f>
        <v>33728.54</v>
      </c>
      <c r="AC18" s="694">
        <f>Anx16AME!Q21</f>
        <v>0</v>
      </c>
      <c r="AD18" s="814">
        <f t="shared" si="4"/>
        <v>0</v>
      </c>
      <c r="AE18" s="814">
        <f t="shared" si="5"/>
        <v>0</v>
      </c>
    </row>
    <row r="19" spans="1:31" ht="16.5">
      <c r="A19" s="790">
        <v>140812</v>
      </c>
      <c r="B19" s="51" t="s">
        <v>179</v>
      </c>
      <c r="C19" s="61">
        <v>46670.59</v>
      </c>
      <c r="D19" s="61">
        <v>304.54000000000002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>
        <f t="shared" si="2"/>
        <v>46670.59</v>
      </c>
      <c r="Z19" s="61">
        <f t="shared" si="3"/>
        <v>304.54000000000002</v>
      </c>
      <c r="AA19" s="716">
        <v>140812</v>
      </c>
      <c r="AB19" s="694">
        <f>Anx16AMN!Q22</f>
        <v>513711.43</v>
      </c>
      <c r="AC19" s="694">
        <f>Anx16AME!Q22</f>
        <v>304.54000000000002</v>
      </c>
      <c r="AD19" s="814">
        <f t="shared" si="4"/>
        <v>-467040.83999999997</v>
      </c>
      <c r="AE19" s="814">
        <f t="shared" si="5"/>
        <v>0</v>
      </c>
    </row>
    <row r="20" spans="1:31" ht="16.5">
      <c r="A20" s="791"/>
      <c r="B20" s="792" t="s">
        <v>515</v>
      </c>
      <c r="C20" s="810">
        <v>0</v>
      </c>
      <c r="D20" s="810"/>
      <c r="E20" s="810"/>
      <c r="F20" s="810"/>
      <c r="G20" s="810">
        <v>0</v>
      </c>
      <c r="H20" s="810"/>
      <c r="I20" s="810">
        <v>0</v>
      </c>
      <c r="J20" s="810"/>
      <c r="K20" s="810"/>
      <c r="L20" s="810"/>
      <c r="M20" s="810">
        <v>0</v>
      </c>
      <c r="N20" s="810"/>
      <c r="O20" s="810">
        <v>0</v>
      </c>
      <c r="P20" s="810"/>
      <c r="Q20" s="810">
        <v>0</v>
      </c>
      <c r="R20" s="810"/>
      <c r="S20" s="810">
        <v>0</v>
      </c>
      <c r="T20" s="810"/>
      <c r="U20" s="810">
        <v>0</v>
      </c>
      <c r="V20" s="810"/>
      <c r="W20" s="810"/>
      <c r="X20" s="810"/>
      <c r="Y20" s="61">
        <f t="shared" si="2"/>
        <v>0</v>
      </c>
      <c r="Z20" s="61">
        <f t="shared" si="3"/>
        <v>0</v>
      </c>
      <c r="AA20" s="453"/>
      <c r="AB20" s="694"/>
      <c r="AC20" s="694"/>
      <c r="AD20" s="140"/>
      <c r="AE20" s="140"/>
    </row>
    <row r="21" spans="1:31" ht="16.5">
      <c r="A21" s="791"/>
      <c r="B21" s="792" t="s">
        <v>516</v>
      </c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61">
        <f t="shared" si="2"/>
        <v>0</v>
      </c>
      <c r="Z21" s="61">
        <f t="shared" si="3"/>
        <v>0</v>
      </c>
      <c r="AA21" s="453"/>
      <c r="AB21" s="694"/>
      <c r="AC21" s="694"/>
      <c r="AD21" s="140"/>
      <c r="AE21" s="140"/>
    </row>
    <row r="22" spans="1:31" ht="16.5">
      <c r="A22" s="791"/>
      <c r="B22" s="792" t="s">
        <v>517</v>
      </c>
      <c r="C22" s="810">
        <v>0</v>
      </c>
      <c r="D22" s="810"/>
      <c r="E22" s="810">
        <v>0</v>
      </c>
      <c r="F22" s="810"/>
      <c r="G22" s="810">
        <v>0</v>
      </c>
      <c r="H22" s="810"/>
      <c r="I22" s="810">
        <v>0</v>
      </c>
      <c r="J22" s="810"/>
      <c r="K22" s="810">
        <v>0</v>
      </c>
      <c r="L22" s="810"/>
      <c r="M22" s="810">
        <v>0</v>
      </c>
      <c r="N22" s="810"/>
      <c r="O22" s="810">
        <v>0</v>
      </c>
      <c r="P22" s="810"/>
      <c r="Q22" s="810">
        <v>0</v>
      </c>
      <c r="R22" s="810"/>
      <c r="S22" s="810">
        <v>0</v>
      </c>
      <c r="T22" s="810"/>
      <c r="U22" s="810">
        <v>0</v>
      </c>
      <c r="V22" s="810"/>
      <c r="W22" s="810"/>
      <c r="X22" s="810"/>
      <c r="Y22" s="61">
        <f t="shared" si="2"/>
        <v>0</v>
      </c>
      <c r="Z22" s="61">
        <f t="shared" si="3"/>
        <v>0</v>
      </c>
      <c r="AA22" s="453"/>
      <c r="AB22" s="694"/>
      <c r="AC22" s="694"/>
      <c r="AD22" s="140"/>
      <c r="AE22" s="140"/>
    </row>
    <row r="23" spans="1:31" ht="16.5">
      <c r="A23" s="791"/>
      <c r="B23" s="792" t="s">
        <v>518</v>
      </c>
      <c r="C23" s="810">
        <v>0</v>
      </c>
      <c r="D23" s="810">
        <v>0</v>
      </c>
      <c r="E23" s="810">
        <v>0</v>
      </c>
      <c r="F23" s="810">
        <v>0</v>
      </c>
      <c r="G23" s="810">
        <v>0</v>
      </c>
      <c r="H23" s="810">
        <v>0</v>
      </c>
      <c r="I23" s="810">
        <v>0</v>
      </c>
      <c r="J23" s="810">
        <v>0</v>
      </c>
      <c r="K23" s="810">
        <v>0</v>
      </c>
      <c r="L23" s="810">
        <v>0</v>
      </c>
      <c r="M23" s="810">
        <v>0</v>
      </c>
      <c r="N23" s="810">
        <v>0</v>
      </c>
      <c r="O23" s="810">
        <v>0</v>
      </c>
      <c r="P23" s="810">
        <v>0</v>
      </c>
      <c r="Q23" s="810">
        <v>0</v>
      </c>
      <c r="R23" s="810">
        <v>0</v>
      </c>
      <c r="S23" s="810">
        <v>0</v>
      </c>
      <c r="T23" s="810">
        <v>0</v>
      </c>
      <c r="U23" s="810">
        <v>0</v>
      </c>
      <c r="V23" s="810">
        <v>0</v>
      </c>
      <c r="W23" s="810">
        <v>0</v>
      </c>
      <c r="X23" s="810"/>
      <c r="Y23" s="61">
        <f t="shared" si="2"/>
        <v>0</v>
      </c>
      <c r="Z23" s="61">
        <f t="shared" si="3"/>
        <v>0</v>
      </c>
      <c r="AA23" s="453"/>
      <c r="AB23" s="694"/>
      <c r="AC23" s="694"/>
      <c r="AD23" s="140"/>
      <c r="AE23" s="140"/>
    </row>
    <row r="24" spans="1:31" ht="16.5">
      <c r="A24" s="790">
        <v>1404</v>
      </c>
      <c r="B24" s="50" t="s">
        <v>149</v>
      </c>
      <c r="C24" s="61">
        <f>SUM(C25:C30)</f>
        <v>0</v>
      </c>
      <c r="D24" s="61">
        <f>SUM(D25:D30)</f>
        <v>0</v>
      </c>
      <c r="E24" s="61">
        <f t="shared" ref="E24:X24" si="6">SUM(E25:E30)</f>
        <v>0</v>
      </c>
      <c r="F24" s="61">
        <f t="shared" si="6"/>
        <v>0</v>
      </c>
      <c r="G24" s="61">
        <f t="shared" si="6"/>
        <v>0</v>
      </c>
      <c r="H24" s="61">
        <f t="shared" si="6"/>
        <v>3144.79</v>
      </c>
      <c r="I24" s="61">
        <f t="shared" si="6"/>
        <v>0</v>
      </c>
      <c r="J24" s="61">
        <f t="shared" si="6"/>
        <v>4485.09</v>
      </c>
      <c r="K24" s="61">
        <f t="shared" si="6"/>
        <v>0</v>
      </c>
      <c r="L24" s="61">
        <f t="shared" si="6"/>
        <v>4498.92</v>
      </c>
      <c r="M24" s="61">
        <f t="shared" si="6"/>
        <v>5099.95</v>
      </c>
      <c r="N24" s="61">
        <f t="shared" si="6"/>
        <v>4578.53</v>
      </c>
      <c r="O24" s="61">
        <f t="shared" si="6"/>
        <v>15852.54</v>
      </c>
      <c r="P24" s="61">
        <f t="shared" si="6"/>
        <v>13964.18</v>
      </c>
      <c r="Q24" s="61">
        <f t="shared" si="6"/>
        <v>16470.77</v>
      </c>
      <c r="R24" s="61">
        <f t="shared" si="6"/>
        <v>14415.58</v>
      </c>
      <c r="S24" s="61">
        <f t="shared" si="6"/>
        <v>71074.429999999993</v>
      </c>
      <c r="T24" s="61">
        <f t="shared" si="6"/>
        <v>62510.44</v>
      </c>
      <c r="U24" s="61">
        <f t="shared" si="6"/>
        <v>199944.67</v>
      </c>
      <c r="V24" s="61">
        <f t="shared" si="6"/>
        <v>0</v>
      </c>
      <c r="W24" s="61">
        <f t="shared" si="6"/>
        <v>0</v>
      </c>
      <c r="X24" s="61">
        <f t="shared" si="6"/>
        <v>0</v>
      </c>
      <c r="Y24" s="61">
        <f t="shared" si="2"/>
        <v>308442.36</v>
      </c>
      <c r="Z24" s="61">
        <f t="shared" si="3"/>
        <v>107597.53</v>
      </c>
      <c r="AA24" s="453"/>
      <c r="AB24" s="694"/>
      <c r="AC24" s="694"/>
      <c r="AD24" s="814"/>
      <c r="AE24" s="814"/>
    </row>
    <row r="25" spans="1:31" ht="16.5">
      <c r="A25" s="790">
        <v>140410</v>
      </c>
      <c r="B25" s="51" t="s">
        <v>146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f t="shared" si="2"/>
        <v>0</v>
      </c>
      <c r="Z25" s="61">
        <f t="shared" si="3"/>
        <v>0</v>
      </c>
      <c r="AA25" s="695">
        <v>140410</v>
      </c>
      <c r="AB25" s="694">
        <f>Anx16AMN!Q24</f>
        <v>0</v>
      </c>
      <c r="AC25" s="694">
        <f>Anx16AME!Q24</f>
        <v>0</v>
      </c>
      <c r="AD25" s="814">
        <f t="shared" ref="AD25:AD27" si="7">Y25-AB25</f>
        <v>0</v>
      </c>
      <c r="AE25" s="814">
        <f t="shared" ref="AE25:AE27" si="8">Z25-AC25</f>
        <v>0</v>
      </c>
    </row>
    <row r="26" spans="1:31" ht="16.5">
      <c r="A26" s="790">
        <v>140411</v>
      </c>
      <c r="B26" s="51" t="s">
        <v>147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>
        <f t="shared" si="2"/>
        <v>0</v>
      </c>
      <c r="Z26" s="61">
        <f t="shared" si="3"/>
        <v>0</v>
      </c>
      <c r="AA26" s="695">
        <v>140411</v>
      </c>
      <c r="AB26" s="694">
        <f>Anx16AMN!Q25</f>
        <v>0</v>
      </c>
      <c r="AC26" s="694">
        <f>Anx16AME!Q25</f>
        <v>0</v>
      </c>
      <c r="AD26" s="814">
        <f t="shared" si="7"/>
        <v>0</v>
      </c>
      <c r="AE26" s="814">
        <f t="shared" si="8"/>
        <v>0</v>
      </c>
    </row>
    <row r="27" spans="1:31" ht="16.5">
      <c r="A27" s="790">
        <v>140412</v>
      </c>
      <c r="B27" s="51" t="s">
        <v>148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3144.79</v>
      </c>
      <c r="I27" s="61">
        <v>0</v>
      </c>
      <c r="J27" s="61">
        <v>4485.09</v>
      </c>
      <c r="K27" s="61">
        <v>0</v>
      </c>
      <c r="L27" s="61">
        <v>4498.92</v>
      </c>
      <c r="M27" s="61">
        <v>5099.95</v>
      </c>
      <c r="N27" s="61">
        <v>4578.53</v>
      </c>
      <c r="O27" s="61">
        <v>15852.54</v>
      </c>
      <c r="P27" s="61">
        <v>13964.18</v>
      </c>
      <c r="Q27" s="61">
        <v>16470.77</v>
      </c>
      <c r="R27" s="61">
        <v>14415.58</v>
      </c>
      <c r="S27" s="61">
        <v>71074.429999999993</v>
      </c>
      <c r="T27" s="61">
        <v>62510.44</v>
      </c>
      <c r="U27" s="61">
        <v>199944.67</v>
      </c>
      <c r="V27" s="61">
        <v>0</v>
      </c>
      <c r="W27" s="61">
        <v>0</v>
      </c>
      <c r="X27" s="61">
        <v>0</v>
      </c>
      <c r="Y27" s="61">
        <f t="shared" si="2"/>
        <v>308442.36</v>
      </c>
      <c r="Z27" s="61">
        <f t="shared" si="3"/>
        <v>107597.53</v>
      </c>
      <c r="AA27" s="695">
        <v>140412</v>
      </c>
      <c r="AB27" s="694">
        <f>Anx16AMN!Q26</f>
        <v>308442.36</v>
      </c>
      <c r="AC27" s="694">
        <f>Anx16AME!Q26</f>
        <v>107597.53</v>
      </c>
      <c r="AD27" s="814">
        <f t="shared" si="7"/>
        <v>0</v>
      </c>
      <c r="AE27" s="814">
        <f t="shared" si="8"/>
        <v>0</v>
      </c>
    </row>
    <row r="28" spans="1:31" ht="16.5">
      <c r="A28" s="793"/>
      <c r="B28" s="794" t="s">
        <v>519</v>
      </c>
      <c r="C28" s="811"/>
      <c r="D28" s="811"/>
      <c r="E28" s="811"/>
      <c r="F28" s="811"/>
      <c r="G28" s="811"/>
      <c r="H28" s="811"/>
      <c r="I28" s="811"/>
      <c r="J28" s="811"/>
      <c r="K28" s="811"/>
      <c r="L28" s="811"/>
      <c r="M28" s="811"/>
      <c r="N28" s="811"/>
      <c r="O28" s="811"/>
      <c r="P28" s="811"/>
      <c r="Q28" s="811"/>
      <c r="R28" s="811"/>
      <c r="S28" s="811"/>
      <c r="T28" s="811"/>
      <c r="U28" s="811"/>
      <c r="V28" s="811"/>
      <c r="W28" s="811"/>
      <c r="X28" s="811"/>
      <c r="Y28" s="61">
        <f t="shared" si="2"/>
        <v>0</v>
      </c>
      <c r="Z28" s="61">
        <f t="shared" si="3"/>
        <v>0</v>
      </c>
      <c r="AA28" s="453"/>
      <c r="AB28" s="694"/>
      <c r="AC28" s="694"/>
      <c r="AD28" s="140"/>
      <c r="AE28" s="140"/>
    </row>
    <row r="29" spans="1:31" ht="16.5">
      <c r="A29" s="793"/>
      <c r="B29" s="794" t="s">
        <v>520</v>
      </c>
      <c r="C29" s="811"/>
      <c r="D29" s="811"/>
      <c r="E29" s="811"/>
      <c r="F29" s="811"/>
      <c r="G29" s="811"/>
      <c r="H29" s="811"/>
      <c r="I29" s="811"/>
      <c r="J29" s="811"/>
      <c r="K29" s="811"/>
      <c r="L29" s="811"/>
      <c r="M29" s="811"/>
      <c r="N29" s="811"/>
      <c r="O29" s="811"/>
      <c r="P29" s="811"/>
      <c r="Q29" s="811"/>
      <c r="R29" s="811"/>
      <c r="S29" s="811"/>
      <c r="T29" s="811"/>
      <c r="U29" s="811"/>
      <c r="V29" s="811"/>
      <c r="W29" s="811"/>
      <c r="X29" s="811"/>
      <c r="Y29" s="61">
        <f t="shared" si="2"/>
        <v>0</v>
      </c>
      <c r="Z29" s="61">
        <f t="shared" si="3"/>
        <v>0</v>
      </c>
      <c r="AA29" s="453"/>
      <c r="AB29" s="694"/>
      <c r="AC29" s="694"/>
      <c r="AD29" s="140"/>
      <c r="AE29" s="140"/>
    </row>
    <row r="30" spans="1:31" ht="16.5">
      <c r="A30" s="793"/>
      <c r="B30" s="794" t="s">
        <v>521</v>
      </c>
      <c r="C30" s="811">
        <v>0</v>
      </c>
      <c r="D30" s="811">
        <v>0</v>
      </c>
      <c r="E30" s="811">
        <v>0</v>
      </c>
      <c r="F30" s="811">
        <v>0</v>
      </c>
      <c r="G30" s="811">
        <v>0</v>
      </c>
      <c r="H30" s="811">
        <v>0</v>
      </c>
      <c r="I30" s="811">
        <v>0</v>
      </c>
      <c r="J30" s="811">
        <v>0</v>
      </c>
      <c r="K30" s="811">
        <v>0</v>
      </c>
      <c r="L30" s="811">
        <v>0</v>
      </c>
      <c r="M30" s="811">
        <v>0</v>
      </c>
      <c r="N30" s="811">
        <v>0</v>
      </c>
      <c r="O30" s="811">
        <v>0</v>
      </c>
      <c r="P30" s="811">
        <v>0</v>
      </c>
      <c r="Q30" s="811">
        <v>0</v>
      </c>
      <c r="R30" s="811">
        <v>0</v>
      </c>
      <c r="S30" s="811">
        <v>0</v>
      </c>
      <c r="T30" s="811">
        <v>0</v>
      </c>
      <c r="U30" s="811">
        <v>0</v>
      </c>
      <c r="V30" s="811"/>
      <c r="W30" s="811"/>
      <c r="X30" s="811"/>
      <c r="Y30" s="61">
        <f t="shared" si="2"/>
        <v>0</v>
      </c>
      <c r="Z30" s="61">
        <f t="shared" si="3"/>
        <v>0</v>
      </c>
      <c r="AA30" s="453"/>
      <c r="AB30" s="694"/>
      <c r="AC30" s="694"/>
      <c r="AD30" s="140"/>
      <c r="AE30" s="140"/>
    </row>
    <row r="31" spans="1:31" ht="19.5" customHeight="1">
      <c r="A31" s="11" t="s">
        <v>29</v>
      </c>
      <c r="B31" s="663" t="s">
        <v>30</v>
      </c>
      <c r="C31" s="64">
        <f>+C32+C39</f>
        <v>9894039.6999999974</v>
      </c>
      <c r="D31" s="64">
        <f t="shared" ref="D31:X31" si="9">+D32+D39</f>
        <v>1910.22</v>
      </c>
      <c r="E31" s="64">
        <f t="shared" si="9"/>
        <v>10523449.01</v>
      </c>
      <c r="F31" s="64">
        <f t="shared" si="9"/>
        <v>1914.61</v>
      </c>
      <c r="G31" s="64">
        <f t="shared" si="9"/>
        <v>10542020.48</v>
      </c>
      <c r="H31" s="64">
        <f t="shared" si="9"/>
        <v>1938.73</v>
      </c>
      <c r="I31" s="64">
        <f t="shared" si="9"/>
        <v>10653470.76</v>
      </c>
      <c r="J31" s="64">
        <f t="shared" si="9"/>
        <v>2188.15</v>
      </c>
      <c r="K31" s="64">
        <f t="shared" si="9"/>
        <v>10499933.859999999</v>
      </c>
      <c r="L31" s="64">
        <f t="shared" si="9"/>
        <v>2008.35</v>
      </c>
      <c r="M31" s="64">
        <f t="shared" si="9"/>
        <v>10099201.309999999</v>
      </c>
      <c r="N31" s="64">
        <f t="shared" si="9"/>
        <v>1303.4900000000002</v>
      </c>
      <c r="O31" s="64">
        <f t="shared" si="9"/>
        <v>26838151.439999998</v>
      </c>
      <c r="P31" s="64">
        <f t="shared" si="9"/>
        <v>5059.3399999999992</v>
      </c>
      <c r="Q31" s="64">
        <f t="shared" si="9"/>
        <v>21286226.200000003</v>
      </c>
      <c r="R31" s="64">
        <f t="shared" si="9"/>
        <v>5288.1500000000005</v>
      </c>
      <c r="S31" s="64">
        <f t="shared" si="9"/>
        <v>50360750.760000005</v>
      </c>
      <c r="T31" s="64">
        <f t="shared" si="9"/>
        <v>22444.14</v>
      </c>
      <c r="U31" s="64">
        <f t="shared" si="9"/>
        <v>40690928.789999999</v>
      </c>
      <c r="V31" s="64">
        <f t="shared" si="9"/>
        <v>36362.82</v>
      </c>
      <c r="W31" s="64">
        <f t="shared" si="9"/>
        <v>4217357.6099999994</v>
      </c>
      <c r="X31" s="64">
        <f t="shared" si="9"/>
        <v>5785.93</v>
      </c>
      <c r="Y31" s="64">
        <f t="shared" si="2"/>
        <v>205605529.91999996</v>
      </c>
      <c r="Z31" s="64">
        <f t="shared" si="3"/>
        <v>86203.93</v>
      </c>
      <c r="AA31" s="453"/>
      <c r="AB31" s="694"/>
      <c r="AC31" s="694"/>
      <c r="AD31" s="814"/>
      <c r="AE31" s="814"/>
    </row>
    <row r="32" spans="1:31" ht="16.5">
      <c r="A32" s="790"/>
      <c r="B32" s="50" t="s">
        <v>144</v>
      </c>
      <c r="C32" s="61">
        <f>SUM(C33:C38)</f>
        <v>9750381.1699999981</v>
      </c>
      <c r="D32" s="61">
        <f t="shared" ref="D32:X32" si="10">SUM(D33:D38)</f>
        <v>1910.22</v>
      </c>
      <c r="E32" s="61">
        <f t="shared" si="10"/>
        <v>10404170.449999999</v>
      </c>
      <c r="F32" s="61">
        <f t="shared" si="10"/>
        <v>1914.61</v>
      </c>
      <c r="G32" s="61">
        <f t="shared" si="10"/>
        <v>10415990.27</v>
      </c>
      <c r="H32" s="61">
        <f t="shared" si="10"/>
        <v>1938.73</v>
      </c>
      <c r="I32" s="61">
        <f t="shared" si="10"/>
        <v>10514159.33</v>
      </c>
      <c r="J32" s="61">
        <f t="shared" si="10"/>
        <v>2188.15</v>
      </c>
      <c r="K32" s="61">
        <f t="shared" si="10"/>
        <v>10362387.649999999</v>
      </c>
      <c r="L32" s="61">
        <f t="shared" si="10"/>
        <v>2008.35</v>
      </c>
      <c r="M32" s="61">
        <f t="shared" si="10"/>
        <v>9955853.1499999985</v>
      </c>
      <c r="N32" s="61">
        <f t="shared" si="10"/>
        <v>216.61</v>
      </c>
      <c r="O32" s="61">
        <f t="shared" si="10"/>
        <v>26364640.329999998</v>
      </c>
      <c r="P32" s="61">
        <f t="shared" si="10"/>
        <v>678.4</v>
      </c>
      <c r="Q32" s="61">
        <f t="shared" si="10"/>
        <v>20765606.920000002</v>
      </c>
      <c r="R32" s="61">
        <f t="shared" si="10"/>
        <v>706.35</v>
      </c>
      <c r="S32" s="61">
        <f t="shared" si="10"/>
        <v>48302975.760000005</v>
      </c>
      <c r="T32" s="61">
        <f t="shared" si="10"/>
        <v>3017.45</v>
      </c>
      <c r="U32" s="61">
        <f t="shared" si="10"/>
        <v>36649034.439999998</v>
      </c>
      <c r="V32" s="61">
        <f t="shared" si="10"/>
        <v>11261.92</v>
      </c>
      <c r="W32" s="61">
        <f t="shared" si="10"/>
        <v>3348812.05</v>
      </c>
      <c r="X32" s="61">
        <f t="shared" si="10"/>
        <v>5785.93</v>
      </c>
      <c r="Y32" s="61">
        <f t="shared" si="2"/>
        <v>196834011.52000001</v>
      </c>
      <c r="Z32" s="61">
        <f t="shared" si="3"/>
        <v>31626.720000000001</v>
      </c>
      <c r="AA32" s="453"/>
      <c r="AB32" s="694"/>
      <c r="AC32" s="694"/>
      <c r="AD32" s="814"/>
      <c r="AE32" s="814"/>
    </row>
    <row r="33" spans="1:31" ht="16.5">
      <c r="A33" s="795" t="s">
        <v>161</v>
      </c>
      <c r="B33" s="51" t="s">
        <v>150</v>
      </c>
      <c r="C33" s="61">
        <v>5209248.7</v>
      </c>
      <c r="D33" s="61">
        <v>1883.77</v>
      </c>
      <c r="E33" s="61">
        <v>5577217.3700000001</v>
      </c>
      <c r="F33" s="61">
        <v>1914.61</v>
      </c>
      <c r="G33" s="61">
        <v>5701849.1699999999</v>
      </c>
      <c r="H33" s="61">
        <v>1938.73</v>
      </c>
      <c r="I33" s="61">
        <v>5785925.5300000003</v>
      </c>
      <c r="J33" s="61">
        <v>2188.15</v>
      </c>
      <c r="K33" s="61">
        <v>5815920.3899999997</v>
      </c>
      <c r="L33" s="61">
        <v>2008.35</v>
      </c>
      <c r="M33" s="61">
        <v>5560650.3799999999</v>
      </c>
      <c r="N33" s="61">
        <v>216.61</v>
      </c>
      <c r="O33" s="61">
        <v>15903174.050000001</v>
      </c>
      <c r="P33" s="61">
        <v>678.4</v>
      </c>
      <c r="Q33" s="61">
        <v>13828997.32</v>
      </c>
      <c r="R33" s="61">
        <v>706.35</v>
      </c>
      <c r="S33" s="61">
        <v>37701487.380000003</v>
      </c>
      <c r="T33" s="61">
        <v>3017.45</v>
      </c>
      <c r="U33" s="61">
        <v>32387809.460000001</v>
      </c>
      <c r="V33" s="61">
        <v>11261.92</v>
      </c>
      <c r="W33" s="61">
        <v>2981014.26</v>
      </c>
      <c r="X33" s="61">
        <v>5785.93</v>
      </c>
      <c r="Y33" s="61">
        <f t="shared" si="2"/>
        <v>136453294.00999999</v>
      </c>
      <c r="Z33" s="61">
        <f t="shared" si="3"/>
        <v>31600.270000000004</v>
      </c>
      <c r="AA33" s="695">
        <v>140113</v>
      </c>
      <c r="AB33" s="694">
        <f>Anx16AMN!Q29</f>
        <v>154718355.03999999</v>
      </c>
      <c r="AC33" s="694">
        <f>Anx16AME!Q29</f>
        <v>31600.27</v>
      </c>
      <c r="AD33" s="814">
        <f t="shared" ref="AD33:AD36" si="11">Y33-AB33</f>
        <v>-18265061.030000001</v>
      </c>
      <c r="AE33" s="814">
        <f t="shared" ref="AE33:AE36" si="12">Z33-AC33</f>
        <v>0</v>
      </c>
    </row>
    <row r="34" spans="1:31" ht="16.5">
      <c r="A34" s="795" t="s">
        <v>156</v>
      </c>
      <c r="B34" s="51" t="s">
        <v>151</v>
      </c>
      <c r="C34" s="61">
        <v>4244597.5</v>
      </c>
      <c r="D34" s="61"/>
      <c r="E34" s="61">
        <v>4826953.08</v>
      </c>
      <c r="F34" s="61"/>
      <c r="G34" s="61">
        <v>4714141.0999999996</v>
      </c>
      <c r="H34" s="61"/>
      <c r="I34" s="61">
        <v>4728233.8</v>
      </c>
      <c r="J34" s="61"/>
      <c r="K34" s="61">
        <v>4546467.26</v>
      </c>
      <c r="L34" s="61"/>
      <c r="M34" s="61">
        <v>4395202.7699999996</v>
      </c>
      <c r="N34" s="61"/>
      <c r="O34" s="61">
        <v>10461466.279999999</v>
      </c>
      <c r="P34" s="61"/>
      <c r="Q34" s="61">
        <v>6936609.5999999996</v>
      </c>
      <c r="R34" s="61"/>
      <c r="S34" s="61">
        <v>10601488.380000001</v>
      </c>
      <c r="T34" s="61"/>
      <c r="U34" s="61">
        <v>4261224.9800000004</v>
      </c>
      <c r="V34" s="61"/>
      <c r="W34" s="61">
        <v>367797.79</v>
      </c>
      <c r="X34" s="61"/>
      <c r="Y34" s="61">
        <f t="shared" si="2"/>
        <v>60084182.539999999</v>
      </c>
      <c r="Z34" s="61">
        <f t="shared" si="3"/>
        <v>0</v>
      </c>
      <c r="AA34" s="695">
        <v>140102</v>
      </c>
      <c r="AB34" s="694">
        <f>Anx16AMN!Q30</f>
        <v>74792795.170000002</v>
      </c>
      <c r="AC34" s="694">
        <f>Anx16AME!Q30</f>
        <v>0</v>
      </c>
      <c r="AD34" s="814">
        <f t="shared" si="11"/>
        <v>-14708612.630000003</v>
      </c>
      <c r="AE34" s="814">
        <f t="shared" si="12"/>
        <v>0</v>
      </c>
    </row>
    <row r="35" spans="1:31" ht="16.5">
      <c r="A35" s="796" t="s">
        <v>167</v>
      </c>
      <c r="B35" s="51" t="s">
        <v>173</v>
      </c>
      <c r="C35" s="61">
        <v>160794.20000000001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>
        <f t="shared" si="2"/>
        <v>160794.20000000001</v>
      </c>
      <c r="Z35" s="61">
        <f t="shared" si="3"/>
        <v>0</v>
      </c>
      <c r="AA35" s="698">
        <v>140802</v>
      </c>
      <c r="AB35" s="694">
        <f>Anx16AMN!Q31</f>
        <v>1831669.73</v>
      </c>
      <c r="AC35" s="694">
        <f>Anx16AME!Q31</f>
        <v>0</v>
      </c>
      <c r="AD35" s="814">
        <f t="shared" si="11"/>
        <v>-1670875.53</v>
      </c>
      <c r="AE35" s="814">
        <f t="shared" si="12"/>
        <v>0</v>
      </c>
    </row>
    <row r="36" spans="1:31" ht="16.5">
      <c r="A36" s="797">
        <v>140813</v>
      </c>
      <c r="B36" s="51" t="s">
        <v>180</v>
      </c>
      <c r="C36" s="61">
        <v>135740.76999999999</v>
      </c>
      <c r="D36" s="61">
        <v>26.45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f t="shared" si="2"/>
        <v>135740.76999999999</v>
      </c>
      <c r="Z36" s="61">
        <f t="shared" si="3"/>
        <v>26.45</v>
      </c>
      <c r="AA36" s="698">
        <v>140813</v>
      </c>
      <c r="AB36" s="694">
        <f>Anx16AMN!Q32</f>
        <v>3478633.11</v>
      </c>
      <c r="AC36" s="694">
        <f>Anx16AME!Q32</f>
        <v>26.45</v>
      </c>
      <c r="AD36" s="814">
        <f t="shared" si="11"/>
        <v>-3342892.34</v>
      </c>
      <c r="AE36" s="814">
        <f t="shared" si="12"/>
        <v>0</v>
      </c>
    </row>
    <row r="37" spans="1:31" ht="16.5">
      <c r="A37" s="791"/>
      <c r="B37" s="792" t="s">
        <v>522</v>
      </c>
      <c r="C37" s="810">
        <v>0</v>
      </c>
      <c r="D37" s="810"/>
      <c r="E37" s="810">
        <v>0</v>
      </c>
      <c r="F37" s="810"/>
      <c r="G37" s="810">
        <v>0</v>
      </c>
      <c r="H37" s="810"/>
      <c r="I37" s="810">
        <v>0</v>
      </c>
      <c r="J37" s="810"/>
      <c r="K37" s="810">
        <v>0</v>
      </c>
      <c r="L37" s="810"/>
      <c r="M37" s="810">
        <v>0</v>
      </c>
      <c r="N37" s="810"/>
      <c r="O37" s="810">
        <v>0</v>
      </c>
      <c r="P37" s="810"/>
      <c r="Q37" s="810">
        <v>0</v>
      </c>
      <c r="R37" s="810"/>
      <c r="S37" s="810">
        <v>0</v>
      </c>
      <c r="T37" s="810"/>
      <c r="U37" s="810">
        <v>0</v>
      </c>
      <c r="V37" s="810"/>
      <c r="W37" s="810">
        <v>0</v>
      </c>
      <c r="X37" s="810"/>
      <c r="Y37" s="61">
        <f t="shared" si="2"/>
        <v>0</v>
      </c>
      <c r="Z37" s="61">
        <f t="shared" si="3"/>
        <v>0</v>
      </c>
      <c r="AA37" s="453"/>
      <c r="AB37" s="694"/>
      <c r="AC37" s="694"/>
      <c r="AD37" s="140"/>
      <c r="AE37" s="140"/>
    </row>
    <row r="38" spans="1:31" ht="16.5">
      <c r="A38" s="791"/>
      <c r="B38" s="792" t="s">
        <v>523</v>
      </c>
      <c r="C38" s="810">
        <v>0</v>
      </c>
      <c r="D38" s="810">
        <v>0</v>
      </c>
      <c r="E38" s="810">
        <v>0</v>
      </c>
      <c r="F38" s="810">
        <v>0</v>
      </c>
      <c r="G38" s="810">
        <v>0</v>
      </c>
      <c r="H38" s="810">
        <v>0</v>
      </c>
      <c r="I38" s="810">
        <v>0</v>
      </c>
      <c r="J38" s="810">
        <v>0</v>
      </c>
      <c r="K38" s="810">
        <v>0</v>
      </c>
      <c r="L38" s="810">
        <v>0</v>
      </c>
      <c r="M38" s="810">
        <v>0</v>
      </c>
      <c r="N38" s="810">
        <v>0</v>
      </c>
      <c r="O38" s="810">
        <v>0</v>
      </c>
      <c r="P38" s="810">
        <v>0</v>
      </c>
      <c r="Q38" s="810">
        <v>0</v>
      </c>
      <c r="R38" s="810">
        <v>0</v>
      </c>
      <c r="S38" s="810">
        <v>0</v>
      </c>
      <c r="T38" s="810">
        <v>0</v>
      </c>
      <c r="U38" s="810">
        <v>0</v>
      </c>
      <c r="V38" s="810">
        <v>0</v>
      </c>
      <c r="W38" s="810">
        <v>0</v>
      </c>
      <c r="X38" s="810"/>
      <c r="Y38" s="61">
        <f t="shared" si="2"/>
        <v>0</v>
      </c>
      <c r="Z38" s="61">
        <f t="shared" si="3"/>
        <v>0</v>
      </c>
      <c r="AA38" s="453"/>
      <c r="AB38" s="694"/>
      <c r="AC38" s="694"/>
      <c r="AD38" s="140"/>
      <c r="AE38" s="140"/>
    </row>
    <row r="39" spans="1:31" ht="16.5">
      <c r="A39" s="790"/>
      <c r="B39" s="50" t="s">
        <v>149</v>
      </c>
      <c r="C39" s="61">
        <f>SUM(C40:C43)</f>
        <v>143658.53</v>
      </c>
      <c r="D39" s="61">
        <f t="shared" ref="D39:X39" si="13">SUM(D40:D43)</f>
        <v>0</v>
      </c>
      <c r="E39" s="61">
        <f t="shared" si="13"/>
        <v>119278.56</v>
      </c>
      <c r="F39" s="61">
        <f t="shared" si="13"/>
        <v>0</v>
      </c>
      <c r="G39" s="61">
        <f t="shared" si="13"/>
        <v>126030.21</v>
      </c>
      <c r="H39" s="61">
        <f t="shared" si="13"/>
        <v>0</v>
      </c>
      <c r="I39" s="61">
        <f t="shared" si="13"/>
        <v>139311.43</v>
      </c>
      <c r="J39" s="61">
        <f t="shared" si="13"/>
        <v>0</v>
      </c>
      <c r="K39" s="61">
        <f t="shared" si="13"/>
        <v>137546.21000000002</v>
      </c>
      <c r="L39" s="61">
        <f t="shared" si="13"/>
        <v>0</v>
      </c>
      <c r="M39" s="61">
        <f t="shared" si="13"/>
        <v>143348.16</v>
      </c>
      <c r="N39" s="61">
        <f t="shared" si="13"/>
        <v>1086.8800000000001</v>
      </c>
      <c r="O39" s="61">
        <f t="shared" si="13"/>
        <v>473511.11</v>
      </c>
      <c r="P39" s="61">
        <f t="shared" si="13"/>
        <v>4380.9399999999996</v>
      </c>
      <c r="Q39" s="61">
        <f t="shared" si="13"/>
        <v>520619.28</v>
      </c>
      <c r="R39" s="61">
        <f t="shared" si="13"/>
        <v>4581.8</v>
      </c>
      <c r="S39" s="61">
        <f t="shared" si="13"/>
        <v>2057775</v>
      </c>
      <c r="T39" s="61">
        <f t="shared" si="13"/>
        <v>19426.689999999999</v>
      </c>
      <c r="U39" s="61">
        <f t="shared" si="13"/>
        <v>4041894.35</v>
      </c>
      <c r="V39" s="61">
        <f t="shared" si="13"/>
        <v>25100.9</v>
      </c>
      <c r="W39" s="61">
        <f t="shared" si="13"/>
        <v>868545.56</v>
      </c>
      <c r="X39" s="61">
        <f t="shared" si="13"/>
        <v>0</v>
      </c>
      <c r="Y39" s="61">
        <f t="shared" si="2"/>
        <v>8771518.4000000004</v>
      </c>
      <c r="Z39" s="61">
        <f t="shared" si="3"/>
        <v>54577.21</v>
      </c>
      <c r="AA39" s="453"/>
      <c r="AB39" s="694"/>
      <c r="AC39" s="694"/>
      <c r="AD39" s="140"/>
      <c r="AE39" s="140"/>
    </row>
    <row r="40" spans="1:31" ht="16.5">
      <c r="A40" s="795" t="s">
        <v>166</v>
      </c>
      <c r="B40" s="51" t="s">
        <v>150</v>
      </c>
      <c r="C40" s="61">
        <v>104026.32</v>
      </c>
      <c r="D40" s="61">
        <v>0</v>
      </c>
      <c r="E40" s="61">
        <v>83763.97</v>
      </c>
      <c r="F40" s="61">
        <v>0</v>
      </c>
      <c r="G40" s="61">
        <v>90959.46</v>
      </c>
      <c r="H40" s="61">
        <v>0</v>
      </c>
      <c r="I40" s="61">
        <v>99121.94</v>
      </c>
      <c r="J40" s="61">
        <v>0</v>
      </c>
      <c r="K40" s="61">
        <v>103782.3</v>
      </c>
      <c r="L40" s="61">
        <v>0</v>
      </c>
      <c r="M40" s="61">
        <v>113561.28</v>
      </c>
      <c r="N40" s="61">
        <v>1086.8800000000001</v>
      </c>
      <c r="O40" s="61">
        <v>392229.97</v>
      </c>
      <c r="P40" s="61">
        <v>4380.9399999999996</v>
      </c>
      <c r="Q40" s="61">
        <v>448073.52</v>
      </c>
      <c r="R40" s="61">
        <v>4581.8</v>
      </c>
      <c r="S40" s="61">
        <v>1868696.07</v>
      </c>
      <c r="T40" s="61">
        <v>19426.689999999999</v>
      </c>
      <c r="U40" s="61">
        <v>3898015.4</v>
      </c>
      <c r="V40" s="61">
        <v>25100.9</v>
      </c>
      <c r="W40" s="61">
        <v>836052</v>
      </c>
      <c r="X40" s="61">
        <v>0</v>
      </c>
      <c r="Y40" s="61">
        <f t="shared" si="2"/>
        <v>8038282.2300000004</v>
      </c>
      <c r="Z40" s="61">
        <f t="shared" si="3"/>
        <v>54577.21</v>
      </c>
      <c r="AA40" s="695">
        <v>140413</v>
      </c>
      <c r="AB40" s="694">
        <f>Anx16AMN!Q34</f>
        <v>8038282.2300000004</v>
      </c>
      <c r="AC40" s="694">
        <f>Anx16AME!Q34</f>
        <v>54577.21</v>
      </c>
      <c r="AD40" s="814">
        <f>Y40-AB40</f>
        <v>0</v>
      </c>
      <c r="AE40" s="814">
        <f>Z40-AC40</f>
        <v>0</v>
      </c>
    </row>
    <row r="41" spans="1:31" ht="16.5">
      <c r="A41" s="795" t="s">
        <v>163</v>
      </c>
      <c r="B41" s="51" t="s">
        <v>151</v>
      </c>
      <c r="C41" s="61">
        <v>39632.21</v>
      </c>
      <c r="D41" s="61"/>
      <c r="E41" s="61">
        <v>35514.589999999997</v>
      </c>
      <c r="F41" s="61"/>
      <c r="G41" s="61">
        <v>35070.75</v>
      </c>
      <c r="H41" s="61"/>
      <c r="I41" s="61">
        <v>40189.49</v>
      </c>
      <c r="J41" s="61"/>
      <c r="K41" s="61">
        <v>33763.910000000003</v>
      </c>
      <c r="L41" s="61"/>
      <c r="M41" s="61">
        <v>29786.880000000001</v>
      </c>
      <c r="N41" s="61"/>
      <c r="O41" s="61">
        <v>81281.14</v>
      </c>
      <c r="P41" s="61"/>
      <c r="Q41" s="61">
        <v>72545.759999999995</v>
      </c>
      <c r="R41" s="61"/>
      <c r="S41" s="61">
        <v>189078.93</v>
      </c>
      <c r="T41" s="61"/>
      <c r="U41" s="61">
        <v>143878.95000000001</v>
      </c>
      <c r="V41" s="61"/>
      <c r="W41" s="61">
        <v>32493.56</v>
      </c>
      <c r="X41" s="61"/>
      <c r="Y41" s="61">
        <f t="shared" si="2"/>
        <v>733236.16999999993</v>
      </c>
      <c r="Z41" s="61">
        <f t="shared" si="3"/>
        <v>0</v>
      </c>
      <c r="AA41" s="695">
        <v>140402</v>
      </c>
      <c r="AB41" s="694">
        <f>Anx16AMN!Q35</f>
        <v>733236.17</v>
      </c>
      <c r="AC41" s="694">
        <f>Anx16AME!Q35</f>
        <v>0</v>
      </c>
      <c r="AD41" s="814">
        <f>Y41-AB41</f>
        <v>0</v>
      </c>
      <c r="AE41" s="814">
        <f>Z41-AC41</f>
        <v>0</v>
      </c>
    </row>
    <row r="42" spans="1:31" ht="16.5">
      <c r="A42" s="793"/>
      <c r="B42" s="794" t="s">
        <v>524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I42" s="811">
        <v>0</v>
      </c>
      <c r="J42" s="811">
        <v>0</v>
      </c>
      <c r="K42" s="811">
        <v>0</v>
      </c>
      <c r="L42" s="811">
        <v>0</v>
      </c>
      <c r="M42" s="811">
        <v>0</v>
      </c>
      <c r="N42" s="811">
        <v>0</v>
      </c>
      <c r="O42" s="811">
        <v>0</v>
      </c>
      <c r="P42" s="811">
        <v>0</v>
      </c>
      <c r="Q42" s="811">
        <v>0</v>
      </c>
      <c r="R42" s="811">
        <v>0</v>
      </c>
      <c r="S42" s="811">
        <v>0</v>
      </c>
      <c r="T42" s="811">
        <v>0</v>
      </c>
      <c r="U42" s="811">
        <v>0</v>
      </c>
      <c r="V42" s="811">
        <v>0</v>
      </c>
      <c r="W42" s="811">
        <v>0</v>
      </c>
      <c r="X42" s="811"/>
      <c r="Y42" s="61">
        <f t="shared" si="2"/>
        <v>0</v>
      </c>
      <c r="Z42" s="61">
        <f t="shared" si="3"/>
        <v>0</v>
      </c>
      <c r="AA42" s="453"/>
      <c r="AB42" s="694"/>
      <c r="AC42" s="694"/>
      <c r="AD42" s="140"/>
      <c r="AE42" s="140"/>
    </row>
    <row r="43" spans="1:31" ht="16.5">
      <c r="A43" s="793"/>
      <c r="B43" s="794" t="s">
        <v>525</v>
      </c>
      <c r="C43" s="811">
        <v>0</v>
      </c>
      <c r="D43" s="811"/>
      <c r="E43" s="811">
        <v>0</v>
      </c>
      <c r="F43" s="811"/>
      <c r="G43" s="811">
        <v>0</v>
      </c>
      <c r="H43" s="811"/>
      <c r="I43" s="811">
        <v>0</v>
      </c>
      <c r="J43" s="811"/>
      <c r="K43" s="811">
        <v>0</v>
      </c>
      <c r="L43" s="811"/>
      <c r="M43" s="811">
        <v>0</v>
      </c>
      <c r="N43" s="811"/>
      <c r="O43" s="811">
        <v>0</v>
      </c>
      <c r="P43" s="811"/>
      <c r="Q43" s="811">
        <v>0</v>
      </c>
      <c r="R43" s="811"/>
      <c r="S43" s="811">
        <v>0</v>
      </c>
      <c r="T43" s="811"/>
      <c r="U43" s="811">
        <v>0</v>
      </c>
      <c r="V43" s="811"/>
      <c r="W43" s="811">
        <v>0</v>
      </c>
      <c r="X43" s="811"/>
      <c r="Y43" s="61">
        <f t="shared" si="2"/>
        <v>0</v>
      </c>
      <c r="Z43" s="61">
        <f t="shared" si="3"/>
        <v>0</v>
      </c>
      <c r="AA43" s="453"/>
      <c r="AB43" s="694"/>
      <c r="AC43" s="694"/>
      <c r="AD43" s="140"/>
      <c r="AE43" s="140"/>
    </row>
    <row r="44" spans="1:31" ht="19.5" customHeight="1">
      <c r="A44" s="798" t="s">
        <v>31</v>
      </c>
      <c r="B44" s="663" t="s">
        <v>32</v>
      </c>
      <c r="C44" s="64">
        <f>SUM(C45:C49)</f>
        <v>275498.28000000003</v>
      </c>
      <c r="D44" s="64">
        <f t="shared" ref="D44:X44" si="14">SUM(D45:D49)</f>
        <v>6725.48</v>
      </c>
      <c r="E44" s="64">
        <f t="shared" si="14"/>
        <v>177137.52</v>
      </c>
      <c r="F44" s="64">
        <f t="shared" si="14"/>
        <v>832.65</v>
      </c>
      <c r="G44" s="64">
        <f t="shared" si="14"/>
        <v>161289.37</v>
      </c>
      <c r="H44" s="64">
        <f t="shared" si="14"/>
        <v>0</v>
      </c>
      <c r="I44" s="64">
        <f t="shared" si="14"/>
        <v>183059.26</v>
      </c>
      <c r="J44" s="64">
        <f t="shared" si="14"/>
        <v>0</v>
      </c>
      <c r="K44" s="64">
        <f t="shared" si="14"/>
        <v>182406.44</v>
      </c>
      <c r="L44" s="64">
        <f t="shared" si="14"/>
        <v>0</v>
      </c>
      <c r="M44" s="64">
        <f t="shared" si="14"/>
        <v>174197.69999999998</v>
      </c>
      <c r="N44" s="64">
        <f t="shared" si="14"/>
        <v>0</v>
      </c>
      <c r="O44" s="64">
        <f t="shared" si="14"/>
        <v>567146.13</v>
      </c>
      <c r="P44" s="64">
        <f t="shared" si="14"/>
        <v>0</v>
      </c>
      <c r="Q44" s="64">
        <f t="shared" si="14"/>
        <v>557638.42000000004</v>
      </c>
      <c r="R44" s="64">
        <f t="shared" si="14"/>
        <v>0</v>
      </c>
      <c r="S44" s="64">
        <f t="shared" si="14"/>
        <v>2261165.77</v>
      </c>
      <c r="T44" s="64">
        <f t="shared" si="14"/>
        <v>0</v>
      </c>
      <c r="U44" s="64">
        <f t="shared" si="14"/>
        <v>5588994.5599999996</v>
      </c>
      <c r="V44" s="64">
        <f t="shared" si="14"/>
        <v>0</v>
      </c>
      <c r="W44" s="64">
        <f t="shared" si="14"/>
        <v>5839786.3700000001</v>
      </c>
      <c r="X44" s="64">
        <f t="shared" si="14"/>
        <v>0</v>
      </c>
      <c r="Y44" s="64">
        <f t="shared" si="2"/>
        <v>15968319.82</v>
      </c>
      <c r="Z44" s="64">
        <f t="shared" si="3"/>
        <v>7558.1299999999992</v>
      </c>
      <c r="AA44" s="453"/>
      <c r="AB44" s="694"/>
      <c r="AC44" s="694"/>
      <c r="AD44" s="140"/>
      <c r="AE44" s="140"/>
    </row>
    <row r="45" spans="1:31" ht="16.5">
      <c r="A45" s="795" t="s">
        <v>158</v>
      </c>
      <c r="B45" s="54" t="s">
        <v>152</v>
      </c>
      <c r="C45" s="61">
        <v>137525.76000000001</v>
      </c>
      <c r="D45" s="61">
        <v>6725.48</v>
      </c>
      <c r="E45" s="61">
        <v>164492.59</v>
      </c>
      <c r="F45" s="61">
        <v>832.65</v>
      </c>
      <c r="G45" s="61">
        <v>150696.46</v>
      </c>
      <c r="H45" s="61">
        <v>0</v>
      </c>
      <c r="I45" s="61">
        <v>169665.67</v>
      </c>
      <c r="J45" s="61">
        <v>0</v>
      </c>
      <c r="K45" s="61">
        <v>169473.13</v>
      </c>
      <c r="L45" s="61">
        <v>0</v>
      </c>
      <c r="M45" s="61">
        <v>162770.29999999999</v>
      </c>
      <c r="N45" s="61">
        <v>0</v>
      </c>
      <c r="O45" s="61">
        <v>523727.75</v>
      </c>
      <c r="P45" s="61">
        <v>0</v>
      </c>
      <c r="Q45" s="61">
        <v>513517.39</v>
      </c>
      <c r="R45" s="61">
        <v>0</v>
      </c>
      <c r="S45" s="61">
        <v>2098675.4900000002</v>
      </c>
      <c r="T45" s="61">
        <v>0</v>
      </c>
      <c r="U45" s="61">
        <v>5151358.8</v>
      </c>
      <c r="V45" s="61">
        <v>0</v>
      </c>
      <c r="W45" s="61">
        <v>5659613.3399999999</v>
      </c>
      <c r="X45" s="61">
        <v>0</v>
      </c>
      <c r="Y45" s="61">
        <f t="shared" si="2"/>
        <v>14901516.68</v>
      </c>
      <c r="Z45" s="61">
        <f t="shared" si="3"/>
        <v>7558.1299999999992</v>
      </c>
      <c r="AA45" s="695">
        <v>140104</v>
      </c>
      <c r="AB45" s="694">
        <f>Anx16AMN!Q37</f>
        <v>14901516.68</v>
      </c>
      <c r="AC45" s="694">
        <f>Anx16AME!Q37</f>
        <v>0</v>
      </c>
      <c r="AD45" s="814">
        <f>Y45-AB45</f>
        <v>0</v>
      </c>
      <c r="AE45" s="814">
        <f>Z45-AC45</f>
        <v>7558.1299999999992</v>
      </c>
    </row>
    <row r="46" spans="1:31" ht="16.5">
      <c r="A46" s="795" t="s">
        <v>165</v>
      </c>
      <c r="B46" s="54" t="s">
        <v>153</v>
      </c>
      <c r="C46" s="61">
        <v>16985.29</v>
      </c>
      <c r="D46" s="61"/>
      <c r="E46" s="61">
        <v>12644.93</v>
      </c>
      <c r="F46" s="61"/>
      <c r="G46" s="61">
        <v>10592.91</v>
      </c>
      <c r="H46" s="61"/>
      <c r="I46" s="61">
        <v>13393.59</v>
      </c>
      <c r="J46" s="61"/>
      <c r="K46" s="61">
        <v>12933.31</v>
      </c>
      <c r="L46" s="61"/>
      <c r="M46" s="61">
        <v>11427.4</v>
      </c>
      <c r="N46" s="61"/>
      <c r="O46" s="61">
        <v>43418.38</v>
      </c>
      <c r="P46" s="61"/>
      <c r="Q46" s="61">
        <v>44121.03</v>
      </c>
      <c r="R46" s="61"/>
      <c r="S46" s="61">
        <v>162490.28</v>
      </c>
      <c r="T46" s="61"/>
      <c r="U46" s="61">
        <v>437635.76</v>
      </c>
      <c r="V46" s="61"/>
      <c r="W46" s="61">
        <v>180173.03</v>
      </c>
      <c r="X46" s="61"/>
      <c r="Y46" s="61">
        <f t="shared" si="2"/>
        <v>945815.91</v>
      </c>
      <c r="Z46" s="61">
        <f t="shared" si="3"/>
        <v>0</v>
      </c>
      <c r="AA46" s="695">
        <v>140404</v>
      </c>
      <c r="AB46" s="694">
        <f>Anx16AMN!Q38</f>
        <v>945815.91</v>
      </c>
      <c r="AC46" s="694">
        <f>Anx16AME!Q38</f>
        <v>0</v>
      </c>
      <c r="AD46" s="814">
        <f t="shared" ref="AD46:AD47" si="15">Y46-AB46</f>
        <v>0</v>
      </c>
      <c r="AE46" s="814">
        <f t="shared" ref="AE46:AE47" si="16">Z46-AC46</f>
        <v>0</v>
      </c>
    </row>
    <row r="47" spans="1:31" ht="16.5">
      <c r="A47" s="796" t="s">
        <v>170</v>
      </c>
      <c r="B47" s="51" t="s">
        <v>175</v>
      </c>
      <c r="C47" s="61">
        <v>120987.23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>
        <f t="shared" si="2"/>
        <v>120987.23</v>
      </c>
      <c r="Z47" s="61">
        <f t="shared" si="3"/>
        <v>0</v>
      </c>
      <c r="AA47" s="695">
        <v>140804</v>
      </c>
      <c r="AB47" s="694">
        <f>Anx16AMN!Q39</f>
        <v>120987.23</v>
      </c>
      <c r="AC47" s="694">
        <f>Anx16AME!Q39</f>
        <v>0</v>
      </c>
      <c r="AD47" s="814">
        <f t="shared" si="15"/>
        <v>0</v>
      </c>
      <c r="AE47" s="814">
        <f t="shared" si="16"/>
        <v>0</v>
      </c>
    </row>
    <row r="48" spans="1:31" ht="16.5">
      <c r="A48" s="791"/>
      <c r="B48" s="792" t="s">
        <v>526</v>
      </c>
      <c r="C48" s="810">
        <v>0</v>
      </c>
      <c r="D48" s="810"/>
      <c r="E48" s="810">
        <v>0</v>
      </c>
      <c r="F48" s="810"/>
      <c r="G48" s="810">
        <v>0</v>
      </c>
      <c r="H48" s="810"/>
      <c r="I48" s="810">
        <v>0</v>
      </c>
      <c r="J48" s="810"/>
      <c r="K48" s="810">
        <v>0</v>
      </c>
      <c r="L48" s="810"/>
      <c r="M48" s="810">
        <v>0</v>
      </c>
      <c r="N48" s="810"/>
      <c r="O48" s="810">
        <v>0</v>
      </c>
      <c r="P48" s="810"/>
      <c r="Q48" s="810">
        <v>0</v>
      </c>
      <c r="R48" s="810"/>
      <c r="S48" s="810">
        <v>0</v>
      </c>
      <c r="T48" s="810"/>
      <c r="U48" s="810">
        <v>0</v>
      </c>
      <c r="V48" s="810"/>
      <c r="W48" s="810">
        <v>0</v>
      </c>
      <c r="X48" s="810"/>
      <c r="Y48" s="61">
        <f t="shared" si="2"/>
        <v>0</v>
      </c>
      <c r="Z48" s="61">
        <f t="shared" si="3"/>
        <v>0</v>
      </c>
      <c r="AA48" s="453"/>
      <c r="AB48" s="694"/>
      <c r="AC48" s="694"/>
      <c r="AD48" s="140"/>
      <c r="AE48" s="140"/>
    </row>
    <row r="49" spans="1:31" ht="16.5">
      <c r="A49" s="793"/>
      <c r="B49" s="794" t="s">
        <v>527</v>
      </c>
      <c r="C49" s="811">
        <v>0</v>
      </c>
      <c r="D49" s="811"/>
      <c r="E49" s="811">
        <v>0</v>
      </c>
      <c r="F49" s="811"/>
      <c r="G49" s="811">
        <v>0</v>
      </c>
      <c r="H49" s="811"/>
      <c r="I49" s="811">
        <v>0</v>
      </c>
      <c r="J49" s="811"/>
      <c r="K49" s="811">
        <v>0</v>
      </c>
      <c r="L49" s="811"/>
      <c r="M49" s="811">
        <v>0</v>
      </c>
      <c r="N49" s="811"/>
      <c r="O49" s="811">
        <v>0</v>
      </c>
      <c r="P49" s="811"/>
      <c r="Q49" s="811">
        <v>0</v>
      </c>
      <c r="R49" s="811"/>
      <c r="S49" s="811">
        <v>0</v>
      </c>
      <c r="T49" s="811"/>
      <c r="U49" s="811">
        <v>0</v>
      </c>
      <c r="V49" s="811"/>
      <c r="W49" s="811">
        <v>0</v>
      </c>
      <c r="X49" s="811"/>
      <c r="Y49" s="61">
        <f t="shared" si="2"/>
        <v>0</v>
      </c>
      <c r="Z49" s="61">
        <f t="shared" si="3"/>
        <v>0</v>
      </c>
      <c r="AA49" s="453"/>
      <c r="AB49" s="694"/>
      <c r="AC49" s="694"/>
      <c r="AD49" s="140"/>
      <c r="AE49" s="140"/>
    </row>
    <row r="50" spans="1:31" ht="16.5" customHeight="1">
      <c r="A50" s="798" t="s">
        <v>33</v>
      </c>
      <c r="B50" s="663" t="s">
        <v>34</v>
      </c>
      <c r="C50" s="64">
        <f>SUM(C51:C55)</f>
        <v>10400368.940000001</v>
      </c>
      <c r="D50" s="64">
        <f t="shared" ref="D50:X50" si="17">SUM(D51:D55)</f>
        <v>1467.3</v>
      </c>
      <c r="E50" s="64">
        <f t="shared" si="17"/>
        <v>3560491.1399999997</v>
      </c>
      <c r="F50" s="64">
        <f t="shared" si="17"/>
        <v>1298.3800000000001</v>
      </c>
      <c r="G50" s="64">
        <f t="shared" si="17"/>
        <v>3457811.46</v>
      </c>
      <c r="H50" s="64">
        <f t="shared" si="17"/>
        <v>1301.5899999999999</v>
      </c>
      <c r="I50" s="64">
        <f t="shared" si="17"/>
        <v>3511399.28</v>
      </c>
      <c r="J50" s="64">
        <f t="shared" si="17"/>
        <v>1334</v>
      </c>
      <c r="K50" s="64">
        <f t="shared" si="17"/>
        <v>3317382.7600000002</v>
      </c>
      <c r="L50" s="64">
        <f t="shared" si="17"/>
        <v>1338.84</v>
      </c>
      <c r="M50" s="64">
        <f t="shared" si="17"/>
        <v>3183854.83</v>
      </c>
      <c r="N50" s="64">
        <f t="shared" si="17"/>
        <v>1357.77</v>
      </c>
      <c r="O50" s="64">
        <f t="shared" si="17"/>
        <v>9006451.3699999992</v>
      </c>
      <c r="P50" s="64">
        <f t="shared" si="17"/>
        <v>4213.2</v>
      </c>
      <c r="Q50" s="64">
        <f t="shared" si="17"/>
        <v>7813991.4799999995</v>
      </c>
      <c r="R50" s="64">
        <f t="shared" si="17"/>
        <v>4398.22</v>
      </c>
      <c r="S50" s="64">
        <f t="shared" si="17"/>
        <v>22784945.75</v>
      </c>
      <c r="T50" s="64">
        <f t="shared" si="17"/>
        <v>19477.169999999998</v>
      </c>
      <c r="U50" s="64">
        <f t="shared" si="17"/>
        <v>32460068.18</v>
      </c>
      <c r="V50" s="64">
        <f t="shared" si="17"/>
        <v>0</v>
      </c>
      <c r="W50" s="64">
        <f t="shared" si="17"/>
        <v>2432835.92</v>
      </c>
      <c r="X50" s="64">
        <f t="shared" si="17"/>
        <v>0</v>
      </c>
      <c r="Y50" s="64">
        <f t="shared" si="2"/>
        <v>101929601.11</v>
      </c>
      <c r="Z50" s="64">
        <f t="shared" si="3"/>
        <v>36186.47</v>
      </c>
      <c r="AA50" s="453"/>
      <c r="AB50" s="694"/>
      <c r="AC50" s="694"/>
      <c r="AD50" s="140"/>
      <c r="AE50" s="140"/>
    </row>
    <row r="51" spans="1:31" ht="16.5">
      <c r="A51" s="795" t="s">
        <v>157</v>
      </c>
      <c r="B51" s="54" t="s">
        <v>154</v>
      </c>
      <c r="C51" s="61">
        <v>9096513.1500000004</v>
      </c>
      <c r="D51" s="61">
        <v>1280.83</v>
      </c>
      <c r="E51" s="61">
        <v>3539611.28</v>
      </c>
      <c r="F51" s="61">
        <v>1298.3800000000001</v>
      </c>
      <c r="G51" s="61">
        <v>3437979.93</v>
      </c>
      <c r="H51" s="61">
        <v>1301.5899999999999</v>
      </c>
      <c r="I51" s="61">
        <v>3490643.15</v>
      </c>
      <c r="J51" s="61">
        <v>1334</v>
      </c>
      <c r="K51" s="61">
        <v>3297477.77</v>
      </c>
      <c r="L51" s="61">
        <v>1338.84</v>
      </c>
      <c r="M51" s="61">
        <v>3163099.15</v>
      </c>
      <c r="N51" s="61">
        <v>1357.77</v>
      </c>
      <c r="O51" s="61">
        <v>8940600.25</v>
      </c>
      <c r="P51" s="61">
        <v>4213.2</v>
      </c>
      <c r="Q51" s="61">
        <v>7749187.2599999998</v>
      </c>
      <c r="R51" s="61">
        <v>4398.22</v>
      </c>
      <c r="S51" s="61">
        <v>22566894.559999999</v>
      </c>
      <c r="T51" s="61">
        <v>19477.169999999998</v>
      </c>
      <c r="U51" s="61">
        <v>31865252.91</v>
      </c>
      <c r="V51" s="61">
        <v>0</v>
      </c>
      <c r="W51" s="61">
        <v>2374298.63</v>
      </c>
      <c r="X51" s="61">
        <v>0</v>
      </c>
      <c r="Y51" s="61">
        <f t="shared" si="2"/>
        <v>99521558.039999977</v>
      </c>
      <c r="Z51" s="61">
        <f t="shared" si="3"/>
        <v>36000</v>
      </c>
      <c r="AA51" s="693">
        <v>140103</v>
      </c>
      <c r="AB51" s="694">
        <f>Anx16AMN!Q41</f>
        <v>99521558.040000007</v>
      </c>
      <c r="AC51" s="694">
        <f>Anx16AME!Q41</f>
        <v>36000</v>
      </c>
      <c r="AD51" s="814">
        <f>Y51-AB51</f>
        <v>0</v>
      </c>
      <c r="AE51" s="814">
        <f>Z51-AC51</f>
        <v>0</v>
      </c>
    </row>
    <row r="52" spans="1:31" ht="16.5">
      <c r="A52" s="795" t="s">
        <v>164</v>
      </c>
      <c r="B52" s="54" t="s">
        <v>155</v>
      </c>
      <c r="C52" s="61">
        <v>22582.560000000001</v>
      </c>
      <c r="D52" s="61"/>
      <c r="E52" s="61">
        <v>20879.86</v>
      </c>
      <c r="F52" s="61"/>
      <c r="G52" s="61">
        <v>19831.53</v>
      </c>
      <c r="H52" s="61"/>
      <c r="I52" s="61">
        <v>20756.13</v>
      </c>
      <c r="J52" s="61"/>
      <c r="K52" s="61">
        <v>19904.990000000002</v>
      </c>
      <c r="L52" s="61"/>
      <c r="M52" s="61">
        <v>20755.68</v>
      </c>
      <c r="N52" s="61"/>
      <c r="O52" s="61">
        <v>65851.12</v>
      </c>
      <c r="P52" s="61"/>
      <c r="Q52" s="61">
        <v>64804.22</v>
      </c>
      <c r="R52" s="61"/>
      <c r="S52" s="61">
        <v>218051.19</v>
      </c>
      <c r="T52" s="61"/>
      <c r="U52" s="61">
        <v>594815.27</v>
      </c>
      <c r="V52" s="61"/>
      <c r="W52" s="61">
        <v>58537.29</v>
      </c>
      <c r="X52" s="61"/>
      <c r="Y52" s="61">
        <f t="shared" si="2"/>
        <v>1126769.8400000001</v>
      </c>
      <c r="Z52" s="61">
        <f t="shared" si="3"/>
        <v>0</v>
      </c>
      <c r="AA52" s="693">
        <v>140403</v>
      </c>
      <c r="AB52" s="694">
        <f>Anx16AMN!Q42</f>
        <v>1126769.8400000001</v>
      </c>
      <c r="AC52" s="694">
        <f>Anx16AME!Q42</f>
        <v>0</v>
      </c>
      <c r="AD52" s="814">
        <f t="shared" ref="AD52:AD53" si="18">Y52-AB52</f>
        <v>0</v>
      </c>
      <c r="AE52" s="814">
        <f t="shared" ref="AE52:AE53" si="19">Z52-AC52</f>
        <v>0</v>
      </c>
    </row>
    <row r="53" spans="1:31" ht="16.5">
      <c r="A53" s="796" t="s">
        <v>169</v>
      </c>
      <c r="B53" s="51" t="s">
        <v>174</v>
      </c>
      <c r="C53" s="61">
        <v>1281273.23</v>
      </c>
      <c r="D53" s="61">
        <v>186.47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>
        <f t="shared" si="2"/>
        <v>1281273.23</v>
      </c>
      <c r="Z53" s="61">
        <f t="shared" si="3"/>
        <v>186.47</v>
      </c>
      <c r="AA53" s="693">
        <v>140803</v>
      </c>
      <c r="AB53" s="694">
        <f>Anx16AMN!Q43</f>
        <v>1281273.23</v>
      </c>
      <c r="AC53" s="694">
        <f>Anx16AME!Q43</f>
        <v>186.47</v>
      </c>
      <c r="AD53" s="814">
        <f t="shared" si="18"/>
        <v>0</v>
      </c>
      <c r="AE53" s="814">
        <f t="shared" si="19"/>
        <v>0</v>
      </c>
    </row>
    <row r="54" spans="1:31" ht="16.5">
      <c r="A54" s="791"/>
      <c r="B54" s="792" t="s">
        <v>528</v>
      </c>
      <c r="C54" s="810">
        <v>0</v>
      </c>
      <c r="D54" s="810">
        <v>0</v>
      </c>
      <c r="E54" s="810">
        <v>0</v>
      </c>
      <c r="F54" s="810">
        <v>0</v>
      </c>
      <c r="G54" s="810">
        <v>0</v>
      </c>
      <c r="H54" s="810">
        <v>0</v>
      </c>
      <c r="I54" s="810">
        <v>0</v>
      </c>
      <c r="J54" s="810">
        <v>0</v>
      </c>
      <c r="K54" s="810">
        <v>0</v>
      </c>
      <c r="L54" s="810">
        <v>0</v>
      </c>
      <c r="M54" s="810">
        <v>0</v>
      </c>
      <c r="N54" s="810">
        <v>0</v>
      </c>
      <c r="O54" s="810">
        <v>0</v>
      </c>
      <c r="P54" s="810">
        <v>0</v>
      </c>
      <c r="Q54" s="810">
        <v>0</v>
      </c>
      <c r="R54" s="810">
        <v>0</v>
      </c>
      <c r="S54" s="810">
        <v>0</v>
      </c>
      <c r="T54" s="810">
        <v>0</v>
      </c>
      <c r="U54" s="810">
        <v>0</v>
      </c>
      <c r="V54" s="810"/>
      <c r="W54" s="810">
        <v>0</v>
      </c>
      <c r="X54" s="810"/>
      <c r="Y54" s="61">
        <f t="shared" si="2"/>
        <v>0</v>
      </c>
      <c r="Z54" s="61">
        <f t="shared" si="3"/>
        <v>0</v>
      </c>
      <c r="AA54" s="453"/>
      <c r="AB54" s="694"/>
      <c r="AC54" s="694"/>
      <c r="AD54" s="140"/>
      <c r="AE54" s="140"/>
    </row>
    <row r="55" spans="1:31" ht="16.5">
      <c r="A55" s="799"/>
      <c r="B55" s="800" t="s">
        <v>529</v>
      </c>
      <c r="C55" s="812">
        <v>0</v>
      </c>
      <c r="D55" s="812"/>
      <c r="E55" s="812">
        <v>0</v>
      </c>
      <c r="F55" s="812"/>
      <c r="G55" s="812">
        <v>0</v>
      </c>
      <c r="H55" s="812"/>
      <c r="I55" s="812">
        <v>0</v>
      </c>
      <c r="J55" s="812"/>
      <c r="K55" s="812">
        <v>0</v>
      </c>
      <c r="L55" s="812"/>
      <c r="M55" s="812">
        <v>0</v>
      </c>
      <c r="N55" s="812"/>
      <c r="O55" s="812">
        <v>0</v>
      </c>
      <c r="P55" s="812"/>
      <c r="Q55" s="812">
        <v>0</v>
      </c>
      <c r="R55" s="812"/>
      <c r="S55" s="812">
        <v>0</v>
      </c>
      <c r="T55" s="812"/>
      <c r="U55" s="812">
        <v>0</v>
      </c>
      <c r="V55" s="812"/>
      <c r="W55" s="812"/>
      <c r="X55" s="812"/>
      <c r="Y55" s="224">
        <f t="shared" si="2"/>
        <v>0</v>
      </c>
      <c r="Z55" s="224">
        <f t="shared" si="3"/>
        <v>0</v>
      </c>
      <c r="AA55" s="453"/>
      <c r="AB55" s="694"/>
      <c r="AC55" s="694"/>
      <c r="AD55" s="140"/>
      <c r="AE55" s="140"/>
    </row>
    <row r="56" spans="1:31">
      <c r="Z56" s="126"/>
      <c r="AA56" s="483"/>
    </row>
  </sheetData>
  <mergeCells count="20">
    <mergeCell ref="AB8:AC8"/>
    <mergeCell ref="AD9:AE9"/>
    <mergeCell ref="AB9:AC9"/>
    <mergeCell ref="O8:P8"/>
    <mergeCell ref="Q8:R8"/>
    <mergeCell ref="S8:T8"/>
    <mergeCell ref="Y8:Z8"/>
    <mergeCell ref="U8:V8"/>
    <mergeCell ref="W8:X8"/>
    <mergeCell ref="M8:N8"/>
    <mergeCell ref="A1:Z1"/>
    <mergeCell ref="A2:Z2"/>
    <mergeCell ref="A3:Z3"/>
    <mergeCell ref="A4:Z4"/>
    <mergeCell ref="A5:Z5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6"/>
  <sheetViews>
    <sheetView showGridLines="0" topLeftCell="A60" zoomScale="90" zoomScaleNormal="90" workbookViewId="0">
      <selection activeCell="C65" sqref="C65"/>
    </sheetView>
  </sheetViews>
  <sheetFormatPr baseColWidth="10" defaultRowHeight="11.25"/>
  <cols>
    <col min="1" max="1" width="18.7109375" style="98" customWidth="1"/>
    <col min="2" max="2" width="29.28515625" style="98" customWidth="1"/>
    <col min="3" max="3" width="15.85546875" style="98" bestFit="1" customWidth="1"/>
    <col min="4" max="5" width="16.140625" style="98" customWidth="1"/>
    <col min="6" max="6" width="12.7109375" style="98" bestFit="1" customWidth="1"/>
    <col min="7" max="7" width="14.140625" style="98" customWidth="1"/>
    <col min="8" max="8" width="13.85546875" style="98" bestFit="1" customWidth="1"/>
    <col min="9" max="9" width="13.7109375" style="98" bestFit="1" customWidth="1"/>
    <col min="10" max="10" width="12.7109375" style="98" bestFit="1" customWidth="1"/>
    <col min="11" max="12" width="14.140625" style="98" bestFit="1" customWidth="1"/>
    <col min="13" max="13" width="14" style="98" customWidth="1"/>
    <col min="14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6.42578125" style="98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>
      <c r="B1" s="576"/>
      <c r="C1" s="577"/>
      <c r="D1" s="578"/>
      <c r="E1" s="578"/>
      <c r="F1" s="578"/>
      <c r="G1" s="578"/>
      <c r="H1" s="578"/>
      <c r="J1" s="578"/>
      <c r="K1" s="578"/>
      <c r="L1" s="578"/>
      <c r="M1" s="578"/>
    </row>
    <row r="2" spans="1:19" s="130" customFormat="1" hidden="1"/>
    <row r="3" spans="1:19" s="130" customFormat="1" hidden="1"/>
    <row r="4" spans="1:19" s="130" customFormat="1" hidden="1">
      <c r="A4" s="579"/>
      <c r="B4" s="580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</row>
    <row r="5" spans="1:19" s="130" customFormat="1" ht="16.5" hidden="1">
      <c r="A5" s="582"/>
      <c r="B5" s="582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</row>
    <row r="6" spans="1:19" s="130" customFormat="1" hidden="1">
      <c r="B6" s="58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>
      <c r="B7" s="583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575"/>
      <c r="N8" s="575"/>
      <c r="O8" s="100"/>
      <c r="P8" s="100"/>
      <c r="Q8" s="100"/>
      <c r="R8" s="100"/>
    </row>
    <row r="9" spans="1:19" s="130" customFormat="1" hidden="1">
      <c r="A9" s="579"/>
      <c r="B9" s="580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</row>
    <row r="10" spans="1:19" s="130" customFormat="1" ht="16.5" hidden="1">
      <c r="A10" s="582"/>
      <c r="B10" s="582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</row>
    <row r="11" spans="1:19" s="130" customFormat="1" hidden="1">
      <c r="B11" s="583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>
      <c r="B12" s="583"/>
      <c r="C12" s="100"/>
      <c r="D12" s="100"/>
      <c r="E12" s="100"/>
      <c r="F12" s="100"/>
      <c r="G12" s="100"/>
      <c r="H12" s="584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>
      <c r="B13" s="576"/>
      <c r="C13" s="575"/>
      <c r="D13" s="575"/>
      <c r="E13" s="575"/>
      <c r="F13" s="575"/>
      <c r="G13" s="575"/>
      <c r="H13" s="575"/>
      <c r="I13" s="575"/>
      <c r="J13" s="575"/>
      <c r="K13" s="575"/>
      <c r="L13" s="575"/>
      <c r="M13" s="575"/>
      <c r="N13" s="575"/>
    </row>
    <row r="14" spans="1:19" s="130" customFormat="1" ht="16.5" hidden="1">
      <c r="B14" s="576"/>
      <c r="C14" s="575"/>
      <c r="D14" s="575"/>
      <c r="E14" s="575"/>
      <c r="F14" s="575"/>
      <c r="G14" s="575"/>
      <c r="H14" s="575"/>
      <c r="I14" s="575"/>
      <c r="J14" s="575"/>
      <c r="K14" s="575"/>
      <c r="L14" s="575"/>
      <c r="M14" s="575"/>
      <c r="N14" s="575"/>
    </row>
    <row r="15" spans="1:19" s="130" customFormat="1" hidden="1">
      <c r="A15" s="579"/>
      <c r="B15" s="580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</row>
    <row r="16" spans="1:19" s="130" customFormat="1" ht="16.5" hidden="1">
      <c r="A16" s="582"/>
      <c r="B16" s="582"/>
      <c r="C16" s="575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</row>
    <row r="17" spans="1:25" s="130" customFormat="1" hidden="1">
      <c r="B17" s="58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>
      <c r="B18" s="58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>
      <c r="A21" s="585"/>
      <c r="B21" s="586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>
      <c r="A22" s="582"/>
      <c r="B22" s="582"/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</row>
    <row r="23" spans="1:25" s="130" customFormat="1" ht="12.75" hidden="1">
      <c r="A23" s="588"/>
      <c r="B23" s="582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</row>
    <row r="24" spans="1:25" s="130" customFormat="1" hidden="1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>
      <c r="B26" s="58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>
      <c r="A27" s="588"/>
      <c r="B27" s="582"/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</row>
    <row r="28" spans="1:25" s="130" customFormat="1" hidden="1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1.25" hidden="1" customHeight="1">
      <c r="C32" s="100"/>
      <c r="D32" s="100"/>
      <c r="N32" s="100"/>
      <c r="O32" s="47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3.5" hidden="1" customHeight="1">
      <c r="C33" s="100"/>
      <c r="D33" s="100"/>
      <c r="N33" s="100"/>
      <c r="O33" s="47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t="15" hidden="1" customHeight="1">
      <c r="B34" s="58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t="9.75" hidden="1" customHeight="1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6.5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>
      <c r="A38" s="102">
        <v>211303</v>
      </c>
      <c r="B38" s="103" t="s">
        <v>195</v>
      </c>
      <c r="C38" s="231">
        <v>18894397.899999999</v>
      </c>
      <c r="D38" s="231">
        <v>20212469.210000001</v>
      </c>
      <c r="E38" s="231">
        <v>19718855.59</v>
      </c>
      <c r="F38" s="231">
        <v>22915214.129999999</v>
      </c>
      <c r="G38" s="231">
        <v>24526180.91</v>
      </c>
      <c r="H38" s="231">
        <v>19901981.68</v>
      </c>
      <c r="I38" s="231">
        <v>46430753.969999999</v>
      </c>
      <c r="J38" s="231">
        <v>62630311.789999999</v>
      </c>
      <c r="K38" s="231">
        <v>98032208.280000001</v>
      </c>
      <c r="L38" s="231">
        <v>13255524.529999999</v>
      </c>
      <c r="M38" s="231"/>
      <c r="N38" s="232">
        <f>SUM(C38:M38)</f>
        <v>346517897.98999995</v>
      </c>
      <c r="O38" s="80"/>
      <c r="P38" s="233"/>
      <c r="Q38" s="100"/>
      <c r="R38" s="100"/>
      <c r="S38" s="132"/>
      <c r="T38" s="135"/>
      <c r="U38" s="132"/>
    </row>
    <row r="39" spans="1:23" s="131" customFormat="1" ht="12.75">
      <c r="A39" s="104">
        <v>2117</v>
      </c>
      <c r="B39" s="103" t="s">
        <v>196</v>
      </c>
      <c r="C39" s="231">
        <v>1948812.24</v>
      </c>
      <c r="D39" s="231">
        <v>2314431.37</v>
      </c>
      <c r="E39" s="231">
        <v>5808452.4299999997</v>
      </c>
      <c r="F39" s="231">
        <v>2845464.15</v>
      </c>
      <c r="G39" s="231">
        <v>2742919.58</v>
      </c>
      <c r="H39" s="231">
        <v>2737063.61</v>
      </c>
      <c r="I39" s="231">
        <v>6108147.8200000003</v>
      </c>
      <c r="J39" s="231">
        <v>5680252.4900000002</v>
      </c>
      <c r="K39" s="231">
        <v>12722402.060000001</v>
      </c>
      <c r="L39" s="231">
        <v>5706061.3200000003</v>
      </c>
      <c r="M39" s="231"/>
      <c r="N39" s="232">
        <f>SUM(C39:M39)</f>
        <v>48614007.07</v>
      </c>
      <c r="O39" s="80"/>
      <c r="P39" s="233"/>
      <c r="Q39" s="100"/>
      <c r="R39" s="100"/>
      <c r="S39" s="132"/>
      <c r="T39" s="132"/>
      <c r="U39" s="130"/>
      <c r="V39" s="130"/>
      <c r="W39" s="130"/>
    </row>
    <row r="40" spans="1:23" ht="12.75">
      <c r="B40" s="105" t="s">
        <v>197</v>
      </c>
      <c r="C40" s="229">
        <f t="shared" ref="C40:N40" si="0">+C39+C38</f>
        <v>20843210.139999997</v>
      </c>
      <c r="D40" s="229">
        <f t="shared" si="0"/>
        <v>22526900.580000002</v>
      </c>
      <c r="E40" s="229">
        <f t="shared" si="0"/>
        <v>25527308.02</v>
      </c>
      <c r="F40" s="229">
        <f t="shared" si="0"/>
        <v>25760678.279999997</v>
      </c>
      <c r="G40" s="229">
        <f t="shared" si="0"/>
        <v>27269100.490000002</v>
      </c>
      <c r="H40" s="229">
        <f t="shared" si="0"/>
        <v>22639045.289999999</v>
      </c>
      <c r="I40" s="229">
        <f t="shared" si="0"/>
        <v>52538901.789999999</v>
      </c>
      <c r="J40" s="229">
        <f t="shared" si="0"/>
        <v>68310564.280000001</v>
      </c>
      <c r="K40" s="229">
        <f t="shared" si="0"/>
        <v>110754610.34</v>
      </c>
      <c r="L40" s="229">
        <f t="shared" si="0"/>
        <v>18961585.850000001</v>
      </c>
      <c r="M40" s="229">
        <f t="shared" si="0"/>
        <v>0</v>
      </c>
      <c r="N40" s="232">
        <f t="shared" si="0"/>
        <v>395131905.05999994</v>
      </c>
      <c r="O40" s="230"/>
      <c r="P40" s="233"/>
    </row>
    <row r="41" spans="1:23" ht="12.75"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234"/>
      <c r="O41" s="230"/>
      <c r="P41" s="233"/>
    </row>
    <row r="42" spans="1:23" s="131" customFormat="1" ht="12.75">
      <c r="A42" s="101">
        <v>2112</v>
      </c>
      <c r="B42" s="103" t="s">
        <v>198</v>
      </c>
      <c r="C42" s="231">
        <f>+Ahorro2102!E280</f>
        <v>7227787.4594909837</v>
      </c>
      <c r="D42" s="231">
        <f>+Ahorro2102!E281</f>
        <v>2993847.591671343</v>
      </c>
      <c r="E42" s="231">
        <f>+Ahorro2102!E282</f>
        <v>2297260.0549852345</v>
      </c>
      <c r="F42" s="231"/>
      <c r="G42" s="231"/>
      <c r="H42" s="231"/>
      <c r="I42" s="231"/>
      <c r="J42" s="231"/>
      <c r="K42" s="231">
        <f>+Ahorro2102!E283</f>
        <v>52009403.973852441</v>
      </c>
      <c r="L42" s="231"/>
      <c r="M42" s="232"/>
      <c r="N42" s="232">
        <f>SUM(C42:M42)</f>
        <v>64528299.079999998</v>
      </c>
      <c r="O42" s="80"/>
      <c r="P42" s="233"/>
      <c r="Q42" s="100"/>
      <c r="R42" s="100"/>
      <c r="S42" s="132"/>
      <c r="T42" s="100"/>
      <c r="U42" s="132"/>
    </row>
    <row r="43" spans="1:23" s="131" customFormat="1" ht="12.75">
      <c r="A43" s="107">
        <v>211305</v>
      </c>
      <c r="B43" s="103" t="s">
        <v>199</v>
      </c>
      <c r="C43" s="231">
        <f>+'CTS210305'!E280</f>
        <v>4708309.2499912204</v>
      </c>
      <c r="D43" s="231">
        <f>+'CTS210305'!E281</f>
        <v>1950245.5471930588</v>
      </c>
      <c r="E43" s="231">
        <f>+'CTS210305'!E282</f>
        <v>1496476.0415470283</v>
      </c>
      <c r="F43" s="231"/>
      <c r="G43" s="231"/>
      <c r="H43" s="231"/>
      <c r="I43" s="231"/>
      <c r="J43" s="231"/>
      <c r="K43" s="231">
        <f>+'CTS210305'!E283</f>
        <v>58481358.191268697</v>
      </c>
      <c r="L43" s="231"/>
      <c r="M43" s="232"/>
      <c r="N43" s="232">
        <f>SUM(C43:M43)</f>
        <v>66636389.030000001</v>
      </c>
      <c r="O43" s="80"/>
      <c r="P43" s="233"/>
      <c r="Q43" s="100"/>
      <c r="R43" s="100"/>
      <c r="S43" s="132"/>
      <c r="T43" s="100"/>
      <c r="U43" s="132"/>
    </row>
    <row r="44" spans="1:23" s="131" customFormat="1" ht="12.75">
      <c r="A44" s="107">
        <v>211701</v>
      </c>
      <c r="B44" s="103" t="s">
        <v>303</v>
      </c>
      <c r="C44" s="231">
        <f>+DepInmov210701!E280</f>
        <v>317400.14870396152</v>
      </c>
      <c r="D44" s="231">
        <f>+DepInmov210701!E281</f>
        <v>131471.446292418</v>
      </c>
      <c r="E44" s="231">
        <f>+DepInmov210701!E282</f>
        <v>100881.58888879867</v>
      </c>
      <c r="F44" s="231"/>
      <c r="G44" s="231"/>
      <c r="H44" s="231"/>
      <c r="I44" s="231"/>
      <c r="J44" s="231"/>
      <c r="K44" s="231">
        <f>+DepInmov210701!E283</f>
        <v>2129245.2861148221</v>
      </c>
      <c r="L44" s="231"/>
      <c r="M44" s="232"/>
      <c r="N44" s="232">
        <f>SUM(C44:M44)</f>
        <v>2678998.4700000002</v>
      </c>
      <c r="O44" s="80"/>
      <c r="P44" s="233"/>
      <c r="Q44" s="100"/>
      <c r="R44" s="100"/>
      <c r="S44" s="132"/>
      <c r="T44" s="100"/>
      <c r="U44" s="132"/>
    </row>
    <row r="45" spans="1:23" ht="12.75">
      <c r="B45" s="105" t="s">
        <v>200</v>
      </c>
      <c r="C45" s="229">
        <f t="shared" ref="C45:N45" si="1">SUM(C42:C44)</f>
        <v>12253496.858186165</v>
      </c>
      <c r="D45" s="229">
        <f t="shared" si="1"/>
        <v>5075564.5851568198</v>
      </c>
      <c r="E45" s="229">
        <f t="shared" si="1"/>
        <v>3894617.6854210617</v>
      </c>
      <c r="F45" s="229">
        <f t="shared" si="1"/>
        <v>0</v>
      </c>
      <c r="G45" s="229">
        <f t="shared" si="1"/>
        <v>0</v>
      </c>
      <c r="H45" s="229">
        <f t="shared" si="1"/>
        <v>0</v>
      </c>
      <c r="I45" s="229">
        <f t="shared" si="1"/>
        <v>0</v>
      </c>
      <c r="J45" s="229">
        <f t="shared" si="1"/>
        <v>0</v>
      </c>
      <c r="K45" s="229">
        <f t="shared" si="1"/>
        <v>112620007.45123596</v>
      </c>
      <c r="L45" s="229">
        <f t="shared" si="1"/>
        <v>0</v>
      </c>
      <c r="M45" s="229">
        <f t="shared" si="1"/>
        <v>0</v>
      </c>
      <c r="N45" s="232">
        <f t="shared" si="1"/>
        <v>133843686.58</v>
      </c>
      <c r="O45" s="230"/>
      <c r="P45" s="233"/>
    </row>
    <row r="46" spans="1:23" ht="12.75">
      <c r="B46" s="105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234"/>
      <c r="O46" s="230"/>
      <c r="P46" s="230"/>
      <c r="Q46" s="133"/>
      <c r="R46" s="133"/>
    </row>
    <row r="47" spans="1:23" ht="12.75">
      <c r="B47" s="108" t="s">
        <v>197</v>
      </c>
      <c r="C47" s="229">
        <f t="shared" ref="C47:M47" si="2">+C40</f>
        <v>20843210.139999997</v>
      </c>
      <c r="D47" s="229">
        <f t="shared" si="2"/>
        <v>22526900.580000002</v>
      </c>
      <c r="E47" s="229">
        <f t="shared" si="2"/>
        <v>25527308.02</v>
      </c>
      <c r="F47" s="229">
        <f t="shared" si="2"/>
        <v>25760678.279999997</v>
      </c>
      <c r="G47" s="229">
        <f t="shared" si="2"/>
        <v>27269100.490000002</v>
      </c>
      <c r="H47" s="229">
        <f t="shared" si="2"/>
        <v>22639045.289999999</v>
      </c>
      <c r="I47" s="229">
        <f t="shared" si="2"/>
        <v>52538901.789999999</v>
      </c>
      <c r="J47" s="229">
        <f t="shared" si="2"/>
        <v>68310564.280000001</v>
      </c>
      <c r="K47" s="229">
        <f t="shared" si="2"/>
        <v>110754610.34</v>
      </c>
      <c r="L47" s="229">
        <f t="shared" si="2"/>
        <v>18961585.850000001</v>
      </c>
      <c r="M47" s="229">
        <f t="shared" si="2"/>
        <v>0</v>
      </c>
      <c r="N47" s="232">
        <f>SUM(C47:M47)</f>
        <v>395131905.06</v>
      </c>
      <c r="O47" s="230"/>
      <c r="P47" s="230"/>
      <c r="Q47" s="133"/>
      <c r="R47" s="133"/>
    </row>
    <row r="48" spans="1:23" ht="12.75">
      <c r="B48" s="108" t="s">
        <v>200</v>
      </c>
      <c r="C48" s="229">
        <f t="shared" ref="C48:M48" si="3">+C45</f>
        <v>12253496.858186165</v>
      </c>
      <c r="D48" s="229">
        <f t="shared" si="3"/>
        <v>5075564.5851568198</v>
      </c>
      <c r="E48" s="229">
        <f t="shared" si="3"/>
        <v>3894617.6854210617</v>
      </c>
      <c r="F48" s="229">
        <f t="shared" si="3"/>
        <v>0</v>
      </c>
      <c r="G48" s="229">
        <f t="shared" si="3"/>
        <v>0</v>
      </c>
      <c r="H48" s="229">
        <f t="shared" si="3"/>
        <v>0</v>
      </c>
      <c r="I48" s="229">
        <f t="shared" si="3"/>
        <v>0</v>
      </c>
      <c r="J48" s="229">
        <f t="shared" si="3"/>
        <v>0</v>
      </c>
      <c r="K48" s="229">
        <f t="shared" si="3"/>
        <v>112620007.45123596</v>
      </c>
      <c r="L48" s="229">
        <f t="shared" si="3"/>
        <v>0</v>
      </c>
      <c r="M48" s="229">
        <f t="shared" si="3"/>
        <v>0</v>
      </c>
      <c r="N48" s="232">
        <f>SUM(C48:M48)</f>
        <v>133843686.58000001</v>
      </c>
      <c r="O48" s="230"/>
      <c r="P48" s="230"/>
      <c r="Q48" s="133"/>
      <c r="R48" s="133"/>
    </row>
    <row r="49" spans="1:18" ht="12.75">
      <c r="B49" s="108"/>
      <c r="C49" s="229">
        <f t="shared" ref="C49:M49" si="4">SUM(C47:C48)</f>
        <v>33096706.998186164</v>
      </c>
      <c r="D49" s="229">
        <f t="shared" si="4"/>
        <v>27602465.165156823</v>
      </c>
      <c r="E49" s="229">
        <f t="shared" si="4"/>
        <v>29421925.70542106</v>
      </c>
      <c r="F49" s="229">
        <f t="shared" si="4"/>
        <v>25760678.279999997</v>
      </c>
      <c r="G49" s="229">
        <f t="shared" si="4"/>
        <v>27269100.490000002</v>
      </c>
      <c r="H49" s="229">
        <f t="shared" si="4"/>
        <v>22639045.289999999</v>
      </c>
      <c r="I49" s="229">
        <f t="shared" si="4"/>
        <v>52538901.789999999</v>
      </c>
      <c r="J49" s="229">
        <f t="shared" si="4"/>
        <v>68310564.280000001</v>
      </c>
      <c r="K49" s="229">
        <f t="shared" si="4"/>
        <v>223374617.79123598</v>
      </c>
      <c r="L49" s="229">
        <f t="shared" si="4"/>
        <v>18961585.850000001</v>
      </c>
      <c r="M49" s="229">
        <f t="shared" si="4"/>
        <v>0</v>
      </c>
      <c r="N49" s="232">
        <f>SUM(C49:M49)</f>
        <v>528975591.64000005</v>
      </c>
      <c r="O49" s="230"/>
      <c r="P49" s="230"/>
      <c r="Q49" s="133"/>
      <c r="R49" s="133"/>
    </row>
    <row r="50" spans="1:18" ht="12.75">
      <c r="B50" s="8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3"/>
      <c r="O50" s="230"/>
      <c r="P50" s="230"/>
      <c r="Q50" s="133"/>
      <c r="R50" s="133"/>
    </row>
    <row r="51" spans="1:18" customFormat="1" ht="12.75">
      <c r="A51" s="312" t="s">
        <v>304</v>
      </c>
      <c r="B51" s="833">
        <v>77019.179999999993</v>
      </c>
      <c r="C51" s="311">
        <f t="shared" ref="C51:M51" si="5">+C49/$N$49</f>
        <v>6.2567550414897935E-2</v>
      </c>
      <c r="D51" s="235">
        <f t="shared" si="5"/>
        <v>5.2180980751077778E-2</v>
      </c>
      <c r="E51" s="235">
        <f t="shared" si="5"/>
        <v>5.5620573369374787E-2</v>
      </c>
      <c r="F51" s="235">
        <f t="shared" si="5"/>
        <v>4.8699181374575976E-2</v>
      </c>
      <c r="G51" s="235">
        <f t="shared" si="5"/>
        <v>5.155077270287034E-2</v>
      </c>
      <c r="H51" s="235">
        <f t="shared" si="5"/>
        <v>4.2797901543644837E-2</v>
      </c>
      <c r="I51" s="235">
        <f t="shared" si="5"/>
        <v>9.9321977460457012E-2</v>
      </c>
      <c r="J51" s="235">
        <f t="shared" si="5"/>
        <v>0.12913745995011711</v>
      </c>
      <c r="K51" s="235">
        <f t="shared" si="5"/>
        <v>0.42227774082864666</v>
      </c>
      <c r="L51" s="235">
        <f t="shared" si="5"/>
        <v>3.5845861604337524E-2</v>
      </c>
      <c r="M51" s="235">
        <f t="shared" si="5"/>
        <v>0</v>
      </c>
      <c r="N51" s="230">
        <f>SUM(C51:M51)</f>
        <v>1</v>
      </c>
      <c r="O51" s="230"/>
      <c r="P51" s="230"/>
    </row>
    <row r="52" spans="1:18" customFormat="1" ht="13.5" customHeight="1">
      <c r="A52" s="313" t="s">
        <v>306</v>
      </c>
      <c r="B52" s="834">
        <v>14472160.970000001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6"/>
      <c r="O52" s="230"/>
      <c r="P52" s="230"/>
    </row>
    <row r="53" spans="1:18" customFormat="1" ht="12.75">
      <c r="B53" s="24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6"/>
      <c r="O53" s="230"/>
      <c r="P53" s="230"/>
    </row>
    <row r="54" spans="1:18" customFormat="1" ht="12.75">
      <c r="A54" s="140" t="s">
        <v>291</v>
      </c>
      <c r="B54" s="126"/>
      <c r="C54" s="237" t="s">
        <v>12</v>
      </c>
      <c r="D54" s="237" t="s">
        <v>13</v>
      </c>
      <c r="E54" s="237" t="s">
        <v>14</v>
      </c>
      <c r="F54" s="237" t="s">
        <v>15</v>
      </c>
      <c r="G54" s="237" t="s">
        <v>16</v>
      </c>
      <c r="H54" s="237" t="s">
        <v>17</v>
      </c>
      <c r="I54" s="237" t="s">
        <v>18</v>
      </c>
      <c r="J54" s="237" t="s">
        <v>19</v>
      </c>
      <c r="K54" s="237" t="s">
        <v>141</v>
      </c>
      <c r="L54" s="237" t="s">
        <v>142</v>
      </c>
      <c r="M54" s="237" t="s">
        <v>143</v>
      </c>
      <c r="N54" s="237" t="s">
        <v>20</v>
      </c>
      <c r="O54" s="230"/>
      <c r="P54" s="230"/>
    </row>
    <row r="55" spans="1:18" s="80" customFormat="1" ht="12.75">
      <c r="A55" s="314">
        <v>1117</v>
      </c>
      <c r="B55" s="835">
        <v>37400</v>
      </c>
      <c r="C55" s="403">
        <f>ROUND((($B$52)*C51),2)+B51</f>
        <v>982506.84000000008</v>
      </c>
      <c r="D55" s="403">
        <f>ROUND((($B$52)*D51),2)</f>
        <v>755171.55</v>
      </c>
      <c r="E55" s="403">
        <f t="shared" ref="E55:M55" si="6">ROUND((($B$52)*E51),2)</f>
        <v>804949.89</v>
      </c>
      <c r="F55" s="403">
        <f t="shared" si="6"/>
        <v>704782.39</v>
      </c>
      <c r="G55" s="403">
        <f t="shared" si="6"/>
        <v>746051.08</v>
      </c>
      <c r="H55" s="403">
        <f t="shared" si="6"/>
        <v>619378.12</v>
      </c>
      <c r="I55" s="403">
        <f t="shared" si="6"/>
        <v>1437403.65</v>
      </c>
      <c r="J55" s="403">
        <f t="shared" si="6"/>
        <v>1868898.11</v>
      </c>
      <c r="K55" s="403">
        <f t="shared" si="6"/>
        <v>6111271.4400000004</v>
      </c>
      <c r="L55" s="403">
        <f t="shared" si="6"/>
        <v>518767.08</v>
      </c>
      <c r="M55" s="403">
        <f t="shared" si="6"/>
        <v>0</v>
      </c>
      <c r="N55" s="238">
        <f>SUM(C55:M55)</f>
        <v>14549180.15</v>
      </c>
      <c r="O55" s="424">
        <f>+B52+B51-N55</f>
        <v>0</v>
      </c>
      <c r="P55" s="230"/>
    </row>
    <row r="56" spans="1:18" ht="12.75">
      <c r="A56" s="314" t="s">
        <v>307</v>
      </c>
      <c r="B56" s="836">
        <v>4368626.3600000003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3"/>
      <c r="O56" s="230"/>
      <c r="P56" s="230"/>
    </row>
    <row r="57" spans="1:18" ht="12.75">
      <c r="A57" s="314" t="s">
        <v>308</v>
      </c>
      <c r="B57" s="836">
        <v>5648337.8300000001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3"/>
      <c r="O57" s="230"/>
      <c r="P57" s="230"/>
    </row>
    <row r="58" spans="1:18" ht="12.75">
      <c r="A58" s="314">
        <v>1111</v>
      </c>
      <c r="B58" s="836">
        <v>7777451.4900000002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3"/>
      <c r="O58" s="230"/>
      <c r="P58" s="230"/>
    </row>
    <row r="59" spans="1:18" ht="12.75">
      <c r="A59" s="314">
        <v>1115</v>
      </c>
      <c r="B59" s="837">
        <v>12975.38</v>
      </c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3"/>
      <c r="O59" s="230"/>
      <c r="P59" s="230"/>
    </row>
    <row r="60" spans="1:18" ht="12.75">
      <c r="A60" s="314">
        <v>1116</v>
      </c>
      <c r="B60" s="836">
        <v>0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3"/>
      <c r="O60" s="230"/>
      <c r="P60" s="230"/>
    </row>
    <row r="61" spans="1:18" ht="15" customHeight="1">
      <c r="A61" s="314">
        <v>1118</v>
      </c>
      <c r="B61" s="836">
        <v>10698.43</v>
      </c>
      <c r="C61" s="424">
        <f>+B62-B52-B51</f>
        <v>3268909.3399999975</v>
      </c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</row>
    <row r="62" spans="1:18" ht="15" customHeight="1">
      <c r="A62" s="140" t="s">
        <v>20</v>
      </c>
      <c r="B62" s="316">
        <f>SUM(B55:B61)-B55</f>
        <v>17818089.489999998</v>
      </c>
      <c r="C62" s="316">
        <f>+B62-N65</f>
        <v>0</v>
      </c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</row>
    <row r="63" spans="1:18" ht="12.75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</row>
    <row r="64" spans="1:18" ht="12.75">
      <c r="C64" s="237" t="s">
        <v>12</v>
      </c>
      <c r="D64" s="237" t="s">
        <v>13</v>
      </c>
      <c r="E64" s="237" t="s">
        <v>14</v>
      </c>
      <c r="F64" s="237" t="s">
        <v>15</v>
      </c>
      <c r="G64" s="237" t="s">
        <v>16</v>
      </c>
      <c r="H64" s="237" t="s">
        <v>17</v>
      </c>
      <c r="I64" s="237" t="s">
        <v>18</v>
      </c>
      <c r="J64" s="237" t="s">
        <v>19</v>
      </c>
      <c r="K64" s="237" t="s">
        <v>141</v>
      </c>
      <c r="L64" s="237" t="s">
        <v>142</v>
      </c>
      <c r="M64" s="237" t="s">
        <v>143</v>
      </c>
      <c r="N64" s="237" t="s">
        <v>20</v>
      </c>
      <c r="O64" s="230"/>
      <c r="P64" s="230"/>
    </row>
    <row r="65" spans="1:16" ht="12.75">
      <c r="B65" s="561" t="s">
        <v>206</v>
      </c>
      <c r="C65" s="229">
        <f>IF(C61&lt;0,C55+(C61*C51),C55)</f>
        <v>982506.84000000008</v>
      </c>
      <c r="D65" s="229">
        <f>IF(C61&lt;0,D55+(C61*D51),D55)</f>
        <v>755171.55</v>
      </c>
      <c r="E65" s="229">
        <f>IF(C61&lt;0,E55+(C61*E51),E55)</f>
        <v>804949.89</v>
      </c>
      <c r="F65" s="229">
        <f>IF(C61&lt;0,F55+(C61*F51),F55)</f>
        <v>704782.39</v>
      </c>
      <c r="G65" s="229">
        <f>IF(C61&lt;0,G55+(C61*G51),G55)</f>
        <v>746051.08</v>
      </c>
      <c r="H65" s="229">
        <f>IF(C61&lt;0,H55+(C61*H51),H55)</f>
        <v>619378.12</v>
      </c>
      <c r="I65" s="229">
        <f>IF(C61&lt;0,I55+(C61*I51),I55)</f>
        <v>1437403.65</v>
      </c>
      <c r="J65" s="229">
        <f>IF(C61&lt;0,J55+(C61*J51),J55)</f>
        <v>1868898.11</v>
      </c>
      <c r="K65" s="229">
        <f>IF(C61&lt;0,K55+(C61*K51),K55 + C61)</f>
        <v>9380180.7799999975</v>
      </c>
      <c r="L65" s="229">
        <f>IF(C61&lt;0,L55+(C61*L51),L55)</f>
        <v>518767.08</v>
      </c>
      <c r="M65" s="229">
        <f>IF(C61&lt;0,M55+(C61*M51),M55)</f>
        <v>0</v>
      </c>
      <c r="N65" s="238">
        <f>SUM(C65:M65)</f>
        <v>17818089.489999995</v>
      </c>
      <c r="O65" s="230"/>
      <c r="P65" s="230"/>
    </row>
    <row r="66" spans="1:16" ht="12.75"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</row>
    <row r="67" spans="1:16" ht="12.75"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</row>
    <row r="68" spans="1:16" ht="12.75"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</row>
    <row r="69" spans="1:16" ht="12.75"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</row>
    <row r="70" spans="1:16" s="120" customFormat="1" ht="12">
      <c r="A70" s="305"/>
      <c r="B70" s="305"/>
      <c r="C70" s="306" t="s">
        <v>211</v>
      </c>
      <c r="D70" s="306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>
      <c r="A71" s="405" t="s">
        <v>207</v>
      </c>
      <c r="B71" s="411" t="s">
        <v>208</v>
      </c>
      <c r="C71" s="419">
        <v>43230910.359999999</v>
      </c>
      <c r="D71" s="405">
        <f>C71/$C$74</f>
        <v>0.66995273355034168</v>
      </c>
      <c r="E71" s="123"/>
      <c r="F71" s="123"/>
      <c r="G71" s="123"/>
      <c r="H71" s="123"/>
      <c r="I71" s="123"/>
      <c r="J71" s="123"/>
      <c r="K71" s="123"/>
    </row>
    <row r="72" spans="1:16" s="120" customFormat="1" ht="12.75">
      <c r="A72" s="405"/>
      <c r="B72" s="411" t="s">
        <v>209</v>
      </c>
      <c r="C72" s="419">
        <v>17292960.129999999</v>
      </c>
      <c r="D72" s="405">
        <f>C72/$C$74</f>
        <v>0.2679903294608893</v>
      </c>
      <c r="E72" s="123"/>
      <c r="F72" s="123"/>
      <c r="G72" s="123"/>
      <c r="H72" s="123"/>
      <c r="I72" s="123"/>
      <c r="J72" s="123"/>
      <c r="K72" s="123"/>
    </row>
    <row r="73" spans="1:16" s="120" customFormat="1" ht="12.75">
      <c r="A73" s="405"/>
      <c r="B73" s="411" t="s">
        <v>413</v>
      </c>
      <c r="C73" s="419">
        <v>4004428.59</v>
      </c>
      <c r="D73" s="405">
        <f>C73/$C$74</f>
        <v>6.205693698876899E-2</v>
      </c>
      <c r="E73" s="123"/>
      <c r="F73" s="123"/>
      <c r="G73" s="123"/>
      <c r="H73" s="123"/>
      <c r="I73" s="123"/>
      <c r="J73" s="123"/>
      <c r="K73" s="123"/>
    </row>
    <row r="74" spans="1:16" s="120" customFormat="1" ht="12.75">
      <c r="A74" s="405"/>
      <c r="B74" s="411"/>
      <c r="C74" s="409">
        <f>C71+C72+C73</f>
        <v>64528299.079999998</v>
      </c>
      <c r="D74" s="405">
        <f>SUM(D71:D73)</f>
        <v>1</v>
      </c>
      <c r="E74" s="123"/>
      <c r="F74" s="123"/>
      <c r="G74" s="123"/>
      <c r="H74" s="123"/>
      <c r="I74" s="123"/>
      <c r="J74" s="123"/>
      <c r="K74" s="123"/>
    </row>
    <row r="75" spans="1:16" s="120" customFormat="1" ht="12.75">
      <c r="A75" s="330"/>
      <c r="B75" s="331"/>
      <c r="C75" s="328" t="s">
        <v>12</v>
      </c>
      <c r="D75" s="328" t="s">
        <v>13</v>
      </c>
      <c r="E75" s="328" t="s">
        <v>14</v>
      </c>
      <c r="F75" s="328" t="s">
        <v>15</v>
      </c>
      <c r="G75" s="328" t="s">
        <v>16</v>
      </c>
      <c r="H75" s="328" t="s">
        <v>17</v>
      </c>
      <c r="I75" s="328" t="s">
        <v>18</v>
      </c>
      <c r="J75" s="328" t="s">
        <v>19</v>
      </c>
      <c r="K75" s="328" t="s">
        <v>141</v>
      </c>
      <c r="L75" s="237" t="s">
        <v>20</v>
      </c>
    </row>
    <row r="76" spans="1:16" s="120" customFormat="1" ht="12.75">
      <c r="A76" s="406" t="s">
        <v>207</v>
      </c>
      <c r="B76" s="407" t="s">
        <v>208</v>
      </c>
      <c r="C76" s="408">
        <f>$C$42*D71</f>
        <v>4842275.9660068639</v>
      </c>
      <c r="D76" s="408">
        <f>$D$42*D71</f>
        <v>2005736.3778733234</v>
      </c>
      <c r="E76" s="408">
        <f>$E$42*D71</f>
        <v>1539055.6535133661</v>
      </c>
      <c r="F76" s="409"/>
      <c r="G76" s="409"/>
      <c r="H76" s="409"/>
      <c r="I76" s="409"/>
      <c r="J76" s="409"/>
      <c r="K76" s="409">
        <f>$K$42*D71</f>
        <v>34843842.362606443</v>
      </c>
      <c r="L76" s="410">
        <f>SUM(C76:K76)</f>
        <v>43230910.359999999</v>
      </c>
    </row>
    <row r="77" spans="1:16" s="120" customFormat="1" ht="12.75">
      <c r="A77" s="405"/>
      <c r="B77" s="411" t="s">
        <v>209</v>
      </c>
      <c r="C77" s="409">
        <f>$C$42*D72</f>
        <v>1936977.1425422728</v>
      </c>
      <c r="D77" s="408">
        <f>$D$42*D72</f>
        <v>802322.20244769321</v>
      </c>
      <c r="E77" s="408">
        <f>$E$42*D72</f>
        <v>615643.47899283364</v>
      </c>
      <c r="F77" s="409"/>
      <c r="G77" s="409"/>
      <c r="H77" s="409"/>
      <c r="I77" s="409"/>
      <c r="J77" s="409"/>
      <c r="K77" s="409">
        <f>$K$42*D72</f>
        <v>13938017.306017201</v>
      </c>
      <c r="L77" s="410">
        <f>SUM(C77:K77)</f>
        <v>17292960.130000003</v>
      </c>
    </row>
    <row r="78" spans="1:16" s="120" customFormat="1" ht="12.75">
      <c r="A78" s="405"/>
      <c r="B78" s="411" t="s">
        <v>413</v>
      </c>
      <c r="C78" s="409">
        <f>$C$42*D73</f>
        <v>448534.35094184667</v>
      </c>
      <c r="D78" s="408">
        <f>$D$42*D73</f>
        <v>185789.01135032633</v>
      </c>
      <c r="E78" s="408">
        <f>$E$42*D73</f>
        <v>142560.92247903469</v>
      </c>
      <c r="F78" s="409"/>
      <c r="G78" s="409"/>
      <c r="H78" s="409"/>
      <c r="I78" s="409"/>
      <c r="J78" s="409"/>
      <c r="K78" s="409">
        <f>$K$42*D73</f>
        <v>3227544.3052287926</v>
      </c>
      <c r="L78" s="410">
        <f>SUM(C78:K78)</f>
        <v>4004428.5900000003</v>
      </c>
      <c r="M78" s="424">
        <f>SUM(L76:L78)-N42</f>
        <v>0</v>
      </c>
    </row>
    <row r="79" spans="1:16" s="120" customFormat="1" ht="12">
      <c r="B79" s="301"/>
      <c r="C79" s="302"/>
      <c r="D79" s="150"/>
      <c r="E79" s="332"/>
      <c r="F79" s="332"/>
      <c r="G79" s="332"/>
      <c r="H79" s="332"/>
      <c r="I79" s="332"/>
      <c r="J79" s="332"/>
      <c r="K79" s="332"/>
    </row>
    <row r="80" spans="1:16" s="120" customFormat="1" ht="12">
      <c r="B80" s="301"/>
      <c r="C80" s="302"/>
      <c r="D80" s="150"/>
      <c r="E80" s="332"/>
      <c r="F80" s="332"/>
      <c r="G80" s="332"/>
      <c r="H80" s="332"/>
      <c r="I80" s="332"/>
      <c r="J80" s="332"/>
      <c r="K80" s="332"/>
    </row>
    <row r="81" spans="1:14" s="120" customFormat="1" ht="12">
      <c r="A81" s="305"/>
      <c r="B81" s="306"/>
      <c r="C81" s="309" t="s">
        <v>211</v>
      </c>
      <c r="D81" s="307" t="s">
        <v>212</v>
      </c>
      <c r="E81" s="332"/>
      <c r="F81" s="332"/>
      <c r="G81" s="332"/>
      <c r="H81" s="332"/>
      <c r="I81" s="332"/>
      <c r="J81" s="332"/>
      <c r="K81" s="332"/>
    </row>
    <row r="82" spans="1:14" s="120" customFormat="1" ht="12.75">
      <c r="A82" s="405" t="s">
        <v>213</v>
      </c>
      <c r="B82" s="411" t="s">
        <v>208</v>
      </c>
      <c r="C82" s="419">
        <v>57572476.229999997</v>
      </c>
      <c r="D82" s="405">
        <f>C82/$C$85</f>
        <v>0.86397953232550773</v>
      </c>
      <c r="E82" s="332"/>
      <c r="F82" s="332"/>
      <c r="G82" s="332"/>
      <c r="H82" s="332"/>
      <c r="I82" s="332"/>
      <c r="J82" s="332"/>
      <c r="K82" s="332"/>
    </row>
    <row r="83" spans="1:14" s="120" customFormat="1" ht="12.75">
      <c r="A83" s="405"/>
      <c r="B83" s="411" t="s">
        <v>209</v>
      </c>
      <c r="C83" s="419">
        <v>8781730.5600000005</v>
      </c>
      <c r="D83" s="405">
        <f>C83/$C$85</f>
        <v>0.13178581084347812</v>
      </c>
      <c r="E83" s="332"/>
      <c r="F83" s="332"/>
      <c r="G83" s="332"/>
      <c r="H83" s="332"/>
      <c r="I83" s="332"/>
      <c r="J83" s="332"/>
      <c r="K83" s="332"/>
    </row>
    <row r="84" spans="1:14" s="120" customFormat="1" ht="12.75">
      <c r="A84" s="405"/>
      <c r="B84" s="411" t="s">
        <v>413</v>
      </c>
      <c r="C84" s="419">
        <v>282182.24</v>
      </c>
      <c r="D84" s="405">
        <f>C84/$C$85</f>
        <v>4.2346568310140621E-3</v>
      </c>
      <c r="E84" s="332"/>
      <c r="F84" s="332"/>
      <c r="G84" s="332"/>
      <c r="H84" s="332"/>
      <c r="I84" s="332"/>
      <c r="J84" s="332"/>
      <c r="K84" s="332"/>
    </row>
    <row r="85" spans="1:14" s="120" customFormat="1" ht="12.75">
      <c r="A85" s="405"/>
      <c r="B85" s="411"/>
      <c r="C85" s="308">
        <f>C82+C83+C84</f>
        <v>66636389.030000001</v>
      </c>
      <c r="D85" s="405">
        <f>SUM(D82:D84)</f>
        <v>1</v>
      </c>
      <c r="E85" s="332"/>
      <c r="F85" s="332"/>
      <c r="G85" s="332"/>
      <c r="H85" s="332"/>
      <c r="I85" s="332"/>
      <c r="J85" s="332"/>
      <c r="K85" s="332"/>
    </row>
    <row r="86" spans="1:14" s="120" customFormat="1" ht="12.75">
      <c r="A86" s="123"/>
      <c r="B86" s="329"/>
      <c r="C86" s="328" t="s">
        <v>12</v>
      </c>
      <c r="D86" s="328" t="s">
        <v>13</v>
      </c>
      <c r="E86" s="328" t="s">
        <v>14</v>
      </c>
      <c r="F86" s="328" t="s">
        <v>15</v>
      </c>
      <c r="G86" s="328" t="s">
        <v>16</v>
      </c>
      <c r="H86" s="328" t="s">
        <v>17</v>
      </c>
      <c r="I86" s="328" t="s">
        <v>18</v>
      </c>
      <c r="J86" s="328" t="s">
        <v>19</v>
      </c>
      <c r="K86" s="328" t="s">
        <v>141</v>
      </c>
      <c r="L86" s="237" t="s">
        <v>20</v>
      </c>
    </row>
    <row r="87" spans="1:14" s="120" customFormat="1" ht="12.75">
      <c r="A87" s="405" t="s">
        <v>213</v>
      </c>
      <c r="B87" s="411" t="s">
        <v>208</v>
      </c>
      <c r="C87" s="409">
        <f>$C$43*D82</f>
        <v>4067882.8238512767</v>
      </c>
      <c r="D87" s="409">
        <f>$D$43*D82</f>
        <v>1684972.2357837628</v>
      </c>
      <c r="E87" s="409">
        <f>$E$43*D82</f>
        <v>1292924.6705121286</v>
      </c>
      <c r="F87" s="409"/>
      <c r="G87" s="409"/>
      <c r="H87" s="409"/>
      <c r="I87" s="409"/>
      <c r="J87" s="409"/>
      <c r="K87" s="409">
        <f>$K$43*D82</f>
        <v>50526696.499852829</v>
      </c>
      <c r="L87" s="410">
        <f>SUM(C87:K87)</f>
        <v>57572476.229999997</v>
      </c>
    </row>
    <row r="88" spans="1:14" s="120" customFormat="1" ht="12.75">
      <c r="A88" s="405"/>
      <c r="B88" s="411" t="s">
        <v>209</v>
      </c>
      <c r="C88" s="409">
        <f>$C$43*D83</f>
        <v>620488.35221194138</v>
      </c>
      <c r="D88" s="409">
        <f>$D$43*D83</f>
        <v>257014.69078071992</v>
      </c>
      <c r="E88" s="409">
        <f>$E$43*D83</f>
        <v>197214.30854311358</v>
      </c>
      <c r="F88" s="409"/>
      <c r="G88" s="409"/>
      <c r="H88" s="409"/>
      <c r="I88" s="409"/>
      <c r="J88" s="409"/>
      <c r="K88" s="409">
        <f>$K$43*D83</f>
        <v>7707013.2084642267</v>
      </c>
      <c r="L88" s="410">
        <f>SUM(C88:K88)</f>
        <v>8781730.5600000024</v>
      </c>
    </row>
    <row r="89" spans="1:14" s="120" customFormat="1" ht="12.75">
      <c r="A89" s="405"/>
      <c r="B89" s="411" t="s">
        <v>413</v>
      </c>
      <c r="C89" s="409">
        <f>$C$43*D84</f>
        <v>19938.073928002017</v>
      </c>
      <c r="D89" s="409">
        <f>$D$43*D84</f>
        <v>8258.6206285758435</v>
      </c>
      <c r="E89" s="409">
        <f>$E$43*D84</f>
        <v>6337.0624917860068</v>
      </c>
      <c r="F89" s="409"/>
      <c r="G89" s="409"/>
      <c r="H89" s="409"/>
      <c r="I89" s="409"/>
      <c r="J89" s="409"/>
      <c r="K89" s="409">
        <f>$K$43*D84</f>
        <v>247648.48295163616</v>
      </c>
      <c r="L89" s="410">
        <f>SUM(C89:K89)</f>
        <v>282182.24000000005</v>
      </c>
      <c r="M89" s="424">
        <f>SUM(L87:L89)-N43</f>
        <v>0</v>
      </c>
    </row>
    <row r="90" spans="1:14" s="120" customFormat="1" ht="12">
      <c r="C90" s="302"/>
    </row>
    <row r="91" spans="1:14" s="120" customFormat="1" ht="12">
      <c r="C91" s="302"/>
    </row>
    <row r="92" spans="1:14" s="120" customFormat="1" ht="12">
      <c r="C92" s="302"/>
    </row>
    <row r="93" spans="1:14" s="120" customFormat="1" ht="15.75" customHeight="1">
      <c r="A93" s="861" t="s">
        <v>412</v>
      </c>
      <c r="B93" s="862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s="120" customFormat="1" ht="14.25">
      <c r="A94" s="450">
        <v>2111</v>
      </c>
      <c r="B94" s="455" t="s">
        <v>411</v>
      </c>
      <c r="C94" s="231">
        <f>+OligVista2101!E280</f>
        <v>137544.45000000001</v>
      </c>
      <c r="D94" s="231">
        <f>+OligVista2101!E281</f>
        <v>0</v>
      </c>
      <c r="E94" s="231">
        <f>+OligVista2101!E282</f>
        <v>0</v>
      </c>
      <c r="F94" s="231"/>
      <c r="G94" s="231"/>
      <c r="H94" s="231"/>
      <c r="I94" s="231"/>
      <c r="J94" s="231"/>
      <c r="K94" s="231">
        <f>OligVista2101!E283</f>
        <v>0</v>
      </c>
      <c r="L94" s="231"/>
      <c r="M94" s="232"/>
      <c r="N94" s="232">
        <f>SUM(C94:M94)</f>
        <v>137544.45000000001</v>
      </c>
    </row>
    <row r="95" spans="1:14" s="120" customFormat="1" ht="12.75">
      <c r="A95" s="452"/>
      <c r="B95" s="453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</row>
    <row r="96" spans="1:14" s="120" customFormat="1" ht="12">
      <c r="B96" s="129"/>
      <c r="C96" s="454"/>
      <c r="D96" s="129"/>
      <c r="E96" s="129"/>
      <c r="F96" s="129"/>
      <c r="G96" s="129"/>
      <c r="H96" s="129"/>
      <c r="I96" s="129"/>
      <c r="J96" s="129"/>
      <c r="K96" s="129"/>
      <c r="L96" s="129"/>
      <c r="M96" s="129"/>
    </row>
    <row r="97" spans="1:13" s="120" customFormat="1" ht="12">
      <c r="A97" s="305"/>
      <c r="B97" s="306"/>
      <c r="C97" s="307" t="s">
        <v>211</v>
      </c>
      <c r="D97" s="307" t="s">
        <v>212</v>
      </c>
      <c r="E97" s="332"/>
      <c r="F97" s="332"/>
      <c r="G97" s="332"/>
      <c r="H97" s="332"/>
      <c r="I97" s="332"/>
      <c r="J97" s="332"/>
      <c r="K97" s="332"/>
    </row>
    <row r="98" spans="1:13" s="120" customFormat="1" ht="12.75">
      <c r="A98" s="412" t="s">
        <v>312</v>
      </c>
      <c r="B98" s="411" t="s">
        <v>208</v>
      </c>
      <c r="C98" s="419">
        <v>115455</v>
      </c>
      <c r="D98" s="405">
        <f>IF(AND(C98=0,$C$101=0),0,C98/$C$101)</f>
        <v>1</v>
      </c>
      <c r="E98" s="332"/>
      <c r="F98" s="332"/>
      <c r="G98" s="332"/>
      <c r="H98" s="332"/>
      <c r="I98" s="332"/>
      <c r="J98" s="332"/>
      <c r="K98" s="332"/>
    </row>
    <row r="99" spans="1:13" customFormat="1" ht="12.75">
      <c r="A99" s="412" t="s">
        <v>311</v>
      </c>
      <c r="B99" s="411" t="s">
        <v>209</v>
      </c>
      <c r="C99" s="419"/>
      <c r="D99" s="405">
        <f t="shared" ref="D99:D100" si="7">IF(AND(C99=0,$C$101=0),0,C99/$C$101)</f>
        <v>0</v>
      </c>
      <c r="E99" s="332"/>
      <c r="F99" s="332"/>
      <c r="G99" s="332"/>
      <c r="H99" s="332"/>
      <c r="I99" s="332"/>
      <c r="J99" s="332"/>
      <c r="K99" s="332"/>
      <c r="L99" s="120"/>
      <c r="M99" s="120"/>
    </row>
    <row r="100" spans="1:13" customFormat="1" ht="12.75">
      <c r="A100" s="405"/>
      <c r="B100" s="411" t="s">
        <v>413</v>
      </c>
      <c r="C100" s="419"/>
      <c r="D100" s="405">
        <f t="shared" si="7"/>
        <v>0</v>
      </c>
      <c r="E100" s="332"/>
      <c r="F100" s="332"/>
      <c r="G100" s="332"/>
      <c r="H100" s="332"/>
      <c r="I100" s="332"/>
      <c r="J100" s="332"/>
      <c r="K100" s="332"/>
      <c r="L100" s="120"/>
      <c r="M100" s="120"/>
    </row>
    <row r="101" spans="1:13" ht="12.75">
      <c r="A101" s="305"/>
      <c r="B101" s="306"/>
      <c r="C101" s="308">
        <f>C98+C99+C100</f>
        <v>115455</v>
      </c>
      <c r="D101" s="405">
        <f>SUM(D98:D100)</f>
        <v>1</v>
      </c>
      <c r="E101" s="332"/>
      <c r="F101" s="332"/>
      <c r="G101" s="332"/>
      <c r="H101" s="332"/>
      <c r="I101" s="332"/>
      <c r="J101" s="332"/>
      <c r="K101" s="332"/>
      <c r="L101" s="120"/>
      <c r="M101" s="120"/>
    </row>
    <row r="102" spans="1:13" ht="12.75">
      <c r="A102" s="305"/>
      <c r="B102" s="306"/>
      <c r="C102" s="328" t="s">
        <v>12</v>
      </c>
      <c r="D102" s="328" t="s">
        <v>13</v>
      </c>
      <c r="E102" s="328" t="s">
        <v>14</v>
      </c>
      <c r="F102" s="328" t="s">
        <v>15</v>
      </c>
      <c r="G102" s="328" t="s">
        <v>16</v>
      </c>
      <c r="H102" s="328" t="s">
        <v>17</v>
      </c>
      <c r="I102" s="328" t="s">
        <v>18</v>
      </c>
      <c r="J102" s="328" t="s">
        <v>19</v>
      </c>
      <c r="K102" s="328" t="s">
        <v>141</v>
      </c>
      <c r="L102" s="237" t="s">
        <v>20</v>
      </c>
      <c r="M102" s="120"/>
    </row>
    <row r="103" spans="1:13" ht="12.75">
      <c r="A103" s="412" t="s">
        <v>312</v>
      </c>
      <c r="B103" s="411" t="s">
        <v>208</v>
      </c>
      <c r="C103" s="413">
        <f>ROUND($C$94*D98,2)</f>
        <v>137544.45000000001</v>
      </c>
      <c r="D103" s="413">
        <f>ROUND($D$94*D98,2)</f>
        <v>0</v>
      </c>
      <c r="E103" s="409">
        <f>ROUND($E$94*D98,2)</f>
        <v>0</v>
      </c>
      <c r="F103" s="409"/>
      <c r="G103" s="409"/>
      <c r="H103" s="409"/>
      <c r="I103" s="409"/>
      <c r="J103" s="409"/>
      <c r="K103" s="409">
        <f>ROUND($K$94*D98,2)</f>
        <v>0</v>
      </c>
      <c r="L103" s="410">
        <f>SUM(C103:K103)</f>
        <v>137544.45000000001</v>
      </c>
      <c r="M103" s="140"/>
    </row>
    <row r="104" spans="1:13" ht="12.75">
      <c r="A104" s="412" t="s">
        <v>311</v>
      </c>
      <c r="B104" s="411" t="s">
        <v>209</v>
      </c>
      <c r="C104" s="413">
        <f>ROUND($C$94*D99,2)</f>
        <v>0</v>
      </c>
      <c r="D104" s="413">
        <f>ROUND($D$94*D99,2)</f>
        <v>0</v>
      </c>
      <c r="E104" s="409">
        <f>ROUND($E$94*D99,2)</f>
        <v>0</v>
      </c>
      <c r="F104" s="409"/>
      <c r="G104" s="409"/>
      <c r="H104" s="409"/>
      <c r="I104" s="409"/>
      <c r="J104" s="409"/>
      <c r="K104" s="409">
        <f>ROUND($K$94*D99,2)</f>
        <v>0</v>
      </c>
      <c r="L104" s="410">
        <f>SUM(C104:K104)</f>
        <v>0</v>
      </c>
      <c r="M104" s="140"/>
    </row>
    <row r="105" spans="1:13" ht="12.75">
      <c r="A105" s="405"/>
      <c r="B105" s="411" t="s">
        <v>413</v>
      </c>
      <c r="C105" s="413">
        <f>ROUND($C$94*D100,2)</f>
        <v>0</v>
      </c>
      <c r="D105" s="413">
        <f>ROUND($D$94*D100,2)</f>
        <v>0</v>
      </c>
      <c r="E105" s="409">
        <f>ROUND($E$94*D100,2)</f>
        <v>0</v>
      </c>
      <c r="F105" s="409"/>
      <c r="G105" s="409"/>
      <c r="H105" s="409"/>
      <c r="I105" s="409"/>
      <c r="J105" s="409"/>
      <c r="K105" s="409">
        <f>ROUND($K$94*D100,2)</f>
        <v>0</v>
      </c>
      <c r="L105" s="410">
        <f>SUM(C105:K105)</f>
        <v>0</v>
      </c>
      <c r="M105" s="404">
        <f>SUM(L103:L105)-N94</f>
        <v>0</v>
      </c>
    </row>
    <row r="110" spans="1:13" ht="12.75">
      <c r="A110" s="405" t="s">
        <v>214</v>
      </c>
      <c r="B110" s="451">
        <v>3.7570000000000001</v>
      </c>
    </row>
    <row r="116" spans="1:15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</row>
    <row r="117" spans="1:15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</row>
    <row r="118" spans="1:15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</row>
    <row r="119" spans="1:15" ht="12.75">
      <c r="A119" s="131"/>
      <c r="B119" s="131"/>
      <c r="C119" s="131"/>
      <c r="D119" s="131"/>
      <c r="E119" s="555"/>
      <c r="F119" s="555"/>
      <c r="G119" s="556"/>
      <c r="H119" s="131"/>
      <c r="I119" s="131"/>
      <c r="J119" s="131"/>
      <c r="K119" s="131"/>
      <c r="L119" s="131"/>
      <c r="M119" s="131"/>
      <c r="N119" s="131"/>
      <c r="O119" s="131"/>
    </row>
    <row r="120" spans="1:15" ht="12.75">
      <c r="A120" s="131"/>
      <c r="B120" s="131"/>
      <c r="C120" s="131"/>
      <c r="D120" s="131"/>
      <c r="E120" s="131"/>
      <c r="F120" s="555"/>
      <c r="G120" s="556"/>
      <c r="H120" s="131"/>
      <c r="I120" s="131"/>
      <c r="J120" s="131"/>
      <c r="K120" s="131"/>
      <c r="L120" s="131"/>
      <c r="M120" s="131"/>
      <c r="N120" s="131"/>
      <c r="O120" s="131"/>
    </row>
    <row r="121" spans="1:15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</row>
    <row r="122" spans="1:15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</row>
    <row r="123" spans="1:15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</row>
    <row r="124" spans="1:15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</row>
    <row r="125" spans="1:15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</row>
    <row r="126" spans="1:15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&#10;" sqref="T42 T38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14"/>
  <sheetViews>
    <sheetView showGridLines="0" topLeftCell="A45" zoomScale="90" zoomScaleNormal="90" workbookViewId="0">
      <selection activeCell="N65" sqref="N65"/>
    </sheetView>
  </sheetViews>
  <sheetFormatPr baseColWidth="10" defaultRowHeight="11.25"/>
  <cols>
    <col min="1" max="1" width="19.140625" style="98" customWidth="1"/>
    <col min="2" max="2" width="23.28515625" style="98" customWidth="1"/>
    <col min="3" max="3" width="15.85546875" style="98" bestFit="1" customWidth="1"/>
    <col min="4" max="4" width="16.140625" style="98" customWidth="1"/>
    <col min="5" max="5" width="14" style="98" customWidth="1"/>
    <col min="6" max="6" width="11.7109375" style="98" bestFit="1" customWidth="1"/>
    <col min="7" max="7" width="14.140625" style="98" customWidth="1"/>
    <col min="8" max="8" width="16" style="98" customWidth="1"/>
    <col min="9" max="9" width="13.140625" style="98" customWidth="1"/>
    <col min="10" max="10" width="14.85546875" style="98" customWidth="1"/>
    <col min="11" max="11" width="16.140625" style="98" customWidth="1"/>
    <col min="12" max="12" width="15.7109375" style="98" customWidth="1"/>
    <col min="13" max="13" width="14" style="98" customWidth="1"/>
    <col min="14" max="14" width="12.7109375" style="98" bestFit="1" customWidth="1"/>
    <col min="15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1.7109375" style="98" bestFit="1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>
      <c r="B1" s="576"/>
      <c r="C1" s="577"/>
      <c r="D1" s="578"/>
      <c r="E1" s="578"/>
      <c r="F1" s="578"/>
      <c r="G1" s="578"/>
      <c r="H1" s="578"/>
      <c r="J1" s="578"/>
      <c r="K1" s="578"/>
      <c r="L1" s="578"/>
      <c r="M1" s="578"/>
    </row>
    <row r="2" spans="1:19" s="130" customFormat="1" hidden="1"/>
    <row r="3" spans="1:19" s="130" customFormat="1" hidden="1"/>
    <row r="4" spans="1:19" s="130" customFormat="1" hidden="1">
      <c r="A4" s="579"/>
      <c r="B4" s="580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</row>
    <row r="5" spans="1:19" s="130" customFormat="1" ht="16.5" hidden="1">
      <c r="A5" s="582"/>
      <c r="B5" s="582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</row>
    <row r="6" spans="1:19" s="130" customFormat="1" hidden="1">
      <c r="B6" s="58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>
      <c r="B7" s="583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575"/>
      <c r="N8" s="575"/>
      <c r="O8" s="100"/>
      <c r="P8" s="100"/>
      <c r="Q8" s="100"/>
      <c r="R8" s="100"/>
    </row>
    <row r="9" spans="1:19" s="130" customFormat="1" hidden="1">
      <c r="A9" s="579"/>
      <c r="B9" s="580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</row>
    <row r="10" spans="1:19" s="130" customFormat="1" ht="16.5" hidden="1">
      <c r="A10" s="582"/>
      <c r="B10" s="582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</row>
    <row r="11" spans="1:19" s="130" customFormat="1" hidden="1">
      <c r="B11" s="583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>
      <c r="B12" s="583"/>
      <c r="C12" s="100"/>
      <c r="D12" s="100"/>
      <c r="E12" s="100"/>
      <c r="F12" s="100"/>
      <c r="G12" s="100"/>
      <c r="H12" s="584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>
      <c r="B13" s="576"/>
      <c r="C13" s="575"/>
      <c r="D13" s="575"/>
      <c r="E13" s="575"/>
      <c r="F13" s="575"/>
      <c r="G13" s="575"/>
      <c r="H13" s="575"/>
      <c r="I13" s="575"/>
      <c r="J13" s="575"/>
      <c r="K13" s="575"/>
      <c r="L13" s="575"/>
      <c r="M13" s="575"/>
      <c r="N13" s="575"/>
    </row>
    <row r="14" spans="1:19" s="130" customFormat="1" ht="16.5" hidden="1">
      <c r="B14" s="576"/>
      <c r="C14" s="575"/>
      <c r="D14" s="575"/>
      <c r="E14" s="575"/>
      <c r="F14" s="575"/>
      <c r="G14" s="575"/>
      <c r="H14" s="575"/>
      <c r="I14" s="575"/>
      <c r="J14" s="575"/>
      <c r="K14" s="575"/>
      <c r="L14" s="575"/>
      <c r="M14" s="575"/>
      <c r="N14" s="575"/>
    </row>
    <row r="15" spans="1:19" s="130" customFormat="1" hidden="1">
      <c r="A15" s="579"/>
      <c r="B15" s="580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</row>
    <row r="16" spans="1:19" s="130" customFormat="1" ht="16.5" hidden="1">
      <c r="A16" s="582"/>
      <c r="B16" s="582"/>
      <c r="C16" s="575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</row>
    <row r="17" spans="1:25" s="130" customFormat="1" hidden="1">
      <c r="B17" s="58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>
      <c r="B18" s="58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>
      <c r="A21" s="585"/>
      <c r="B21" s="586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>
      <c r="A22" s="582"/>
      <c r="B22" s="582"/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</row>
    <row r="23" spans="1:25" s="130" customFormat="1" ht="12.75" hidden="1">
      <c r="A23" s="588"/>
      <c r="B23" s="582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</row>
    <row r="24" spans="1:25" s="130" customFormat="1" hidden="1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>
      <c r="B26" s="58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>
      <c r="A27" s="588"/>
      <c r="B27" s="582"/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</row>
    <row r="28" spans="1:25" s="130" customFormat="1" hidden="1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2.75" hidden="1">
      <c r="C32" s="100"/>
      <c r="D32" s="100"/>
      <c r="N32" s="100"/>
      <c r="O32" s="47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2.75" hidden="1">
      <c r="C33" s="100"/>
      <c r="D33" s="100"/>
      <c r="N33" s="100"/>
      <c r="O33" s="47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idden="1">
      <c r="B34" s="58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idden="1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5" customHeight="1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>
      <c r="A38" s="414">
        <v>212303</v>
      </c>
      <c r="B38" s="103" t="s">
        <v>195</v>
      </c>
      <c r="C38" s="231">
        <v>299867.71000000002</v>
      </c>
      <c r="D38" s="231">
        <v>248708.66</v>
      </c>
      <c r="E38" s="231">
        <v>327545.01</v>
      </c>
      <c r="F38" s="231">
        <v>340815.33</v>
      </c>
      <c r="G38" s="231">
        <v>365094.57</v>
      </c>
      <c r="H38" s="231">
        <v>180127.27</v>
      </c>
      <c r="I38" s="231">
        <v>251437.44</v>
      </c>
      <c r="J38" s="231">
        <v>396603.19</v>
      </c>
      <c r="K38" s="231">
        <v>791135.73</v>
      </c>
      <c r="L38" s="231">
        <v>384885.05</v>
      </c>
      <c r="M38" s="231"/>
      <c r="N38" s="232">
        <f>SUM(C38:M38)</f>
        <v>3586219.96</v>
      </c>
      <c r="O38" s="80"/>
      <c r="P38" s="100"/>
      <c r="Q38" s="100"/>
      <c r="R38" s="100"/>
      <c r="S38" s="132"/>
      <c r="T38" s="135"/>
      <c r="U38" s="132"/>
    </row>
    <row r="39" spans="1:23" s="131" customFormat="1" ht="12.75">
      <c r="A39" s="415">
        <v>2127</v>
      </c>
      <c r="B39" s="103" t="s">
        <v>196</v>
      </c>
      <c r="C39" s="231">
        <v>8821.5300000000007</v>
      </c>
      <c r="D39" s="231">
        <v>45852.13</v>
      </c>
      <c r="E39" s="231">
        <v>7997.8</v>
      </c>
      <c r="F39" s="231">
        <v>1775.66</v>
      </c>
      <c r="G39" s="231">
        <v>10893.36</v>
      </c>
      <c r="H39" s="231">
        <v>33876.82</v>
      </c>
      <c r="I39" s="231">
        <v>30906.68</v>
      </c>
      <c r="J39" s="231">
        <v>35045.82</v>
      </c>
      <c r="K39" s="231">
        <v>8724.5300000000007</v>
      </c>
      <c r="L39" s="231">
        <v>0</v>
      </c>
      <c r="M39" s="231"/>
      <c r="N39" s="232">
        <f>SUM(C39:M39)</f>
        <v>183894.33000000002</v>
      </c>
      <c r="O39" s="80"/>
      <c r="P39" s="100"/>
      <c r="Q39" s="100"/>
      <c r="R39" s="100"/>
      <c r="S39" s="132"/>
      <c r="T39" s="132"/>
      <c r="U39" s="130"/>
      <c r="V39" s="130"/>
      <c r="W39" s="130"/>
    </row>
    <row r="40" spans="1:23" ht="12.75">
      <c r="B40" s="105" t="s">
        <v>197</v>
      </c>
      <c r="C40" s="231">
        <f t="shared" ref="C40:N40" si="0">+C39+C38</f>
        <v>308689.24000000005</v>
      </c>
      <c r="D40" s="231">
        <f t="shared" si="0"/>
        <v>294560.78999999998</v>
      </c>
      <c r="E40" s="231">
        <f t="shared" si="0"/>
        <v>335542.81</v>
      </c>
      <c r="F40" s="231">
        <f t="shared" si="0"/>
        <v>342590.99</v>
      </c>
      <c r="G40" s="231">
        <f t="shared" si="0"/>
        <v>375987.93</v>
      </c>
      <c r="H40" s="231">
        <f t="shared" si="0"/>
        <v>214004.09</v>
      </c>
      <c r="I40" s="231">
        <f t="shared" si="0"/>
        <v>282344.12</v>
      </c>
      <c r="J40" s="231">
        <f t="shared" si="0"/>
        <v>431649.01</v>
      </c>
      <c r="K40" s="231">
        <f t="shared" si="0"/>
        <v>799860.26</v>
      </c>
      <c r="L40" s="229">
        <f t="shared" si="0"/>
        <v>384885.05</v>
      </c>
      <c r="M40" s="229">
        <f t="shared" si="0"/>
        <v>0</v>
      </c>
      <c r="N40" s="232">
        <f t="shared" si="0"/>
        <v>3770114.29</v>
      </c>
      <c r="O40" s="99"/>
      <c r="P40" s="100"/>
    </row>
    <row r="41" spans="1:23"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34"/>
      <c r="O41" s="99"/>
      <c r="P41" s="100"/>
    </row>
    <row r="42" spans="1:23" s="131" customFormat="1" ht="12.75">
      <c r="A42" s="101">
        <v>2122</v>
      </c>
      <c r="B42" s="103" t="s">
        <v>198</v>
      </c>
      <c r="C42" s="231">
        <f>+Ahorro2102!M280</f>
        <v>106876.55424821519</v>
      </c>
      <c r="D42" s="231">
        <f>+Ahorro2102!M281</f>
        <v>44269.718269314559</v>
      </c>
      <c r="E42" s="231">
        <f>+Ahorro2102!M282</f>
        <v>33969.34957827031</v>
      </c>
      <c r="F42" s="231"/>
      <c r="G42" s="231"/>
      <c r="H42" s="231"/>
      <c r="I42" s="231"/>
      <c r="J42" s="231"/>
      <c r="K42" s="231">
        <f>+Ahorro2102!M283</f>
        <v>787743.05790419993</v>
      </c>
      <c r="L42" s="231"/>
      <c r="M42" s="232"/>
      <c r="N42" s="232">
        <f>SUM(C42:M42)</f>
        <v>972858.67999999993</v>
      </c>
      <c r="O42" s="80"/>
      <c r="P42" s="100"/>
      <c r="Q42" s="100"/>
      <c r="R42" s="100"/>
      <c r="S42" s="132"/>
      <c r="T42" s="100"/>
      <c r="U42" s="132"/>
    </row>
    <row r="43" spans="1:23" s="131" customFormat="1" ht="12.75">
      <c r="A43" s="107">
        <v>212305</v>
      </c>
      <c r="B43" s="103" t="s">
        <v>199</v>
      </c>
      <c r="C43" s="231">
        <f>+'CTS210305'!M280</f>
        <v>50166.388340647172</v>
      </c>
      <c r="D43" s="231">
        <f>+'CTS210305'!M281</f>
        <v>20779.598425971577</v>
      </c>
      <c r="E43" s="231">
        <f>+'CTS210305'!M282</f>
        <v>15944.746671613088</v>
      </c>
      <c r="F43" s="231"/>
      <c r="G43" s="231"/>
      <c r="H43" s="231"/>
      <c r="I43" s="231"/>
      <c r="J43" s="231"/>
      <c r="K43" s="231">
        <f>+'CTS210305'!M283</f>
        <v>889346.48656176811</v>
      </c>
      <c r="L43" s="231"/>
      <c r="M43" s="232"/>
      <c r="N43" s="232">
        <f>SUM(C43:M43)</f>
        <v>976237.22</v>
      </c>
      <c r="O43" s="80"/>
      <c r="P43" s="100"/>
      <c r="Q43" s="100"/>
      <c r="R43" s="100"/>
      <c r="S43" s="132"/>
      <c r="T43" s="100"/>
      <c r="U43" s="132"/>
    </row>
    <row r="44" spans="1:23" s="131" customFormat="1" ht="12.75">
      <c r="A44" s="107">
        <v>212701</v>
      </c>
      <c r="B44" s="103" t="s">
        <v>303</v>
      </c>
      <c r="C44" s="231">
        <f>+DepInmov210701!M280</f>
        <v>112068.44621397782</v>
      </c>
      <c r="D44" s="231">
        <f>+DepInmov210701!M281</f>
        <v>46420.270335909358</v>
      </c>
      <c r="E44" s="231">
        <f>+DepInmov210701!M282</f>
        <v>0</v>
      </c>
      <c r="F44" s="231"/>
      <c r="G44" s="231"/>
      <c r="H44" s="231"/>
      <c r="I44" s="231"/>
      <c r="J44" s="231"/>
      <c r="K44" s="231">
        <f>+DepInmov210701!M283</f>
        <v>133212.99755011281</v>
      </c>
      <c r="L44" s="231"/>
      <c r="M44" s="232"/>
      <c r="N44" s="232">
        <f>SUM(C44:M44)</f>
        <v>291701.71409999998</v>
      </c>
      <c r="O44" s="80"/>
      <c r="P44" s="100"/>
      <c r="Q44" s="100"/>
      <c r="R44" s="100"/>
      <c r="S44" s="132"/>
      <c r="T44" s="100"/>
      <c r="U44" s="132"/>
    </row>
    <row r="45" spans="1:23" ht="12.75">
      <c r="B45" s="105" t="s">
        <v>200</v>
      </c>
      <c r="C45" s="229">
        <f t="shared" ref="C45:N45" si="1">SUM(C42:C44)</f>
        <v>269111.3888028402</v>
      </c>
      <c r="D45" s="229">
        <f t="shared" si="1"/>
        <v>111469.58703119549</v>
      </c>
      <c r="E45" s="229">
        <f t="shared" si="1"/>
        <v>49914.096249883398</v>
      </c>
      <c r="F45" s="229">
        <f t="shared" si="1"/>
        <v>0</v>
      </c>
      <c r="G45" s="229">
        <f t="shared" si="1"/>
        <v>0</v>
      </c>
      <c r="H45" s="229">
        <f t="shared" si="1"/>
        <v>0</v>
      </c>
      <c r="I45" s="229">
        <f t="shared" si="1"/>
        <v>0</v>
      </c>
      <c r="J45" s="229">
        <f t="shared" si="1"/>
        <v>0</v>
      </c>
      <c r="K45" s="229">
        <f t="shared" si="1"/>
        <v>1810302.5420160808</v>
      </c>
      <c r="L45" s="229">
        <f t="shared" si="1"/>
        <v>0</v>
      </c>
      <c r="M45" s="229">
        <f t="shared" si="1"/>
        <v>0</v>
      </c>
      <c r="N45" s="232">
        <f t="shared" si="1"/>
        <v>2240797.6140999999</v>
      </c>
      <c r="O45" s="99"/>
      <c r="P45" s="100"/>
    </row>
    <row r="46" spans="1:23"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34"/>
      <c r="Q46" s="133"/>
      <c r="R46" s="133"/>
    </row>
    <row r="47" spans="1:23" ht="12.75">
      <c r="B47" s="108" t="s">
        <v>197</v>
      </c>
      <c r="C47" s="229">
        <f t="shared" ref="C47:M47" si="2">+C40</f>
        <v>308689.24000000005</v>
      </c>
      <c r="D47" s="229">
        <f t="shared" si="2"/>
        <v>294560.78999999998</v>
      </c>
      <c r="E47" s="229">
        <f t="shared" si="2"/>
        <v>335542.81</v>
      </c>
      <c r="F47" s="229">
        <f t="shared" si="2"/>
        <v>342590.99</v>
      </c>
      <c r="G47" s="229">
        <f t="shared" si="2"/>
        <v>375987.93</v>
      </c>
      <c r="H47" s="229">
        <f t="shared" si="2"/>
        <v>214004.09</v>
      </c>
      <c r="I47" s="229">
        <f t="shared" si="2"/>
        <v>282344.12</v>
      </c>
      <c r="J47" s="229">
        <f t="shared" si="2"/>
        <v>431649.01</v>
      </c>
      <c r="K47" s="229">
        <f t="shared" si="2"/>
        <v>799860.26</v>
      </c>
      <c r="L47" s="229">
        <f t="shared" si="2"/>
        <v>384885.05</v>
      </c>
      <c r="M47" s="229">
        <f t="shared" si="2"/>
        <v>0</v>
      </c>
      <c r="N47" s="232">
        <f>SUM(C47:M47)</f>
        <v>3770114.29</v>
      </c>
      <c r="Q47" s="133"/>
      <c r="R47" s="133"/>
    </row>
    <row r="48" spans="1:23" ht="12.75">
      <c r="B48" s="108" t="s">
        <v>200</v>
      </c>
      <c r="C48" s="229">
        <f t="shared" ref="C48:M48" si="3">+C45</f>
        <v>269111.3888028402</v>
      </c>
      <c r="D48" s="229">
        <f t="shared" si="3"/>
        <v>111469.58703119549</v>
      </c>
      <c r="E48" s="229">
        <f t="shared" si="3"/>
        <v>49914.096249883398</v>
      </c>
      <c r="F48" s="229">
        <f t="shared" si="3"/>
        <v>0</v>
      </c>
      <c r="G48" s="229">
        <f t="shared" si="3"/>
        <v>0</v>
      </c>
      <c r="H48" s="229">
        <f t="shared" si="3"/>
        <v>0</v>
      </c>
      <c r="I48" s="229">
        <f t="shared" si="3"/>
        <v>0</v>
      </c>
      <c r="J48" s="229">
        <f t="shared" si="3"/>
        <v>0</v>
      </c>
      <c r="K48" s="229">
        <f t="shared" si="3"/>
        <v>1810302.5420160808</v>
      </c>
      <c r="L48" s="229">
        <f t="shared" si="3"/>
        <v>0</v>
      </c>
      <c r="M48" s="229">
        <f t="shared" si="3"/>
        <v>0</v>
      </c>
      <c r="N48" s="232">
        <f>SUM(C48:M48)</f>
        <v>2240797.6140999999</v>
      </c>
      <c r="Q48" s="133"/>
      <c r="R48" s="133"/>
    </row>
    <row r="49" spans="1:18" ht="12.75">
      <c r="B49" s="108"/>
      <c r="C49" s="229">
        <f t="shared" ref="C49:M49" si="4">SUM(C47:C48)</f>
        <v>577800.62880284025</v>
      </c>
      <c r="D49" s="229">
        <f t="shared" si="4"/>
        <v>406030.37703119544</v>
      </c>
      <c r="E49" s="229">
        <f t="shared" si="4"/>
        <v>385456.90624988341</v>
      </c>
      <c r="F49" s="229">
        <f t="shared" si="4"/>
        <v>342590.99</v>
      </c>
      <c r="G49" s="229">
        <f t="shared" si="4"/>
        <v>375987.93</v>
      </c>
      <c r="H49" s="229">
        <f t="shared" si="4"/>
        <v>214004.09</v>
      </c>
      <c r="I49" s="229">
        <f t="shared" si="4"/>
        <v>282344.12</v>
      </c>
      <c r="J49" s="229">
        <f t="shared" si="4"/>
        <v>431649.01</v>
      </c>
      <c r="K49" s="229">
        <f t="shared" si="4"/>
        <v>2610162.8020160808</v>
      </c>
      <c r="L49" s="229">
        <f t="shared" si="4"/>
        <v>384885.05</v>
      </c>
      <c r="M49" s="229">
        <f t="shared" si="4"/>
        <v>0</v>
      </c>
      <c r="N49" s="232">
        <f>SUM(C49:M49)</f>
        <v>6010911.9040999999</v>
      </c>
      <c r="O49" s="99"/>
      <c r="Q49" s="133"/>
      <c r="R49" s="133"/>
    </row>
    <row r="50" spans="1:18" ht="12.75">
      <c r="B50" s="80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100"/>
      <c r="Q50" s="133"/>
      <c r="R50" s="133"/>
    </row>
    <row r="51" spans="1:18" customFormat="1" ht="12.75">
      <c r="A51" s="312" t="s">
        <v>304</v>
      </c>
      <c r="B51" s="834">
        <v>14781.03</v>
      </c>
      <c r="C51" s="325">
        <f t="shared" ref="C51:M51" si="5">+C49/$N$49</f>
        <v>9.6125286482526315E-2</v>
      </c>
      <c r="D51" s="109">
        <f t="shared" si="5"/>
        <v>6.7548881685363757E-2</v>
      </c>
      <c r="E51" s="109">
        <f t="shared" si="5"/>
        <v>6.4126194560756411E-2</v>
      </c>
      <c r="F51" s="109">
        <f t="shared" si="5"/>
        <v>5.6994844620218296E-2</v>
      </c>
      <c r="G51" s="109">
        <f t="shared" si="5"/>
        <v>6.2550896768848216E-2</v>
      </c>
      <c r="H51" s="109">
        <f t="shared" si="5"/>
        <v>3.5602599641167479E-2</v>
      </c>
      <c r="I51" s="109">
        <f t="shared" si="5"/>
        <v>4.6971927804733769E-2</v>
      </c>
      <c r="J51" s="109">
        <f t="shared" si="5"/>
        <v>7.1810902719365313E-2</v>
      </c>
      <c r="K51" s="109">
        <f t="shared" si="5"/>
        <v>0.43423740751144724</v>
      </c>
      <c r="L51" s="109">
        <f t="shared" si="5"/>
        <v>6.4031058205573213E-2</v>
      </c>
      <c r="M51" s="109">
        <f t="shared" si="5"/>
        <v>0</v>
      </c>
      <c r="N51" s="232">
        <f>SUM(C51:M51)</f>
        <v>1</v>
      </c>
      <c r="O51" s="99"/>
    </row>
    <row r="52" spans="1:18" customFormat="1" ht="11.25" customHeight="1">
      <c r="A52" s="324" t="s">
        <v>306</v>
      </c>
      <c r="B52" s="834">
        <v>919355.18</v>
      </c>
      <c r="N52" s="71"/>
    </row>
    <row r="53" spans="1:18" customFormat="1" ht="12.75">
      <c r="B53" s="197"/>
      <c r="N53" s="71"/>
    </row>
    <row r="54" spans="1:18" customFormat="1" ht="16.5" customHeight="1">
      <c r="A54" s="326" t="s">
        <v>291</v>
      </c>
      <c r="C54" s="39" t="s">
        <v>12</v>
      </c>
      <c r="D54" s="39" t="s">
        <v>13</v>
      </c>
      <c r="E54" s="39" t="s">
        <v>14</v>
      </c>
      <c r="F54" s="39" t="s">
        <v>15</v>
      </c>
      <c r="G54" s="39" t="s">
        <v>16</v>
      </c>
      <c r="H54" s="39" t="s">
        <v>17</v>
      </c>
      <c r="I54" s="39" t="s">
        <v>18</v>
      </c>
      <c r="J54" s="39" t="s">
        <v>19</v>
      </c>
      <c r="K54" s="39" t="s">
        <v>141</v>
      </c>
      <c r="L54" s="39" t="s">
        <v>142</v>
      </c>
      <c r="M54" s="39" t="s">
        <v>143</v>
      </c>
      <c r="N54" s="39" t="s">
        <v>20</v>
      </c>
    </row>
    <row r="55" spans="1:18" s="80" customFormat="1" ht="12.75">
      <c r="A55" s="314">
        <v>1127</v>
      </c>
      <c r="B55" s="838">
        <v>15188.44</v>
      </c>
      <c r="C55" s="231">
        <f>ROUND((($B$52)*C51),2)+B51</f>
        <v>103154.31</v>
      </c>
      <c r="D55" s="403">
        <f>ROUND((($B$52)*D51),2)</f>
        <v>62101.41</v>
      </c>
      <c r="E55" s="403">
        <f>ROUND((($B$52)*E51),2)</f>
        <v>58954.75</v>
      </c>
      <c r="F55" s="403">
        <f t="shared" ref="F55:M55" si="6">ROUND((($B$52)*F51),2)</f>
        <v>52398.51</v>
      </c>
      <c r="G55" s="403">
        <f t="shared" si="6"/>
        <v>57506.49</v>
      </c>
      <c r="H55" s="403">
        <f t="shared" si="6"/>
        <v>32731.43</v>
      </c>
      <c r="I55" s="403">
        <f t="shared" si="6"/>
        <v>43183.89</v>
      </c>
      <c r="J55" s="403">
        <f t="shared" si="6"/>
        <v>66019.73</v>
      </c>
      <c r="K55" s="403">
        <f t="shared" si="6"/>
        <v>399218.41</v>
      </c>
      <c r="L55" s="403">
        <f t="shared" si="6"/>
        <v>58867.29</v>
      </c>
      <c r="M55" s="403">
        <f t="shared" si="6"/>
        <v>0</v>
      </c>
      <c r="N55" s="238">
        <f>SUM(C55:M55)</f>
        <v>934136.22</v>
      </c>
      <c r="O55" s="87">
        <f>+B52+B51-N55</f>
        <v>-9.9999998928979039E-3</v>
      </c>
    </row>
    <row r="56" spans="1:18" ht="12.75">
      <c r="A56" s="314" t="s">
        <v>309</v>
      </c>
      <c r="B56" s="839">
        <v>369804.5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100"/>
    </row>
    <row r="57" spans="1:18" ht="12.75">
      <c r="A57" s="314" t="s">
        <v>310</v>
      </c>
      <c r="B57" s="839">
        <v>494063.27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100"/>
    </row>
    <row r="58" spans="1:18" ht="12.75">
      <c r="A58" s="314">
        <v>1121</v>
      </c>
      <c r="B58" s="839">
        <v>378765.93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100"/>
    </row>
    <row r="59" spans="1:18" ht="12.75">
      <c r="A59" s="314">
        <v>1125</v>
      </c>
      <c r="B59" s="837">
        <v>0</v>
      </c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100"/>
    </row>
    <row r="60" spans="1:18" ht="12.75">
      <c r="A60" s="314">
        <v>1126</v>
      </c>
      <c r="B60" s="839">
        <v>0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100"/>
    </row>
    <row r="61" spans="1:18" ht="12.75">
      <c r="A61" s="314">
        <v>1128</v>
      </c>
      <c r="B61" s="839">
        <v>782.5</v>
      </c>
      <c r="C61" s="230">
        <f>+B62-B52-B51</f>
        <v>309279.98999999987</v>
      </c>
    </row>
    <row r="62" spans="1:18" ht="12.75">
      <c r="A62" s="315" t="s">
        <v>20</v>
      </c>
      <c r="B62" s="416">
        <f>SUM(B55:B61)-B55</f>
        <v>1243416.2</v>
      </c>
      <c r="C62" s="230">
        <f>+B62-N65</f>
        <v>-1.0000000009313226E-2</v>
      </c>
    </row>
    <row r="64" spans="1:18" ht="11.25" customHeight="1">
      <c r="C64" s="327" t="s">
        <v>12</v>
      </c>
      <c r="D64" s="327" t="s">
        <v>13</v>
      </c>
      <c r="E64" s="327" t="s">
        <v>14</v>
      </c>
      <c r="F64" s="327" t="s">
        <v>15</v>
      </c>
      <c r="G64" s="327" t="s">
        <v>16</v>
      </c>
      <c r="H64" s="327" t="s">
        <v>17</v>
      </c>
      <c r="I64" s="327" t="s">
        <v>18</v>
      </c>
      <c r="J64" s="327" t="s">
        <v>19</v>
      </c>
      <c r="K64" s="327" t="s">
        <v>141</v>
      </c>
      <c r="L64" s="327" t="s">
        <v>142</v>
      </c>
      <c r="M64" s="327" t="s">
        <v>143</v>
      </c>
      <c r="N64" s="39" t="s">
        <v>20</v>
      </c>
    </row>
    <row r="65" spans="1:16" ht="12.75">
      <c r="B65" s="561" t="s">
        <v>206</v>
      </c>
      <c r="C65" s="229">
        <f>IF(C61&lt;0,C55+(C61*C51),C55)</f>
        <v>103154.31</v>
      </c>
      <c r="D65" s="229">
        <f>IF(C61&lt;0,D55+(C61*D51),D55)</f>
        <v>62101.41</v>
      </c>
      <c r="E65" s="229">
        <f>IF(C61&lt;0,E55+(C61*E51),E55)</f>
        <v>58954.75</v>
      </c>
      <c r="F65" s="229">
        <f>IF(C61&lt;0,F55+(C61*F51),F55)</f>
        <v>52398.51</v>
      </c>
      <c r="G65" s="229">
        <f>IF(C61&lt;0,G55+(C61*G51),G55)</f>
        <v>57506.49</v>
      </c>
      <c r="H65" s="229">
        <f>IF(C61&lt;0,H55+(C61*H51),H55)</f>
        <v>32731.43</v>
      </c>
      <c r="I65" s="229">
        <f>IF(C61&lt;0,I55+(C61*I51),I55)</f>
        <v>43183.89</v>
      </c>
      <c r="J65" s="229">
        <f>IF(C61&lt;0,J55+(C61*J51),J55)</f>
        <v>66019.73</v>
      </c>
      <c r="K65" s="229">
        <f>IF(C61&lt;0,K55+(C61*K51),K55 +C61)</f>
        <v>708498.39999999991</v>
      </c>
      <c r="L65" s="229">
        <f>IF(C61&lt;0,L55+(C61*L51),L55)</f>
        <v>58867.29</v>
      </c>
      <c r="M65" s="229">
        <f>IF(C61&lt;0,M55+(C61*M51),M55)</f>
        <v>0</v>
      </c>
      <c r="N65" s="238">
        <f>SUM(C65:M65)</f>
        <v>1243416.21</v>
      </c>
      <c r="O65" s="99"/>
      <c r="P65" s="99"/>
    </row>
    <row r="70" spans="1:16" s="120" customFormat="1" ht="12">
      <c r="A70" s="305"/>
      <c r="B70" s="305"/>
      <c r="C70" s="306" t="s">
        <v>211</v>
      </c>
      <c r="D70" s="306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>
      <c r="A71" s="405" t="s">
        <v>207</v>
      </c>
      <c r="B71" s="411" t="s">
        <v>208</v>
      </c>
      <c r="C71" s="419">
        <v>463399.42</v>
      </c>
      <c r="D71" s="317">
        <f>C71/$C$74</f>
        <v>0.47632757435717615</v>
      </c>
      <c r="E71" s="123"/>
      <c r="F71" s="123"/>
      <c r="G71" s="123"/>
      <c r="H71" s="124"/>
      <c r="I71" s="124"/>
      <c r="J71" s="124"/>
      <c r="K71" s="124"/>
    </row>
    <row r="72" spans="1:16" s="120" customFormat="1" ht="12.75">
      <c r="A72" s="405"/>
      <c r="B72" s="411" t="s">
        <v>209</v>
      </c>
      <c r="C72" s="419">
        <v>138193.03</v>
      </c>
      <c r="D72" s="317">
        <f>C72/$C$74</f>
        <v>0.14204840992888701</v>
      </c>
      <c r="E72" s="123"/>
      <c r="F72" s="123"/>
      <c r="G72" s="123"/>
      <c r="H72" s="124"/>
      <c r="I72" s="124"/>
      <c r="J72" s="124"/>
      <c r="K72" s="124"/>
    </row>
    <row r="73" spans="1:16" s="120" customFormat="1" ht="12.75">
      <c r="A73" s="405"/>
      <c r="B73" s="411" t="s">
        <v>210</v>
      </c>
      <c r="C73" s="419">
        <v>371266.24</v>
      </c>
      <c r="D73" s="317">
        <f>C73/$C$74</f>
        <v>0.38162401571393684</v>
      </c>
      <c r="E73" s="123"/>
      <c r="F73" s="123"/>
      <c r="G73" s="123"/>
      <c r="H73" s="124"/>
      <c r="I73" s="124"/>
      <c r="J73" s="124"/>
      <c r="K73" s="123"/>
    </row>
    <row r="74" spans="1:16" s="120" customFormat="1" ht="12.75">
      <c r="A74" s="417"/>
      <c r="B74" s="418"/>
      <c r="C74" s="409">
        <f>C71+C72+C73</f>
        <v>972858.69</v>
      </c>
      <c r="D74" s="405">
        <f>SUM(D71:D73)</f>
        <v>1</v>
      </c>
      <c r="E74" s="123"/>
      <c r="F74" s="123"/>
      <c r="G74" s="123"/>
      <c r="H74" s="124"/>
      <c r="I74" s="124"/>
      <c r="J74" s="124"/>
      <c r="K74" s="124"/>
    </row>
    <row r="75" spans="1:16" s="120" customFormat="1" ht="12.75">
      <c r="A75" s="417"/>
      <c r="B75" s="418"/>
      <c r="C75" s="328" t="s">
        <v>12</v>
      </c>
      <c r="D75" s="328" t="s">
        <v>13</v>
      </c>
      <c r="E75" s="328" t="s">
        <v>14</v>
      </c>
      <c r="F75" s="328" t="s">
        <v>15</v>
      </c>
      <c r="G75" s="328" t="s">
        <v>16</v>
      </c>
      <c r="H75" s="328" t="s">
        <v>17</v>
      </c>
      <c r="I75" s="328" t="s">
        <v>18</v>
      </c>
      <c r="J75" s="328" t="s">
        <v>19</v>
      </c>
      <c r="K75" s="328" t="s">
        <v>141</v>
      </c>
      <c r="L75" s="237" t="s">
        <v>20</v>
      </c>
    </row>
    <row r="76" spans="1:16" s="120" customFormat="1" ht="12.75">
      <c r="A76" s="405" t="s">
        <v>207</v>
      </c>
      <c r="B76" s="411" t="s">
        <v>208</v>
      </c>
      <c r="C76" s="409">
        <f>$C$42*D71</f>
        <v>50908.249840705495</v>
      </c>
      <c r="D76" s="413">
        <f>$D$42*D71</f>
        <v>21086.887520698168</v>
      </c>
      <c r="E76" s="408">
        <f>$E$42*D71</f>
        <v>16180.537887108461</v>
      </c>
      <c r="F76" s="408"/>
      <c r="G76" s="408"/>
      <c r="H76" s="408"/>
      <c r="I76" s="408"/>
      <c r="J76" s="408"/>
      <c r="K76" s="408">
        <f>$K$42*D71</f>
        <v>375223.73998821212</v>
      </c>
      <c r="L76" s="410">
        <f>SUM(C76:K76)</f>
        <v>463399.41523672425</v>
      </c>
    </row>
    <row r="77" spans="1:16" s="120" customFormat="1" ht="12.75">
      <c r="A77" s="405"/>
      <c r="B77" s="411" t="s">
        <v>209</v>
      </c>
      <c r="C77" s="409">
        <f>$C$42*D72</f>
        <v>15181.644589637403</v>
      </c>
      <c r="D77" s="413">
        <f>$D$42*D72</f>
        <v>6288.4430881559329</v>
      </c>
      <c r="E77" s="409">
        <f>$E$42*D72</f>
        <v>4825.2920939118058</v>
      </c>
      <c r="F77" s="409"/>
      <c r="G77" s="409"/>
      <c r="H77" s="409"/>
      <c r="I77" s="409"/>
      <c r="J77" s="409"/>
      <c r="K77" s="409">
        <f>$K$42*D72</f>
        <v>111897.64880781076</v>
      </c>
      <c r="L77" s="410">
        <f>SUM(C77:K77)</f>
        <v>138193.0285795159</v>
      </c>
    </row>
    <row r="78" spans="1:16" s="120" customFormat="1" ht="12.75">
      <c r="A78" s="405"/>
      <c r="B78" s="411" t="s">
        <v>210</v>
      </c>
      <c r="C78" s="409">
        <f>$C$42*D73</f>
        <v>40786.6598178723</v>
      </c>
      <c r="D78" s="413">
        <f>$D$42*D73</f>
        <v>16894.387660460456</v>
      </c>
      <c r="E78" s="409">
        <f>$E$42*D73</f>
        <v>12963.519597250042</v>
      </c>
      <c r="F78" s="409"/>
      <c r="G78" s="409"/>
      <c r="H78" s="409"/>
      <c r="I78" s="409"/>
      <c r="J78" s="409"/>
      <c r="K78" s="409">
        <f>$K$42*D73</f>
        <v>300621.66910817707</v>
      </c>
      <c r="L78" s="410">
        <f>SUM(C78:K78)</f>
        <v>371266.23618375987</v>
      </c>
      <c r="M78" s="316">
        <f>SUM(L76:L78)-N42</f>
        <v>0</v>
      </c>
    </row>
    <row r="79" spans="1:16" s="120" customFormat="1" ht="12">
      <c r="B79" s="301"/>
      <c r="C79" s="150"/>
      <c r="D79" s="150"/>
      <c r="E79" s="332"/>
      <c r="F79" s="332"/>
      <c r="G79" s="332"/>
      <c r="H79" s="332"/>
      <c r="I79" s="332"/>
      <c r="J79" s="332"/>
      <c r="K79" s="332"/>
    </row>
    <row r="80" spans="1:16" s="120" customFormat="1" ht="12">
      <c r="B80" s="301"/>
      <c r="C80" s="150"/>
      <c r="D80" s="150"/>
      <c r="E80" s="332"/>
      <c r="F80" s="332"/>
      <c r="G80" s="332"/>
      <c r="H80" s="332"/>
      <c r="I80" s="332"/>
      <c r="J80" s="332"/>
      <c r="K80" s="332"/>
    </row>
    <row r="81" spans="1:14" s="120" customFormat="1" ht="12">
      <c r="A81" s="305"/>
      <c r="B81" s="306"/>
      <c r="C81" s="307" t="s">
        <v>211</v>
      </c>
      <c r="D81" s="307" t="s">
        <v>212</v>
      </c>
      <c r="E81" s="332"/>
      <c r="F81" s="332"/>
      <c r="G81" s="332"/>
      <c r="H81" s="332"/>
      <c r="I81" s="332"/>
      <c r="J81" s="332"/>
      <c r="K81" s="332"/>
    </row>
    <row r="82" spans="1:14" s="120" customFormat="1" ht="12.75">
      <c r="A82" s="405" t="s">
        <v>213</v>
      </c>
      <c r="B82" s="411" t="s">
        <v>208</v>
      </c>
      <c r="C82" s="419">
        <v>765926.24</v>
      </c>
      <c r="D82" s="317">
        <f>C82/$C$85</f>
        <v>0.78456979954114026</v>
      </c>
      <c r="E82" s="332"/>
      <c r="F82" s="332"/>
      <c r="G82" s="332"/>
      <c r="H82" s="332"/>
      <c r="I82" s="332"/>
      <c r="J82" s="332"/>
      <c r="K82" s="332"/>
    </row>
    <row r="83" spans="1:14" s="120" customFormat="1" ht="12.75">
      <c r="A83" s="405"/>
      <c r="B83" s="411" t="s">
        <v>209</v>
      </c>
      <c r="C83" s="419">
        <v>45600.62</v>
      </c>
      <c r="D83" s="317">
        <f>C83/$C$85</f>
        <v>4.6710593558397621E-2</v>
      </c>
      <c r="E83" s="332"/>
      <c r="F83" s="332"/>
      <c r="G83" s="332"/>
      <c r="H83" s="332"/>
      <c r="I83" s="332"/>
      <c r="J83" s="332"/>
      <c r="K83" s="332"/>
    </row>
    <row r="84" spans="1:14" s="120" customFormat="1" ht="12.75">
      <c r="A84" s="405"/>
      <c r="B84" s="411" t="s">
        <v>210</v>
      </c>
      <c r="C84" s="419">
        <v>164710.35999999999</v>
      </c>
      <c r="D84" s="317">
        <f>C84/$C$85</f>
        <v>0.16871960690046214</v>
      </c>
      <c r="E84" s="332"/>
      <c r="F84" s="332"/>
      <c r="G84" s="332"/>
      <c r="H84" s="332"/>
      <c r="I84" s="332"/>
      <c r="J84" s="332"/>
      <c r="K84" s="332"/>
    </row>
    <row r="85" spans="1:14" s="120" customFormat="1" ht="12.75">
      <c r="A85" s="405"/>
      <c r="B85" s="411"/>
      <c r="C85" s="409">
        <f>C82+C83+C84</f>
        <v>976237.22</v>
      </c>
      <c r="D85" s="405">
        <f>SUM(D82:D84)</f>
        <v>1</v>
      </c>
      <c r="E85" s="332"/>
      <c r="F85" s="332"/>
      <c r="G85" s="332"/>
      <c r="H85" s="332"/>
      <c r="I85" s="332"/>
      <c r="J85" s="332"/>
      <c r="K85" s="332"/>
    </row>
    <row r="86" spans="1:14" s="120" customFormat="1" ht="12.75">
      <c r="A86" s="405"/>
      <c r="B86" s="411"/>
      <c r="C86" s="328" t="s">
        <v>12</v>
      </c>
      <c r="D86" s="328" t="s">
        <v>13</v>
      </c>
      <c r="E86" s="328" t="s">
        <v>14</v>
      </c>
      <c r="F86" s="328" t="s">
        <v>15</v>
      </c>
      <c r="G86" s="328" t="s">
        <v>16</v>
      </c>
      <c r="H86" s="328" t="s">
        <v>17</v>
      </c>
      <c r="I86" s="328" t="s">
        <v>18</v>
      </c>
      <c r="J86" s="328" t="s">
        <v>19</v>
      </c>
      <c r="K86" s="328" t="s">
        <v>141</v>
      </c>
      <c r="L86" s="237" t="s">
        <v>20</v>
      </c>
    </row>
    <row r="87" spans="1:14" s="120" customFormat="1" ht="12.75">
      <c r="A87" s="405" t="s">
        <v>213</v>
      </c>
      <c r="B87" s="411" t="s">
        <v>208</v>
      </c>
      <c r="C87" s="413">
        <f>$C$43*D82</f>
        <v>39359.033244124548</v>
      </c>
      <c r="D87" s="413">
        <f>$D$43*D82</f>
        <v>16303.045371609915</v>
      </c>
      <c r="E87" s="409">
        <f>$E$43*D82</f>
        <v>12509.766699881744</v>
      </c>
      <c r="F87" s="409"/>
      <c r="G87" s="409"/>
      <c r="H87" s="409"/>
      <c r="I87" s="409"/>
      <c r="J87" s="409"/>
      <c r="K87" s="409">
        <f>$K$43*D82</f>
        <v>697754.39468438376</v>
      </c>
      <c r="L87" s="410">
        <f>SUM(C87:K87)</f>
        <v>765926.24</v>
      </c>
    </row>
    <row r="88" spans="1:14" s="120" customFormat="1" ht="12.75">
      <c r="A88" s="405"/>
      <c r="B88" s="411" t="s">
        <v>209</v>
      </c>
      <c r="C88" s="413">
        <f>$C$43*D83</f>
        <v>2343.3017760727075</v>
      </c>
      <c r="D88" s="413">
        <f>$D$43*D83</f>
        <v>970.62737638227725</v>
      </c>
      <c r="E88" s="409">
        <f>$E$43*D83</f>
        <v>744.78858116933225</v>
      </c>
      <c r="F88" s="409"/>
      <c r="G88" s="409"/>
      <c r="H88" s="409"/>
      <c r="I88" s="409"/>
      <c r="J88" s="409"/>
      <c r="K88" s="409">
        <f>$K$43*D83</f>
        <v>41541.902266375684</v>
      </c>
      <c r="L88" s="410">
        <f>SUM(C88:K88)</f>
        <v>45600.62</v>
      </c>
    </row>
    <row r="89" spans="1:14" s="120" customFormat="1" ht="12.75">
      <c r="A89" s="405"/>
      <c r="B89" s="411" t="s">
        <v>210</v>
      </c>
      <c r="C89" s="413">
        <f>$C$43*D84</f>
        <v>8464.0533204499188</v>
      </c>
      <c r="D89" s="413">
        <f>$D$43*D84</f>
        <v>3505.9256779793864</v>
      </c>
      <c r="E89" s="409">
        <f>$E$43*D84</f>
        <v>2690.1913905620122</v>
      </c>
      <c r="F89" s="409"/>
      <c r="G89" s="409"/>
      <c r="H89" s="409"/>
      <c r="I89" s="409"/>
      <c r="J89" s="409"/>
      <c r="K89" s="409">
        <f>$K$43*D84</f>
        <v>150050.18961100865</v>
      </c>
      <c r="L89" s="410">
        <f>SUM(C89:K89)</f>
        <v>164710.35999999999</v>
      </c>
      <c r="M89" s="230">
        <f>SUM(L87:L89)-N43</f>
        <v>0</v>
      </c>
    </row>
    <row r="90" spans="1:14" s="120" customFormat="1" ht="12"/>
    <row r="92" spans="1:14" ht="12.75">
      <c r="A92" s="417"/>
      <c r="B92" s="418"/>
      <c r="C92" s="456"/>
      <c r="D92" s="457"/>
      <c r="E92" s="332"/>
      <c r="F92" s="332"/>
      <c r="G92" s="332"/>
      <c r="H92" s="332"/>
      <c r="I92" s="332"/>
      <c r="J92" s="332"/>
      <c r="K92" s="332"/>
      <c r="L92" s="123"/>
      <c r="M92" s="123"/>
    </row>
    <row r="93" spans="1:14" ht="15.75" customHeight="1">
      <c r="A93" s="861" t="s">
        <v>412</v>
      </c>
      <c r="B93" s="862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ht="14.25">
      <c r="A94" s="450">
        <v>2121</v>
      </c>
      <c r="B94" s="455" t="s">
        <v>411</v>
      </c>
      <c r="C94" s="231">
        <f>+OligVista2101!M280</f>
        <v>71.035185265407009</v>
      </c>
      <c r="D94" s="231">
        <f>+OligVista2101!M281</f>
        <v>42.318514734592995</v>
      </c>
      <c r="E94" s="231">
        <f>+OligVista2101!M282</f>
        <v>0</v>
      </c>
      <c r="F94" s="231"/>
      <c r="G94" s="231"/>
      <c r="H94" s="231"/>
      <c r="I94" s="231"/>
      <c r="J94" s="231"/>
      <c r="K94" s="231">
        <f>OligVista2101!M283</f>
        <v>0</v>
      </c>
      <c r="L94" s="231"/>
      <c r="M94" s="232"/>
      <c r="N94" s="232">
        <f>SUM(C94:M94)</f>
        <v>113.3537</v>
      </c>
    </row>
    <row r="95" spans="1:14" ht="12.75">
      <c r="A95" s="452"/>
      <c r="B95" s="453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</row>
    <row r="96" spans="1:14" ht="12">
      <c r="A96" s="120"/>
      <c r="B96" s="129"/>
      <c r="C96" s="454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0"/>
    </row>
    <row r="97" spans="1:14" ht="12">
      <c r="A97" s="305"/>
      <c r="B97" s="306"/>
      <c r="C97" s="307" t="s">
        <v>211</v>
      </c>
      <c r="D97" s="307" t="s">
        <v>212</v>
      </c>
      <c r="E97" s="332"/>
      <c r="F97" s="332"/>
      <c r="G97" s="332"/>
      <c r="H97" s="332"/>
      <c r="I97" s="332"/>
      <c r="J97" s="332"/>
      <c r="K97" s="332"/>
      <c r="L97" s="120"/>
      <c r="M97" s="120"/>
      <c r="N97" s="120"/>
    </row>
    <row r="98" spans="1:14" ht="12.75">
      <c r="A98" s="412" t="s">
        <v>312</v>
      </c>
      <c r="B98" s="411" t="s">
        <v>208</v>
      </c>
      <c r="C98" s="419">
        <v>113.35</v>
      </c>
      <c r="D98" s="317">
        <f>IF(AND(C98=0,$C$101=0),0,C98/$C$101)</f>
        <v>1</v>
      </c>
      <c r="E98" s="332"/>
      <c r="F98" s="332"/>
      <c r="G98" s="332"/>
      <c r="H98" s="332"/>
      <c r="I98" s="332"/>
      <c r="J98" s="332"/>
      <c r="K98" s="332"/>
      <c r="L98" s="120"/>
      <c r="M98" s="120"/>
      <c r="N98" s="120"/>
    </row>
    <row r="99" spans="1:14" ht="12.75">
      <c r="A99" s="412" t="s">
        <v>311</v>
      </c>
      <c r="B99" s="411" t="s">
        <v>209</v>
      </c>
      <c r="C99" s="419"/>
      <c r="D99" s="317">
        <f t="shared" ref="D99:D100" si="7">IF(AND(C99=0,$C$101=0),0,C99/$C$101)</f>
        <v>0</v>
      </c>
      <c r="E99" s="332"/>
      <c r="F99" s="332"/>
      <c r="G99" s="332"/>
      <c r="H99" s="332"/>
      <c r="I99" s="332"/>
      <c r="J99" s="332"/>
      <c r="K99" s="332"/>
      <c r="L99" s="120"/>
      <c r="M99" s="120"/>
      <c r="N99"/>
    </row>
    <row r="100" spans="1:14" ht="12.75">
      <c r="A100" s="405"/>
      <c r="B100" s="411" t="s">
        <v>413</v>
      </c>
      <c r="C100" s="419"/>
      <c r="D100" s="317">
        <f t="shared" si="7"/>
        <v>0</v>
      </c>
      <c r="E100" s="332"/>
      <c r="F100" s="332"/>
      <c r="G100" s="332"/>
      <c r="H100" s="332"/>
      <c r="I100" s="332"/>
      <c r="J100" s="332"/>
      <c r="K100" s="332"/>
      <c r="L100" s="120"/>
      <c r="M100" s="120"/>
      <c r="N100"/>
    </row>
    <row r="101" spans="1:14" ht="12.75">
      <c r="A101" s="305"/>
      <c r="B101" s="306"/>
      <c r="C101" s="308">
        <f>C98+C99+C100</f>
        <v>113.35</v>
      </c>
      <c r="D101" s="405">
        <f>SUM(D98:D100)</f>
        <v>1</v>
      </c>
      <c r="E101" s="332"/>
      <c r="F101" s="332"/>
      <c r="G101" s="332"/>
      <c r="H101" s="332"/>
      <c r="I101" s="332"/>
      <c r="J101" s="332"/>
      <c r="K101" s="332"/>
      <c r="L101" s="120"/>
      <c r="M101" s="120"/>
    </row>
    <row r="102" spans="1:14" ht="12.75">
      <c r="A102" s="305"/>
      <c r="B102" s="306"/>
      <c r="C102" s="328" t="s">
        <v>12</v>
      </c>
      <c r="D102" s="328" t="s">
        <v>13</v>
      </c>
      <c r="E102" s="328" t="s">
        <v>14</v>
      </c>
      <c r="F102" s="328" t="s">
        <v>15</v>
      </c>
      <c r="G102" s="328" t="s">
        <v>16</v>
      </c>
      <c r="H102" s="328" t="s">
        <v>17</v>
      </c>
      <c r="I102" s="328" t="s">
        <v>18</v>
      </c>
      <c r="J102" s="328" t="s">
        <v>19</v>
      </c>
      <c r="K102" s="328" t="s">
        <v>141</v>
      </c>
      <c r="L102" s="237" t="s">
        <v>20</v>
      </c>
      <c r="M102" s="120"/>
    </row>
    <row r="103" spans="1:14" ht="12.75">
      <c r="A103" s="412" t="s">
        <v>312</v>
      </c>
      <c r="B103" s="411" t="s">
        <v>208</v>
      </c>
      <c r="C103" s="413">
        <f>$C$94*D98</f>
        <v>71.035185265407009</v>
      </c>
      <c r="D103" s="413">
        <f>$D$94*D98</f>
        <v>42.318514734592995</v>
      </c>
      <c r="E103" s="409">
        <f>ROUND($E$94*D98,2)</f>
        <v>0</v>
      </c>
      <c r="F103" s="409"/>
      <c r="G103" s="409"/>
      <c r="H103" s="409"/>
      <c r="I103" s="409"/>
      <c r="J103" s="409"/>
      <c r="K103" s="409">
        <f>$K$94*D98</f>
        <v>0</v>
      </c>
      <c r="L103" s="461">
        <f>SUM(C103:K103)</f>
        <v>113.3537</v>
      </c>
      <c r="M103" s="140"/>
    </row>
    <row r="104" spans="1:14" ht="12.75">
      <c r="A104" s="412" t="s">
        <v>311</v>
      </c>
      <c r="B104" s="411" t="s">
        <v>209</v>
      </c>
      <c r="C104" s="413">
        <f>$C$94*D99</f>
        <v>0</v>
      </c>
      <c r="D104" s="413">
        <f>$D$94*D99</f>
        <v>0</v>
      </c>
      <c r="E104" s="409">
        <f>ROUND($E$94*D99,2)</f>
        <v>0</v>
      </c>
      <c r="F104" s="409"/>
      <c r="G104" s="409"/>
      <c r="H104" s="409"/>
      <c r="I104" s="409"/>
      <c r="J104" s="409"/>
      <c r="K104" s="409">
        <f>$K$94*D99</f>
        <v>0</v>
      </c>
      <c r="L104" s="461">
        <f>SUM(C104:K104)</f>
        <v>0</v>
      </c>
      <c r="M104" s="140"/>
    </row>
    <row r="105" spans="1:14" ht="12.75">
      <c r="A105" s="405"/>
      <c r="B105" s="411" t="s">
        <v>413</v>
      </c>
      <c r="C105" s="413">
        <f>$C$94*D100</f>
        <v>0</v>
      </c>
      <c r="D105" s="413">
        <f>$D$94*D100</f>
        <v>0</v>
      </c>
      <c r="E105" s="409">
        <f>$E$94*D100</f>
        <v>0</v>
      </c>
      <c r="F105" s="409"/>
      <c r="G105" s="409"/>
      <c r="H105" s="409"/>
      <c r="I105" s="409"/>
      <c r="J105" s="409"/>
      <c r="K105" s="409">
        <f>$K$94*D100</f>
        <v>0</v>
      </c>
      <c r="L105" s="461">
        <f>SUM(C105:K105)</f>
        <v>0</v>
      </c>
      <c r="M105" s="230">
        <f>SUM(L103:L105)-N94</f>
        <v>0</v>
      </c>
    </row>
    <row r="112" spans="1:14" s="554" customFormat="1"/>
    <row r="113" spans="5:7" ht="12.75">
      <c r="E113" s="555"/>
      <c r="F113" s="555"/>
      <c r="G113" s="556"/>
    </row>
    <row r="114" spans="5:7" ht="12.75">
      <c r="E114" s="131"/>
      <c r="F114" s="555"/>
      <c r="G114" s="556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&#10;" sqref="T42 T38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6"/>
  <sheetViews>
    <sheetView showGridLines="0" topLeftCell="A247" zoomScale="80" zoomScaleNormal="80" workbookViewId="0">
      <selection activeCell="C286" sqref="C286"/>
    </sheetView>
  </sheetViews>
  <sheetFormatPr baseColWidth="10" defaultRowHeight="15"/>
  <cols>
    <col min="1" max="1" width="31" style="82" customWidth="1"/>
    <col min="2" max="2" width="17" bestFit="1" customWidth="1"/>
    <col min="3" max="3" width="15.42578125" style="86" bestFit="1" customWidth="1"/>
    <col min="4" max="4" width="22.140625" bestFit="1" customWidth="1"/>
    <col min="5" max="5" width="18.42578125" bestFit="1" customWidth="1"/>
    <col min="6" max="6" width="5.5703125" style="71" customWidth="1"/>
    <col min="7" max="7" width="6.140625" customWidth="1"/>
    <col min="8" max="8" width="26.85546875" customWidth="1"/>
    <col min="9" max="15" width="18.5703125" bestFit="1" customWidth="1"/>
    <col min="17" max="17" width="13.5703125" bestFit="1" customWidth="1"/>
  </cols>
  <sheetData>
    <row r="1" spans="1:14">
      <c r="A1" s="68" t="s">
        <v>181</v>
      </c>
      <c r="B1" s="69" t="s">
        <v>182</v>
      </c>
      <c r="C1" s="70" t="s">
        <v>183</v>
      </c>
      <c r="D1" s="449" t="s">
        <v>424</v>
      </c>
      <c r="I1" s="460" t="s">
        <v>181</v>
      </c>
      <c r="J1" s="69" t="s">
        <v>182</v>
      </c>
      <c r="K1" s="70" t="s">
        <v>183</v>
      </c>
      <c r="L1" s="449" t="s">
        <v>425</v>
      </c>
      <c r="N1" s="71"/>
    </row>
    <row r="2" spans="1:14" ht="12.75">
      <c r="A2" s="72">
        <v>43906</v>
      </c>
      <c r="B2" s="73">
        <v>47094899.890000001</v>
      </c>
      <c r="C2" s="74"/>
      <c r="D2">
        <v>273</v>
      </c>
      <c r="E2" s="75"/>
      <c r="I2" s="96">
        <v>43906</v>
      </c>
      <c r="J2" s="73">
        <v>1163929.99</v>
      </c>
      <c r="K2" s="74"/>
      <c r="L2">
        <v>273</v>
      </c>
      <c r="M2" s="75"/>
      <c r="N2" s="71"/>
    </row>
    <row r="3" spans="1:14" ht="12.75">
      <c r="A3" s="72">
        <v>43907</v>
      </c>
      <c r="B3" s="73">
        <v>46704444.07</v>
      </c>
      <c r="C3" s="74"/>
      <c r="D3">
        <v>272</v>
      </c>
      <c r="E3" s="74"/>
      <c r="I3" s="96">
        <v>43907</v>
      </c>
      <c r="J3" s="73">
        <v>1163105.99</v>
      </c>
      <c r="K3" s="74"/>
      <c r="L3">
        <v>272</v>
      </c>
      <c r="M3" s="74"/>
      <c r="N3" s="71"/>
    </row>
    <row r="4" spans="1:14" ht="12.75">
      <c r="A4" s="72">
        <v>43908</v>
      </c>
      <c r="B4" s="73">
        <v>46841258.789999999</v>
      </c>
      <c r="C4" s="74"/>
      <c r="D4">
        <v>271</v>
      </c>
      <c r="E4" s="74"/>
      <c r="I4" s="96">
        <v>43908</v>
      </c>
      <c r="J4" s="73">
        <v>1162089.77</v>
      </c>
      <c r="K4" s="74"/>
      <c r="L4">
        <v>271</v>
      </c>
      <c r="M4" s="74"/>
      <c r="N4" s="71"/>
    </row>
    <row r="5" spans="1:14" ht="12.75">
      <c r="A5" s="72">
        <v>43909</v>
      </c>
      <c r="B5" s="73">
        <v>46899090.329999998</v>
      </c>
      <c r="C5" s="74"/>
      <c r="D5">
        <v>270</v>
      </c>
      <c r="E5" s="74"/>
      <c r="I5" s="96">
        <v>43909</v>
      </c>
      <c r="J5" s="73">
        <v>1160900.49</v>
      </c>
      <c r="K5" s="74"/>
      <c r="L5">
        <v>270</v>
      </c>
      <c r="M5" s="74"/>
      <c r="N5" s="71"/>
    </row>
    <row r="6" spans="1:14" ht="12.75">
      <c r="A6" s="72">
        <v>43910</v>
      </c>
      <c r="B6" s="73">
        <v>46996357.869999997</v>
      </c>
      <c r="C6" s="74"/>
      <c r="D6">
        <v>269</v>
      </c>
      <c r="E6" s="74"/>
      <c r="I6" s="96">
        <v>43910</v>
      </c>
      <c r="J6" s="73">
        <v>1161410.49</v>
      </c>
      <c r="K6" s="74"/>
      <c r="L6">
        <v>269</v>
      </c>
      <c r="M6" s="74"/>
      <c r="N6" s="71"/>
    </row>
    <row r="7" spans="1:14" ht="12.75">
      <c r="A7" s="72">
        <v>43913</v>
      </c>
      <c r="B7" s="73">
        <v>47506443.460000001</v>
      </c>
      <c r="C7" s="74"/>
      <c r="D7">
        <v>268</v>
      </c>
      <c r="E7" s="74"/>
      <c r="I7" s="96">
        <v>43913</v>
      </c>
      <c r="J7" s="73">
        <v>1158307.1599999999</v>
      </c>
      <c r="K7" s="74"/>
      <c r="L7">
        <v>268</v>
      </c>
      <c r="M7" s="74"/>
      <c r="N7" s="71"/>
    </row>
    <row r="8" spans="1:14" ht="12.75">
      <c r="A8" s="72">
        <v>43914</v>
      </c>
      <c r="B8" s="73">
        <v>47570769.969999999</v>
      </c>
      <c r="C8" s="74"/>
      <c r="D8">
        <v>267</v>
      </c>
      <c r="E8" s="74"/>
      <c r="I8" s="96">
        <v>43914</v>
      </c>
      <c r="J8" s="73">
        <v>1157422.8500000001</v>
      </c>
      <c r="K8" s="74"/>
      <c r="L8">
        <v>267</v>
      </c>
      <c r="M8" s="74"/>
      <c r="N8" s="71"/>
    </row>
    <row r="9" spans="1:14" ht="12.75">
      <c r="A9" s="72">
        <v>43915</v>
      </c>
      <c r="B9" s="73">
        <v>47732788.229999997</v>
      </c>
      <c r="C9" s="74"/>
      <c r="D9">
        <v>266</v>
      </c>
      <c r="E9" s="74"/>
      <c r="I9" s="96">
        <v>43915</v>
      </c>
      <c r="J9" s="73">
        <v>1156921.95</v>
      </c>
      <c r="K9" s="74"/>
      <c r="L9">
        <v>266</v>
      </c>
      <c r="M9" s="74"/>
      <c r="N9" s="71"/>
    </row>
    <row r="10" spans="1:14" ht="12.75">
      <c r="A10" s="72">
        <v>43916</v>
      </c>
      <c r="B10" s="73">
        <v>47734938.780000001</v>
      </c>
      <c r="C10" s="74"/>
      <c r="D10">
        <v>265</v>
      </c>
      <c r="E10" s="74"/>
      <c r="I10" s="96">
        <v>43916</v>
      </c>
      <c r="J10" s="73">
        <v>1149519.8</v>
      </c>
      <c r="K10" s="74"/>
      <c r="L10">
        <v>265</v>
      </c>
      <c r="M10" s="74"/>
      <c r="N10" s="71"/>
    </row>
    <row r="11" spans="1:14" ht="12.75">
      <c r="A11" s="72">
        <v>43917</v>
      </c>
      <c r="B11" s="73">
        <v>48648026.950000003</v>
      </c>
      <c r="C11" s="74"/>
      <c r="D11">
        <v>264</v>
      </c>
      <c r="E11" s="74"/>
      <c r="I11" s="96">
        <v>43917</v>
      </c>
      <c r="J11" s="73">
        <v>1147853.3600000001</v>
      </c>
      <c r="K11" s="74"/>
      <c r="L11">
        <v>264</v>
      </c>
      <c r="M11" s="74"/>
      <c r="N11" s="71"/>
    </row>
    <row r="12" spans="1:14" ht="12.75">
      <c r="A12" s="72">
        <v>43920</v>
      </c>
      <c r="B12" s="73">
        <v>48934036.68</v>
      </c>
      <c r="C12" s="74"/>
      <c r="D12">
        <v>263</v>
      </c>
      <c r="E12" s="74"/>
      <c r="I12" s="96">
        <v>43920</v>
      </c>
      <c r="J12" s="73">
        <v>1146063.23</v>
      </c>
      <c r="K12" s="74"/>
      <c r="L12">
        <v>263</v>
      </c>
      <c r="M12" s="74"/>
      <c r="N12" s="71"/>
    </row>
    <row r="13" spans="1:14" ht="12.75">
      <c r="A13" s="72">
        <v>43921</v>
      </c>
      <c r="B13" s="73">
        <v>48894010.630000003</v>
      </c>
      <c r="C13" s="74"/>
      <c r="D13">
        <v>262</v>
      </c>
      <c r="E13" s="74"/>
      <c r="I13" s="96">
        <v>43921</v>
      </c>
      <c r="J13" s="73">
        <v>1146094.58</v>
      </c>
      <c r="K13" s="74"/>
      <c r="L13">
        <v>262</v>
      </c>
      <c r="M13" s="74"/>
      <c r="N13" s="71"/>
    </row>
    <row r="14" spans="1:14" ht="12.75">
      <c r="A14" s="72">
        <v>43922</v>
      </c>
      <c r="B14" s="73">
        <v>48768492.729999997</v>
      </c>
      <c r="C14" s="74"/>
      <c r="D14">
        <v>261</v>
      </c>
      <c r="E14" s="74"/>
      <c r="I14" s="96">
        <v>43922</v>
      </c>
      <c r="J14" s="73">
        <v>1124810.27</v>
      </c>
      <c r="K14" s="74"/>
      <c r="L14">
        <v>261</v>
      </c>
      <c r="M14" s="74"/>
      <c r="N14" s="71"/>
    </row>
    <row r="15" spans="1:14" ht="12.75">
      <c r="A15" s="72">
        <v>43923</v>
      </c>
      <c r="B15" s="73">
        <v>48391756.380000003</v>
      </c>
      <c r="C15" s="74"/>
      <c r="D15">
        <v>260</v>
      </c>
      <c r="E15" s="74"/>
      <c r="I15" s="96">
        <v>43923</v>
      </c>
      <c r="J15" s="73">
        <v>1121818.98</v>
      </c>
      <c r="K15" s="74"/>
      <c r="L15">
        <v>260</v>
      </c>
      <c r="M15" s="74"/>
      <c r="N15" s="71"/>
    </row>
    <row r="16" spans="1:14" ht="12.75">
      <c r="A16" s="72">
        <v>43924</v>
      </c>
      <c r="B16" s="73">
        <v>48203276.700000003</v>
      </c>
      <c r="C16" s="74"/>
      <c r="D16">
        <v>259</v>
      </c>
      <c r="E16" s="74"/>
      <c r="I16" s="96">
        <v>43924</v>
      </c>
      <c r="J16" s="73">
        <v>1121398.98</v>
      </c>
      <c r="K16" s="74"/>
      <c r="L16">
        <v>259</v>
      </c>
      <c r="M16" s="74"/>
      <c r="N16" s="71"/>
    </row>
    <row r="17" spans="1:14" ht="12.75">
      <c r="A17" s="72">
        <v>43927</v>
      </c>
      <c r="B17" s="76">
        <v>48384587.390000001</v>
      </c>
      <c r="C17" s="77"/>
      <c r="D17">
        <v>258</v>
      </c>
      <c r="E17" s="74"/>
      <c r="I17" s="96">
        <v>43927</v>
      </c>
      <c r="J17" s="76">
        <v>1121394.98</v>
      </c>
      <c r="K17" s="77"/>
      <c r="L17">
        <v>258</v>
      </c>
      <c r="M17" s="74"/>
      <c r="N17" s="71"/>
    </row>
    <row r="18" spans="1:14" ht="12.75">
      <c r="A18" s="72">
        <v>43928</v>
      </c>
      <c r="B18" s="73">
        <v>48513276.229999997</v>
      </c>
      <c r="C18" s="74"/>
      <c r="D18">
        <v>257</v>
      </c>
      <c r="E18" s="74"/>
      <c r="I18" s="96">
        <v>43928</v>
      </c>
      <c r="J18" s="73">
        <v>1121394.98</v>
      </c>
      <c r="K18" s="74"/>
      <c r="L18">
        <v>257</v>
      </c>
      <c r="M18" s="74"/>
      <c r="N18" s="71"/>
    </row>
    <row r="19" spans="1:14" ht="12.75">
      <c r="A19" s="72">
        <v>43929</v>
      </c>
      <c r="B19" s="73">
        <v>48091866.259999998</v>
      </c>
      <c r="C19" s="74"/>
      <c r="D19">
        <v>256</v>
      </c>
      <c r="E19" s="74"/>
      <c r="I19" s="96">
        <v>43929</v>
      </c>
      <c r="J19" s="73">
        <v>1121989.98</v>
      </c>
      <c r="K19" s="74"/>
      <c r="L19">
        <v>256</v>
      </c>
      <c r="M19" s="74"/>
      <c r="N19" s="71"/>
    </row>
    <row r="20" spans="1:14" ht="12.75">
      <c r="A20" s="72">
        <v>43930</v>
      </c>
      <c r="B20" s="73">
        <v>48096870.07</v>
      </c>
      <c r="C20" s="74"/>
      <c r="D20">
        <v>255</v>
      </c>
      <c r="E20" s="74"/>
      <c r="I20" s="96">
        <v>43930</v>
      </c>
      <c r="J20" s="73">
        <v>1121989.98</v>
      </c>
      <c r="K20" s="74"/>
      <c r="L20">
        <v>255</v>
      </c>
      <c r="M20" s="74"/>
      <c r="N20" s="71"/>
    </row>
    <row r="21" spans="1:14" ht="12.75">
      <c r="A21" s="72">
        <v>43931</v>
      </c>
      <c r="B21" s="73">
        <v>48099220.079999998</v>
      </c>
      <c r="C21" s="74"/>
      <c r="D21">
        <v>254</v>
      </c>
      <c r="E21" s="74"/>
      <c r="I21" s="96">
        <v>43931</v>
      </c>
      <c r="J21" s="73">
        <v>1121989.98</v>
      </c>
      <c r="K21" s="74"/>
      <c r="L21">
        <v>254</v>
      </c>
      <c r="M21" s="74"/>
      <c r="N21" s="71"/>
    </row>
    <row r="22" spans="1:14" ht="12.75">
      <c r="A22" s="72">
        <v>43934</v>
      </c>
      <c r="B22" s="73">
        <v>48633507.93</v>
      </c>
      <c r="C22" s="74"/>
      <c r="D22">
        <v>253</v>
      </c>
      <c r="E22" s="74"/>
      <c r="I22" s="96">
        <v>43934</v>
      </c>
      <c r="J22" s="73">
        <v>1124835.33</v>
      </c>
      <c r="K22" s="74"/>
      <c r="L22">
        <v>253</v>
      </c>
      <c r="M22" s="74"/>
      <c r="N22" s="71"/>
    </row>
    <row r="23" spans="1:14" ht="12.75">
      <c r="A23" s="72">
        <v>43935</v>
      </c>
      <c r="B23" s="73">
        <v>48436682.079999998</v>
      </c>
      <c r="C23" s="78">
        <f t="shared" ref="C23:C86" si="0">(B23-B2)/B2</f>
        <v>2.8491029668478135E-2</v>
      </c>
      <c r="D23">
        <v>252</v>
      </c>
      <c r="E23" s="74"/>
      <c r="I23" s="96">
        <v>43935</v>
      </c>
      <c r="J23" s="73">
        <v>1123383.1200000001</v>
      </c>
      <c r="K23" s="78">
        <f t="shared" ref="K23:K86" si="1">(J23-J2)/J2</f>
        <v>-3.4836176014332164E-2</v>
      </c>
      <c r="L23">
        <v>252</v>
      </c>
      <c r="M23" s="74"/>
      <c r="N23" s="71"/>
    </row>
    <row r="24" spans="1:14" ht="12.75">
      <c r="A24" s="72">
        <v>43936</v>
      </c>
      <c r="B24" s="73">
        <v>48507706.68</v>
      </c>
      <c r="C24" s="78">
        <f t="shared" si="0"/>
        <v>3.8610086168615845E-2</v>
      </c>
      <c r="D24">
        <v>251</v>
      </c>
      <c r="E24" s="74"/>
      <c r="I24" s="96">
        <v>43936</v>
      </c>
      <c r="J24" s="73">
        <v>1118382.8700000001</v>
      </c>
      <c r="K24" s="78">
        <f t="shared" si="1"/>
        <v>-3.8451457033593199E-2</v>
      </c>
      <c r="L24">
        <v>251</v>
      </c>
      <c r="M24" s="74"/>
      <c r="N24" s="71"/>
    </row>
    <row r="25" spans="1:14" ht="12.75">
      <c r="A25" s="72">
        <v>43937</v>
      </c>
      <c r="B25" s="73">
        <v>48466368.549999997</v>
      </c>
      <c r="C25" s="78">
        <f t="shared" si="0"/>
        <v>3.4693981374107258E-2</v>
      </c>
      <c r="D25">
        <v>250</v>
      </c>
      <c r="E25" s="74"/>
      <c r="I25" s="96">
        <v>43937</v>
      </c>
      <c r="J25" s="73">
        <v>1118061.92</v>
      </c>
      <c r="K25" s="78">
        <f t="shared" si="1"/>
        <v>-3.788678907310241E-2</v>
      </c>
      <c r="L25">
        <v>250</v>
      </c>
      <c r="M25" s="74"/>
      <c r="N25" s="71"/>
    </row>
    <row r="26" spans="1:14" ht="12.75">
      <c r="A26" s="72">
        <v>43938</v>
      </c>
      <c r="B26" s="73">
        <v>48467055.539999999</v>
      </c>
      <c r="C26" s="78">
        <f t="shared" si="0"/>
        <v>3.3432742489613254E-2</v>
      </c>
      <c r="D26">
        <v>249</v>
      </c>
      <c r="E26" s="74"/>
      <c r="I26" s="96">
        <v>43938</v>
      </c>
      <c r="J26" s="73">
        <v>1118061.92</v>
      </c>
      <c r="K26" s="78">
        <f t="shared" si="1"/>
        <v>-3.6901155929394143E-2</v>
      </c>
      <c r="L26">
        <v>249</v>
      </c>
      <c r="M26" s="74"/>
      <c r="N26" s="71"/>
    </row>
    <row r="27" spans="1:14" ht="12.75">
      <c r="A27" s="72">
        <v>43941</v>
      </c>
      <c r="B27" s="73">
        <v>48372261.289999999</v>
      </c>
      <c r="C27" s="78">
        <f t="shared" si="0"/>
        <v>2.9276809573328792E-2</v>
      </c>
      <c r="D27">
        <v>248</v>
      </c>
      <c r="E27" s="74"/>
      <c r="I27" s="96">
        <v>43941</v>
      </c>
      <c r="J27" s="73">
        <v>1118151.92</v>
      </c>
      <c r="K27" s="78">
        <f t="shared" si="1"/>
        <v>-3.724658109468261E-2</v>
      </c>
      <c r="L27">
        <v>248</v>
      </c>
      <c r="M27" s="74"/>
      <c r="N27" s="71"/>
    </row>
    <row r="28" spans="1:14" ht="12.75">
      <c r="A28" s="72">
        <v>43942</v>
      </c>
      <c r="B28" s="73">
        <v>47421475.07</v>
      </c>
      <c r="C28" s="78">
        <f t="shared" si="0"/>
        <v>-1.7885655884036704E-3</v>
      </c>
      <c r="D28">
        <v>247</v>
      </c>
      <c r="E28" s="74"/>
      <c r="I28" s="96">
        <v>43942</v>
      </c>
      <c r="J28" s="73">
        <v>1118376.92</v>
      </c>
      <c r="K28" s="78">
        <f t="shared" si="1"/>
        <v>-3.4472928579669659E-2</v>
      </c>
      <c r="L28">
        <v>247</v>
      </c>
      <c r="M28" s="74"/>
      <c r="N28" s="71"/>
    </row>
    <row r="29" spans="1:14" ht="12.75">
      <c r="A29" s="72">
        <v>43943</v>
      </c>
      <c r="B29" s="73">
        <v>47292555.689999998</v>
      </c>
      <c r="C29" s="78">
        <f t="shared" si="0"/>
        <v>-5.848429196656982E-3</v>
      </c>
      <c r="D29">
        <v>246</v>
      </c>
      <c r="E29" s="74"/>
      <c r="I29" s="96">
        <v>43943</v>
      </c>
      <c r="J29" s="73">
        <v>1117879.71</v>
      </c>
      <c r="K29" s="78">
        <f t="shared" si="1"/>
        <v>-3.4164817119344174E-2</v>
      </c>
      <c r="L29">
        <v>246</v>
      </c>
      <c r="M29" s="74"/>
      <c r="N29" s="71"/>
    </row>
    <row r="30" spans="1:14" ht="12.75">
      <c r="A30" s="72">
        <v>43944</v>
      </c>
      <c r="B30" s="73">
        <v>47641174.990000002</v>
      </c>
      <c r="C30" s="78">
        <f t="shared" si="0"/>
        <v>-1.9192937055878046E-3</v>
      </c>
      <c r="D30">
        <v>245</v>
      </c>
      <c r="E30" s="74"/>
      <c r="I30" s="96">
        <v>43944</v>
      </c>
      <c r="J30" s="73">
        <v>1117029.71</v>
      </c>
      <c r="K30" s="78">
        <f t="shared" si="1"/>
        <v>-3.4481358055312196E-2</v>
      </c>
      <c r="L30">
        <v>245</v>
      </c>
      <c r="M30" s="74"/>
      <c r="N30" s="71"/>
    </row>
    <row r="31" spans="1:14" ht="12.75">
      <c r="A31" s="72">
        <v>43945</v>
      </c>
      <c r="B31" s="73">
        <v>47790785.32</v>
      </c>
      <c r="C31" s="78">
        <f t="shared" si="0"/>
        <v>1.1699300643787083E-3</v>
      </c>
      <c r="D31">
        <v>244</v>
      </c>
      <c r="E31" s="74"/>
      <c r="I31" s="96">
        <v>43945</v>
      </c>
      <c r="J31" s="73">
        <v>1056982.07</v>
      </c>
      <c r="K31" s="78">
        <f t="shared" si="1"/>
        <v>-8.0501205807851223E-2</v>
      </c>
      <c r="L31">
        <v>244</v>
      </c>
      <c r="M31" s="74"/>
      <c r="N31" s="71"/>
    </row>
    <row r="32" spans="1:14" ht="12.75">
      <c r="A32" s="72">
        <v>43948</v>
      </c>
      <c r="B32" s="73">
        <v>47290979.850000001</v>
      </c>
      <c r="C32" s="78">
        <f t="shared" si="0"/>
        <v>-2.7895213538562665E-2</v>
      </c>
      <c r="D32">
        <v>243</v>
      </c>
      <c r="E32" s="74"/>
      <c r="I32" s="96">
        <v>43948</v>
      </c>
      <c r="J32" s="73">
        <v>1056682.07</v>
      </c>
      <c r="K32" s="78">
        <f t="shared" si="1"/>
        <v>-7.9427645705545544E-2</v>
      </c>
      <c r="L32">
        <v>243</v>
      </c>
      <c r="M32" s="74"/>
      <c r="N32" s="71"/>
    </row>
    <row r="33" spans="1:14" ht="12.75">
      <c r="A33" s="72">
        <v>43949</v>
      </c>
      <c r="B33" s="73">
        <v>48087549.119999997</v>
      </c>
      <c r="C33" s="78">
        <f t="shared" si="0"/>
        <v>-1.7298543456276381E-2</v>
      </c>
      <c r="D33">
        <v>242</v>
      </c>
      <c r="E33" s="74"/>
      <c r="I33" s="96">
        <v>43949</v>
      </c>
      <c r="J33" s="73">
        <v>1056705.6399999999</v>
      </c>
      <c r="K33" s="78">
        <f t="shared" si="1"/>
        <v>-7.7969162312274937E-2</v>
      </c>
      <c r="L33">
        <v>242</v>
      </c>
      <c r="M33" s="74"/>
      <c r="N33" s="71"/>
    </row>
    <row r="34" spans="1:14" ht="12.75">
      <c r="A34" s="72">
        <v>43950</v>
      </c>
      <c r="B34" s="73">
        <v>48048172.140000001</v>
      </c>
      <c r="C34" s="78">
        <f t="shared" si="0"/>
        <v>-1.7299429502741982E-2</v>
      </c>
      <c r="D34">
        <v>241</v>
      </c>
      <c r="E34" s="74"/>
      <c r="I34" s="96">
        <v>43950</v>
      </c>
      <c r="J34" s="73">
        <v>1053693</v>
      </c>
      <c r="K34" s="78">
        <f t="shared" si="1"/>
        <v>-8.0622997100291735E-2</v>
      </c>
      <c r="L34">
        <v>241</v>
      </c>
      <c r="M34" s="74"/>
      <c r="N34" s="71"/>
    </row>
    <row r="35" spans="1:14" ht="12.75">
      <c r="A35" s="72">
        <v>43951</v>
      </c>
      <c r="B35" s="73">
        <v>48206196.380000003</v>
      </c>
      <c r="C35" s="78">
        <f t="shared" si="0"/>
        <v>-1.1529910368833211E-2</v>
      </c>
      <c r="D35">
        <v>240</v>
      </c>
      <c r="E35" s="74"/>
      <c r="I35" s="96">
        <v>43951</v>
      </c>
      <c r="J35" s="73">
        <v>1053580.31</v>
      </c>
      <c r="K35" s="78">
        <f t="shared" si="1"/>
        <v>-6.3326199893249516E-2</v>
      </c>
      <c r="L35">
        <v>240</v>
      </c>
      <c r="M35" s="74"/>
      <c r="N35" s="71"/>
    </row>
    <row r="36" spans="1:14" ht="12.75">
      <c r="A36" s="72">
        <v>43952</v>
      </c>
      <c r="B36" s="73">
        <v>48216965.950000003</v>
      </c>
      <c r="C36" s="78">
        <f t="shared" si="0"/>
        <v>-3.6119877242612223E-3</v>
      </c>
      <c r="D36">
        <v>239</v>
      </c>
      <c r="E36" s="74"/>
      <c r="I36" s="96">
        <v>43952</v>
      </c>
      <c r="J36" s="73">
        <v>1053595.8400000001</v>
      </c>
      <c r="K36" s="78">
        <f t="shared" si="1"/>
        <v>-6.0814749274432763E-2</v>
      </c>
      <c r="L36">
        <v>239</v>
      </c>
      <c r="M36" s="74"/>
      <c r="N36" s="71"/>
    </row>
    <row r="37" spans="1:14" ht="12.75">
      <c r="A37" s="72">
        <v>43955</v>
      </c>
      <c r="B37" s="73">
        <v>48362805.969999999</v>
      </c>
      <c r="C37" s="78">
        <f t="shared" si="0"/>
        <v>3.309510907170255E-3</v>
      </c>
      <c r="D37">
        <v>238</v>
      </c>
      <c r="E37" s="74"/>
      <c r="I37" s="96">
        <v>43955</v>
      </c>
      <c r="J37" s="73">
        <v>1049685.95</v>
      </c>
      <c r="K37" s="78">
        <f t="shared" si="1"/>
        <v>-6.3949612295884223E-2</v>
      </c>
      <c r="L37">
        <v>238</v>
      </c>
      <c r="M37" s="74"/>
      <c r="N37" s="71"/>
    </row>
    <row r="38" spans="1:14" ht="12.75">
      <c r="A38" s="72">
        <v>43956</v>
      </c>
      <c r="B38" s="76">
        <v>48393573.539999999</v>
      </c>
      <c r="C38" s="78">
        <f t="shared" si="0"/>
        <v>1.8572339839474883E-4</v>
      </c>
      <c r="D38">
        <v>237</v>
      </c>
      <c r="E38" s="74"/>
      <c r="I38" s="96">
        <v>43956</v>
      </c>
      <c r="J38" s="76">
        <v>1049577.6599999999</v>
      </c>
      <c r="K38" s="78">
        <f t="shared" si="1"/>
        <v>-6.4042840641216417E-2</v>
      </c>
      <c r="L38">
        <v>237</v>
      </c>
      <c r="M38" s="74"/>
      <c r="N38" s="71"/>
    </row>
    <row r="39" spans="1:14" ht="12.75">
      <c r="A39" s="72">
        <v>43957</v>
      </c>
      <c r="B39" s="76">
        <v>48414694.399999999</v>
      </c>
      <c r="C39" s="78">
        <f t="shared" si="0"/>
        <v>-2.0320588024734651E-3</v>
      </c>
      <c r="D39">
        <v>236</v>
      </c>
      <c r="E39" s="74"/>
      <c r="I39" s="96">
        <v>43957</v>
      </c>
      <c r="J39" s="76">
        <v>1049635.6599999999</v>
      </c>
      <c r="K39" s="78">
        <f t="shared" si="1"/>
        <v>-6.3991119346726577E-2</v>
      </c>
      <c r="L39">
        <v>236</v>
      </c>
      <c r="M39" s="74"/>
      <c r="N39" s="71"/>
    </row>
    <row r="40" spans="1:14" ht="12.75">
      <c r="A40" s="72">
        <v>43958</v>
      </c>
      <c r="B40" s="76">
        <v>48499321.560000002</v>
      </c>
      <c r="C40" s="78">
        <f t="shared" si="0"/>
        <v>8.4724368523602499E-3</v>
      </c>
      <c r="D40">
        <v>235</v>
      </c>
      <c r="E40" s="74"/>
      <c r="I40" s="96">
        <v>43958</v>
      </c>
      <c r="J40" s="76">
        <v>1067031.8600000001</v>
      </c>
      <c r="K40" s="78">
        <f t="shared" si="1"/>
        <v>-4.8982719079184542E-2</v>
      </c>
      <c r="L40">
        <v>235</v>
      </c>
      <c r="M40" s="74"/>
      <c r="N40" s="71"/>
    </row>
    <row r="41" spans="1:14" ht="12.75">
      <c r="A41" s="72">
        <v>43959</v>
      </c>
      <c r="B41" s="73">
        <v>48489204.219999999</v>
      </c>
      <c r="C41" s="78">
        <f t="shared" si="0"/>
        <v>8.1571659326063611E-3</v>
      </c>
      <c r="D41">
        <v>234</v>
      </c>
      <c r="E41" s="74"/>
      <c r="I41" s="96">
        <v>43959</v>
      </c>
      <c r="J41" s="73">
        <v>1066328.6599999999</v>
      </c>
      <c r="K41" s="78">
        <f t="shared" si="1"/>
        <v>-4.9609462644220823E-2</v>
      </c>
      <c r="L41">
        <v>234</v>
      </c>
      <c r="M41" s="74"/>
      <c r="N41" s="71"/>
    </row>
    <row r="42" spans="1:14" ht="12.75">
      <c r="A42" s="72">
        <v>43962</v>
      </c>
      <c r="B42" s="73">
        <v>48815815.869999997</v>
      </c>
      <c r="C42" s="78">
        <f t="shared" si="0"/>
        <v>1.4898282941139929E-2</v>
      </c>
      <c r="D42">
        <v>233</v>
      </c>
      <c r="E42" s="74"/>
      <c r="I42" s="96">
        <v>43962</v>
      </c>
      <c r="J42" s="73">
        <v>1066222.6599999999</v>
      </c>
      <c r="K42" s="78">
        <f t="shared" si="1"/>
        <v>-4.9703937641225694E-2</v>
      </c>
      <c r="L42">
        <v>233</v>
      </c>
      <c r="M42" s="74"/>
      <c r="N42" s="71"/>
    </row>
    <row r="43" spans="1:14" ht="12.75">
      <c r="A43" s="72">
        <v>43963</v>
      </c>
      <c r="B43" s="73">
        <v>48901488.229999997</v>
      </c>
      <c r="C43" s="78">
        <f t="shared" si="0"/>
        <v>5.5101988609522253E-3</v>
      </c>
      <c r="D43">
        <v>232</v>
      </c>
      <c r="E43" s="74"/>
      <c r="I43" s="96">
        <v>43963</v>
      </c>
      <c r="J43" s="73">
        <v>1073197.52</v>
      </c>
      <c r="K43" s="78">
        <f t="shared" si="1"/>
        <v>-4.5906995115453965E-2</v>
      </c>
      <c r="L43">
        <v>232</v>
      </c>
      <c r="M43" s="74"/>
      <c r="N43" s="71"/>
    </row>
    <row r="44" spans="1:14" ht="12.75">
      <c r="A44" s="72">
        <v>43964</v>
      </c>
      <c r="B44" s="73">
        <v>49197819.079999998</v>
      </c>
      <c r="C44" s="78">
        <f t="shared" si="0"/>
        <v>1.5714061478093712E-2</v>
      </c>
      <c r="D44">
        <v>231</v>
      </c>
      <c r="E44" s="74"/>
      <c r="I44" s="96">
        <v>43964</v>
      </c>
      <c r="J44" s="73">
        <v>1073196.78</v>
      </c>
      <c r="K44" s="78">
        <f t="shared" si="1"/>
        <v>-4.4674287076701027E-2</v>
      </c>
      <c r="L44">
        <v>231</v>
      </c>
      <c r="M44" s="74"/>
      <c r="N44" s="71"/>
    </row>
    <row r="45" spans="1:14" ht="12.75">
      <c r="A45" s="72">
        <v>43965</v>
      </c>
      <c r="B45" s="73">
        <v>49310774.359999999</v>
      </c>
      <c r="C45" s="78">
        <f t="shared" si="0"/>
        <v>1.6555465821085889E-2</v>
      </c>
      <c r="D45">
        <v>230</v>
      </c>
      <c r="E45" s="74"/>
      <c r="I45" s="96">
        <v>43965</v>
      </c>
      <c r="J45" s="73">
        <v>1073619.78</v>
      </c>
      <c r="K45" s="78">
        <f t="shared" si="1"/>
        <v>-4.0024835144336642E-2</v>
      </c>
      <c r="L45">
        <v>230</v>
      </c>
      <c r="M45" s="74"/>
      <c r="N45" s="71"/>
    </row>
    <row r="46" spans="1:14" ht="12.75">
      <c r="A46" s="72">
        <v>43966</v>
      </c>
      <c r="B46" s="73">
        <v>49491464.759999998</v>
      </c>
      <c r="C46" s="78">
        <f t="shared" si="0"/>
        <v>2.1150670881035113E-2</v>
      </c>
      <c r="D46">
        <v>229</v>
      </c>
      <c r="E46" s="74"/>
      <c r="I46" s="96">
        <v>43966</v>
      </c>
      <c r="J46" s="73">
        <v>1073808.78</v>
      </c>
      <c r="K46" s="78">
        <f t="shared" si="1"/>
        <v>-3.9580222891411866E-2</v>
      </c>
      <c r="L46">
        <v>229</v>
      </c>
      <c r="M46" s="74"/>
      <c r="N46" s="71"/>
    </row>
    <row r="47" spans="1:14" ht="12.75">
      <c r="A47" s="72">
        <v>43969</v>
      </c>
      <c r="B47" s="73">
        <v>49952834.740000002</v>
      </c>
      <c r="C47" s="78">
        <f t="shared" si="0"/>
        <v>3.0655445919832807E-2</v>
      </c>
      <c r="D47">
        <v>228</v>
      </c>
      <c r="E47" s="74"/>
      <c r="I47" s="96">
        <v>43969</v>
      </c>
      <c r="J47" s="73">
        <v>1070110.42</v>
      </c>
      <c r="K47" s="78">
        <f t="shared" si="1"/>
        <v>-4.2888053999728393E-2</v>
      </c>
      <c r="L47">
        <v>228</v>
      </c>
      <c r="M47" s="74"/>
      <c r="N47" s="71"/>
    </row>
    <row r="48" spans="1:14" ht="12.75">
      <c r="A48" s="72">
        <v>43970</v>
      </c>
      <c r="B48" s="73">
        <v>49981248.75</v>
      </c>
      <c r="C48" s="78">
        <f t="shared" si="0"/>
        <v>3.3262605821833408E-2</v>
      </c>
      <c r="D48">
        <v>227</v>
      </c>
      <c r="E48" s="74"/>
      <c r="I48" s="96">
        <v>43970</v>
      </c>
      <c r="J48" s="73">
        <v>1071050.42</v>
      </c>
      <c r="K48" s="78">
        <f t="shared" si="1"/>
        <v>-4.2124419014546791E-2</v>
      </c>
      <c r="L48">
        <v>227</v>
      </c>
      <c r="M48" s="74"/>
      <c r="N48" s="71"/>
    </row>
    <row r="49" spans="1:14" ht="12.75">
      <c r="A49" s="72">
        <v>43971</v>
      </c>
      <c r="B49" s="73">
        <v>50177657.799999997</v>
      </c>
      <c r="C49" s="78">
        <f t="shared" si="0"/>
        <v>5.8120982654620672E-2</v>
      </c>
      <c r="D49">
        <v>226</v>
      </c>
      <c r="E49" s="74"/>
      <c r="I49" s="96">
        <v>43971</v>
      </c>
      <c r="J49" s="73">
        <v>1067050.22</v>
      </c>
      <c r="K49" s="78">
        <f t="shared" si="1"/>
        <v>-4.5893919198547087E-2</v>
      </c>
      <c r="L49">
        <v>226</v>
      </c>
      <c r="M49" s="74"/>
      <c r="N49" s="71"/>
    </row>
    <row r="50" spans="1:14" ht="12.75">
      <c r="A50" s="72">
        <v>43972</v>
      </c>
      <c r="B50" s="73">
        <v>48657717.579999998</v>
      </c>
      <c r="C50" s="78">
        <f t="shared" si="0"/>
        <v>2.886631669788706E-2</v>
      </c>
      <c r="D50">
        <v>225</v>
      </c>
      <c r="E50" s="74"/>
      <c r="I50" s="96">
        <v>43972</v>
      </c>
      <c r="J50" s="73">
        <v>1067233.6499999999</v>
      </c>
      <c r="K50" s="78">
        <f t="shared" si="1"/>
        <v>-4.5305464932358472E-2</v>
      </c>
      <c r="L50">
        <v>225</v>
      </c>
      <c r="M50" s="74"/>
      <c r="N50" s="71"/>
    </row>
    <row r="51" spans="1:14" ht="12.75">
      <c r="A51" s="72">
        <v>43973</v>
      </c>
      <c r="B51" s="73">
        <v>49204707.729999997</v>
      </c>
      <c r="C51" s="78">
        <f t="shared" si="0"/>
        <v>3.2818937407152193E-2</v>
      </c>
      <c r="D51">
        <v>224</v>
      </c>
      <c r="E51" s="74"/>
      <c r="I51" s="96">
        <v>43973</v>
      </c>
      <c r="J51" s="73">
        <v>1077909.78</v>
      </c>
      <c r="K51" s="78">
        <f t="shared" si="1"/>
        <v>-3.5021387210909492E-2</v>
      </c>
      <c r="L51">
        <v>224</v>
      </c>
      <c r="M51" s="74"/>
      <c r="N51" s="71"/>
    </row>
    <row r="52" spans="1:14" ht="12.75">
      <c r="A52" s="72">
        <v>43976</v>
      </c>
      <c r="B52" s="73">
        <v>49448732</v>
      </c>
      <c r="C52" s="78">
        <f t="shared" si="0"/>
        <v>3.4691764717793082E-2</v>
      </c>
      <c r="D52">
        <v>223</v>
      </c>
      <c r="E52" s="74"/>
      <c r="I52" s="96">
        <v>43976</v>
      </c>
      <c r="J52" s="73">
        <v>1080789.33</v>
      </c>
      <c r="K52" s="78">
        <f t="shared" si="1"/>
        <v>2.2523806860791886E-2</v>
      </c>
      <c r="L52">
        <v>223</v>
      </c>
      <c r="M52" s="74"/>
      <c r="N52" s="71"/>
    </row>
    <row r="53" spans="1:14" ht="12.75">
      <c r="A53" s="72">
        <v>43977</v>
      </c>
      <c r="B53" s="73">
        <v>49348002.549999997</v>
      </c>
      <c r="C53" s="78">
        <f t="shared" si="0"/>
        <v>4.349714695116421E-2</v>
      </c>
      <c r="D53">
        <v>222</v>
      </c>
      <c r="E53" s="74"/>
      <c r="I53" s="96">
        <v>43977</v>
      </c>
      <c r="J53" s="73">
        <v>1080042.1299999999</v>
      </c>
      <c r="K53" s="78">
        <f t="shared" si="1"/>
        <v>2.2106990042898921E-2</v>
      </c>
      <c r="L53">
        <v>222</v>
      </c>
      <c r="M53" s="74"/>
      <c r="N53" s="71"/>
    </row>
    <row r="54" spans="1:14" ht="12.75">
      <c r="A54" s="72">
        <v>43978</v>
      </c>
      <c r="B54" s="73">
        <v>49524296.829999998</v>
      </c>
      <c r="C54" s="78">
        <f t="shared" si="0"/>
        <v>2.9877748737301441E-2</v>
      </c>
      <c r="D54">
        <v>221</v>
      </c>
      <c r="E54" s="74"/>
      <c r="I54" s="96">
        <v>43978</v>
      </c>
      <c r="J54" s="73">
        <v>1088542.73</v>
      </c>
      <c r="K54" s="78">
        <f t="shared" si="1"/>
        <v>3.0128626927741285E-2</v>
      </c>
      <c r="L54">
        <v>221</v>
      </c>
      <c r="M54" s="74"/>
      <c r="N54" s="71"/>
    </row>
    <row r="55" spans="1:14" ht="12.75">
      <c r="A55" s="72">
        <v>43979</v>
      </c>
      <c r="B55" s="73">
        <v>51670002.159999996</v>
      </c>
      <c r="C55" s="78">
        <f t="shared" si="0"/>
        <v>7.5379142612270786E-2</v>
      </c>
      <c r="D55">
        <v>220</v>
      </c>
      <c r="E55" s="74"/>
      <c r="I55" s="96">
        <v>43979</v>
      </c>
      <c r="J55" s="73">
        <v>1089570.55</v>
      </c>
      <c r="K55" s="78">
        <f t="shared" si="1"/>
        <v>3.4049338849171482E-2</v>
      </c>
      <c r="L55">
        <v>220</v>
      </c>
      <c r="M55" s="74"/>
      <c r="N55" s="71"/>
    </row>
    <row r="56" spans="1:14" ht="12.75">
      <c r="A56" s="72">
        <v>43980</v>
      </c>
      <c r="B56" s="73">
        <v>52461677.329999998</v>
      </c>
      <c r="C56" s="78">
        <f t="shared" si="0"/>
        <v>8.8276638058204654E-2</v>
      </c>
      <c r="D56">
        <v>219</v>
      </c>
      <c r="E56" s="74"/>
      <c r="I56" s="96">
        <v>43980</v>
      </c>
      <c r="J56" s="73">
        <v>1089652.6399999999</v>
      </c>
      <c r="K56" s="78">
        <f t="shared" si="1"/>
        <v>3.423785510949786E-2</v>
      </c>
      <c r="L56">
        <v>219</v>
      </c>
      <c r="M56" s="74"/>
      <c r="N56" s="71"/>
    </row>
    <row r="57" spans="1:14" ht="12.75">
      <c r="A57" s="72">
        <v>43983</v>
      </c>
      <c r="B57" s="73">
        <v>52804947.990000002</v>
      </c>
      <c r="C57" s="78">
        <f t="shared" si="0"/>
        <v>9.515285646047579E-2</v>
      </c>
      <c r="D57">
        <v>218</v>
      </c>
      <c r="E57" s="74"/>
      <c r="I57" s="96">
        <v>43983</v>
      </c>
      <c r="J57" s="73">
        <v>1092246.73</v>
      </c>
      <c r="K57" s="78">
        <f t="shared" si="1"/>
        <v>3.6684740516818949E-2</v>
      </c>
      <c r="L57">
        <v>218</v>
      </c>
      <c r="M57" s="74"/>
      <c r="N57" s="71"/>
    </row>
    <row r="58" spans="1:14" ht="12.75">
      <c r="A58" s="72">
        <v>43984</v>
      </c>
      <c r="B58" s="73">
        <v>53469271.810000002</v>
      </c>
      <c r="C58" s="78">
        <f t="shared" si="0"/>
        <v>0.10558663290065516</v>
      </c>
      <c r="D58">
        <v>217</v>
      </c>
      <c r="E58" s="74"/>
      <c r="I58" s="96">
        <v>43984</v>
      </c>
      <c r="J58" s="73">
        <v>1091261.74</v>
      </c>
      <c r="K58" s="78">
        <f t="shared" si="1"/>
        <v>3.9607836991625962E-2</v>
      </c>
      <c r="L58">
        <v>217</v>
      </c>
      <c r="M58" s="74"/>
      <c r="N58" s="71"/>
    </row>
    <row r="59" spans="1:14" ht="12.75">
      <c r="A59" s="72">
        <v>43985</v>
      </c>
      <c r="B59" s="73">
        <v>53897040.890000001</v>
      </c>
      <c r="C59" s="78">
        <f t="shared" si="0"/>
        <v>0.1137231030366269</v>
      </c>
      <c r="D59">
        <v>216</v>
      </c>
      <c r="E59" s="74"/>
      <c r="I59" s="96">
        <v>43985</v>
      </c>
      <c r="J59" s="73">
        <v>1092031.74</v>
      </c>
      <c r="K59" s="78">
        <f t="shared" si="1"/>
        <v>4.0448726776444614E-2</v>
      </c>
      <c r="L59">
        <v>216</v>
      </c>
      <c r="M59" s="74"/>
      <c r="N59" s="71"/>
    </row>
    <row r="60" spans="1:14" ht="12.75">
      <c r="A60" s="72">
        <v>43986</v>
      </c>
      <c r="B60" s="73">
        <v>54031243.18</v>
      </c>
      <c r="C60" s="78">
        <f t="shared" si="0"/>
        <v>0.11600917551180498</v>
      </c>
      <c r="D60">
        <v>215</v>
      </c>
      <c r="E60" s="74"/>
      <c r="I60" s="96">
        <v>43986</v>
      </c>
      <c r="J60" s="73">
        <v>1091642</v>
      </c>
      <c r="K60" s="78">
        <f t="shared" si="1"/>
        <v>4.0019924627941933E-2</v>
      </c>
      <c r="L60">
        <v>215</v>
      </c>
      <c r="M60" s="74"/>
      <c r="N60" s="71"/>
    </row>
    <row r="61" spans="1:14" ht="12.75">
      <c r="A61" s="72">
        <v>43987</v>
      </c>
      <c r="B61" s="76">
        <v>54308952.829999998</v>
      </c>
      <c r="C61" s="78">
        <f t="shared" si="0"/>
        <v>0.11978788739988296</v>
      </c>
      <c r="D61">
        <v>214</v>
      </c>
      <c r="E61" s="74"/>
      <c r="I61" s="96">
        <v>43987</v>
      </c>
      <c r="J61" s="76">
        <v>1084974.3500000001</v>
      </c>
      <c r="K61" s="78">
        <f t="shared" si="1"/>
        <v>1.6815327332400355E-2</v>
      </c>
      <c r="L61">
        <v>214</v>
      </c>
      <c r="M61" s="74"/>
      <c r="N61" s="71"/>
    </row>
    <row r="62" spans="1:14" ht="12.75">
      <c r="A62" s="72">
        <v>43990</v>
      </c>
      <c r="B62" s="73">
        <v>55833707.420000002</v>
      </c>
      <c r="C62" s="78">
        <f t="shared" si="0"/>
        <v>0.15146677117399809</v>
      </c>
      <c r="D62">
        <v>213</v>
      </c>
      <c r="E62" s="74"/>
      <c r="I62" s="96">
        <v>43990</v>
      </c>
      <c r="J62" s="73">
        <v>1084214.3</v>
      </c>
      <c r="K62" s="78">
        <f t="shared" si="1"/>
        <v>1.6773102581712596E-2</v>
      </c>
      <c r="L62">
        <v>213</v>
      </c>
      <c r="M62" s="74"/>
      <c r="N62" s="71"/>
    </row>
    <row r="63" spans="1:14" ht="12.75">
      <c r="A63" s="72">
        <v>43991</v>
      </c>
      <c r="B63" s="73">
        <v>56094244.090000004</v>
      </c>
      <c r="C63" s="78">
        <f t="shared" si="0"/>
        <v>0.14909979665981574</v>
      </c>
      <c r="D63">
        <v>212</v>
      </c>
      <c r="E63" s="74"/>
      <c r="I63" s="96">
        <v>43991</v>
      </c>
      <c r="J63" s="73">
        <v>1083524.6499999999</v>
      </c>
      <c r="K63" s="78">
        <f t="shared" si="1"/>
        <v>1.6227370369337295E-2</v>
      </c>
      <c r="L63">
        <v>212</v>
      </c>
      <c r="M63" s="74"/>
      <c r="N63" s="71"/>
    </row>
    <row r="64" spans="1:14" ht="12.75">
      <c r="A64" s="72">
        <v>43992</v>
      </c>
      <c r="B64" s="73">
        <v>55157378.140000001</v>
      </c>
      <c r="C64" s="78">
        <f t="shared" si="0"/>
        <v>0.12792841560519527</v>
      </c>
      <c r="D64">
        <v>211</v>
      </c>
      <c r="E64" s="74"/>
      <c r="I64" s="96">
        <v>43992</v>
      </c>
      <c r="J64" s="73">
        <v>1083902.6499999999</v>
      </c>
      <c r="K64" s="78">
        <f t="shared" si="1"/>
        <v>9.9749857789457885E-3</v>
      </c>
      <c r="L64">
        <v>211</v>
      </c>
      <c r="M64" s="74"/>
      <c r="N64" s="71"/>
    </row>
    <row r="65" spans="1:14" ht="12.75">
      <c r="A65" s="72">
        <v>43993</v>
      </c>
      <c r="B65" s="73">
        <v>55521194.869999997</v>
      </c>
      <c r="C65" s="78">
        <f t="shared" si="0"/>
        <v>0.1285295955846667</v>
      </c>
      <c r="D65">
        <v>210</v>
      </c>
      <c r="E65" s="74"/>
      <c r="I65" s="96">
        <v>43993</v>
      </c>
      <c r="J65" s="73">
        <v>1100510.7</v>
      </c>
      <c r="K65" s="78">
        <f t="shared" si="1"/>
        <v>2.545098951936841E-2</v>
      </c>
      <c r="L65">
        <v>210</v>
      </c>
      <c r="M65" s="74"/>
      <c r="N65" s="71"/>
    </row>
    <row r="66" spans="1:14" ht="12.75">
      <c r="A66" s="72">
        <v>43994</v>
      </c>
      <c r="B66" s="73">
        <v>56394647.810000002</v>
      </c>
      <c r="C66" s="78">
        <f t="shared" si="0"/>
        <v>0.14365772068966559</v>
      </c>
      <c r="D66">
        <v>209</v>
      </c>
      <c r="E66" s="74"/>
      <c r="I66" s="96">
        <v>43994</v>
      </c>
      <c r="J66" s="73">
        <v>1100163.1200000001</v>
      </c>
      <c r="K66" s="78">
        <f t="shared" si="1"/>
        <v>2.4723221846751076E-2</v>
      </c>
      <c r="L66">
        <v>209</v>
      </c>
      <c r="M66" s="74"/>
      <c r="N66" s="71"/>
    </row>
    <row r="67" spans="1:14" ht="12.75">
      <c r="A67" s="72">
        <v>43997</v>
      </c>
      <c r="B67" s="73">
        <v>56594992.390000001</v>
      </c>
      <c r="C67" s="78">
        <f t="shared" si="0"/>
        <v>0.14353035749592963</v>
      </c>
      <c r="D67">
        <v>208</v>
      </c>
      <c r="E67" s="74"/>
      <c r="I67" s="96">
        <v>43997</v>
      </c>
      <c r="J67" s="73">
        <v>1117759.1499999999</v>
      </c>
      <c r="K67" s="78">
        <f t="shared" si="1"/>
        <v>4.0929419481930365E-2</v>
      </c>
      <c r="L67">
        <v>208</v>
      </c>
      <c r="M67" s="74"/>
      <c r="N67" s="71"/>
    </row>
    <row r="68" spans="1:14" ht="12.75">
      <c r="A68" s="72">
        <v>43998</v>
      </c>
      <c r="B68" s="73">
        <v>55137506.219999999</v>
      </c>
      <c r="C68" s="78">
        <f t="shared" si="0"/>
        <v>0.10379133650744235</v>
      </c>
      <c r="D68">
        <v>207</v>
      </c>
      <c r="E68" s="74"/>
      <c r="I68" s="96">
        <v>43998</v>
      </c>
      <c r="J68" s="73">
        <v>1115805.43</v>
      </c>
      <c r="K68" s="78">
        <f t="shared" si="1"/>
        <v>4.2701210217166198E-2</v>
      </c>
      <c r="L68">
        <v>207</v>
      </c>
      <c r="M68" s="74"/>
      <c r="N68" s="71"/>
    </row>
    <row r="69" spans="1:14" ht="12.75">
      <c r="A69" s="72">
        <v>43999</v>
      </c>
      <c r="B69" s="73">
        <v>55740164.700000003</v>
      </c>
      <c r="C69" s="78">
        <f t="shared" si="0"/>
        <v>0.11522152995427117</v>
      </c>
      <c r="D69">
        <v>206</v>
      </c>
      <c r="E69" s="74"/>
      <c r="I69" s="96">
        <v>43999</v>
      </c>
      <c r="J69" s="73">
        <v>1100814.73</v>
      </c>
      <c r="K69" s="78">
        <f t="shared" si="1"/>
        <v>2.7789830846618836E-2</v>
      </c>
      <c r="L69">
        <v>206</v>
      </c>
      <c r="M69" s="74"/>
      <c r="N69" s="71"/>
    </row>
    <row r="70" spans="1:14" ht="12.75">
      <c r="A70" s="72">
        <v>44000</v>
      </c>
      <c r="B70" s="73">
        <v>56330873.68</v>
      </c>
      <c r="C70" s="78">
        <f t="shared" si="0"/>
        <v>0.12262859905748735</v>
      </c>
      <c r="D70">
        <v>205</v>
      </c>
      <c r="E70" s="74"/>
      <c r="I70" s="96">
        <v>44000</v>
      </c>
      <c r="J70" s="73">
        <v>1100863.28</v>
      </c>
      <c r="K70" s="78">
        <f t="shared" si="1"/>
        <v>3.1688349213779325E-2</v>
      </c>
      <c r="L70">
        <v>205</v>
      </c>
      <c r="M70" s="74"/>
      <c r="N70" s="71"/>
    </row>
    <row r="71" spans="1:14" ht="12.75">
      <c r="A71" s="72">
        <v>44001</v>
      </c>
      <c r="B71" s="73">
        <v>56112670.850000001</v>
      </c>
      <c r="C71" s="78">
        <f t="shared" si="0"/>
        <v>0.15321214476908071</v>
      </c>
      <c r="D71">
        <v>204</v>
      </c>
      <c r="E71" s="74"/>
      <c r="I71" s="96">
        <v>44001</v>
      </c>
      <c r="J71" s="73">
        <v>1120222.3799999999</v>
      </c>
      <c r="K71" s="78">
        <f t="shared" si="1"/>
        <v>4.9650542784141022E-2</v>
      </c>
      <c r="L71">
        <v>204</v>
      </c>
      <c r="M71" s="74"/>
      <c r="N71" s="71"/>
    </row>
    <row r="72" spans="1:14" ht="12.75">
      <c r="A72" s="72">
        <v>44004</v>
      </c>
      <c r="B72" s="73">
        <v>57480839.590000004</v>
      </c>
      <c r="C72" s="78">
        <f t="shared" si="0"/>
        <v>0.16819796807682424</v>
      </c>
      <c r="D72">
        <v>203</v>
      </c>
      <c r="E72" s="74"/>
      <c r="I72" s="96">
        <v>44004</v>
      </c>
      <c r="J72" s="73">
        <v>1120026.44</v>
      </c>
      <c r="K72" s="78">
        <f t="shared" si="1"/>
        <v>3.907252794385066E-2</v>
      </c>
      <c r="L72">
        <v>203</v>
      </c>
      <c r="M72" s="74"/>
      <c r="N72" s="71"/>
    </row>
    <row r="73" spans="1:14" ht="12.75">
      <c r="A73" s="72">
        <v>44005</v>
      </c>
      <c r="B73" s="73">
        <v>57176081.719999999</v>
      </c>
      <c r="C73" s="78">
        <f t="shared" si="0"/>
        <v>0.15626992659791558</v>
      </c>
      <c r="D73">
        <v>202</v>
      </c>
      <c r="E73" s="74"/>
      <c r="I73" s="96">
        <v>44005</v>
      </c>
      <c r="J73" s="73">
        <v>1130078.94</v>
      </c>
      <c r="K73" s="78">
        <f t="shared" si="1"/>
        <v>4.5605196713035527E-2</v>
      </c>
      <c r="L73">
        <v>202</v>
      </c>
      <c r="M73" s="74"/>
      <c r="N73" s="71"/>
    </row>
    <row r="74" spans="1:14" ht="12.75">
      <c r="A74" s="72">
        <v>44006</v>
      </c>
      <c r="B74" s="73">
        <v>57154077.020000003</v>
      </c>
      <c r="C74" s="78">
        <f t="shared" si="0"/>
        <v>0.15818420334421432</v>
      </c>
      <c r="D74">
        <v>201</v>
      </c>
      <c r="E74" s="74"/>
      <c r="I74" s="96">
        <v>44006</v>
      </c>
      <c r="J74" s="73">
        <v>1130078.94</v>
      </c>
      <c r="K74" s="78">
        <f t="shared" si="1"/>
        <v>4.6328572386338356E-2</v>
      </c>
      <c r="L74">
        <v>201</v>
      </c>
      <c r="M74" s="74"/>
      <c r="N74" s="71"/>
    </row>
    <row r="75" spans="1:14" ht="12.75">
      <c r="A75" s="72">
        <v>44007</v>
      </c>
      <c r="B75" s="73">
        <v>58939694.299999997</v>
      </c>
      <c r="C75" s="78">
        <f t="shared" si="0"/>
        <v>0.19011673204204885</v>
      </c>
      <c r="D75">
        <v>200</v>
      </c>
      <c r="E75" s="74"/>
      <c r="I75" s="96">
        <v>44007</v>
      </c>
      <c r="J75" s="73">
        <v>1117740.3400000001</v>
      </c>
      <c r="K75" s="78">
        <f t="shared" si="1"/>
        <v>2.6822658583186811E-2</v>
      </c>
      <c r="L75">
        <v>200</v>
      </c>
      <c r="M75" s="74"/>
      <c r="N75" s="71"/>
    </row>
    <row r="76" spans="1:14" ht="12.75">
      <c r="A76" s="72">
        <v>44008</v>
      </c>
      <c r="B76" s="73">
        <v>61025192.189999998</v>
      </c>
      <c r="C76" s="78">
        <f t="shared" si="0"/>
        <v>0.18105650549483163</v>
      </c>
      <c r="D76">
        <v>199</v>
      </c>
      <c r="E76" s="74"/>
      <c r="I76" s="96">
        <v>44008</v>
      </c>
      <c r="J76" s="73">
        <v>1118011.23</v>
      </c>
      <c r="K76" s="78">
        <f t="shared" si="1"/>
        <v>2.6102651177567101E-2</v>
      </c>
      <c r="L76">
        <v>199</v>
      </c>
      <c r="M76" s="74"/>
      <c r="N76" s="71"/>
    </row>
    <row r="77" spans="1:14" ht="12.75">
      <c r="A77" s="72">
        <v>44011</v>
      </c>
      <c r="B77" s="73">
        <v>61485961.219999999</v>
      </c>
      <c r="C77" s="78">
        <f t="shared" si="0"/>
        <v>0.1720166862609919</v>
      </c>
      <c r="D77">
        <v>198</v>
      </c>
      <c r="E77" s="74"/>
      <c r="I77" s="96">
        <v>44011</v>
      </c>
      <c r="J77" s="73">
        <v>1125410.29</v>
      </c>
      <c r="K77" s="78">
        <f t="shared" si="1"/>
        <v>3.2815641138629413E-2</v>
      </c>
      <c r="L77">
        <v>198</v>
      </c>
      <c r="M77" s="74"/>
      <c r="N77" s="71"/>
    </row>
    <row r="78" spans="1:14" ht="12.75">
      <c r="A78" s="72">
        <v>44012</v>
      </c>
      <c r="B78" s="73">
        <v>61955529.75</v>
      </c>
      <c r="C78" s="78">
        <f t="shared" si="0"/>
        <v>0.17329023336473884</v>
      </c>
      <c r="D78">
        <v>197</v>
      </c>
      <c r="E78" s="74"/>
      <c r="I78" s="96">
        <v>44012</v>
      </c>
      <c r="J78" s="73">
        <v>1130781.96</v>
      </c>
      <c r="K78" s="78">
        <f t="shared" si="1"/>
        <v>3.5280700725924791E-2</v>
      </c>
      <c r="L78">
        <v>197</v>
      </c>
      <c r="M78" s="74"/>
      <c r="N78" s="71"/>
    </row>
    <row r="79" spans="1:14" ht="12.75">
      <c r="A79" s="72">
        <v>44013</v>
      </c>
      <c r="B79" s="73">
        <v>61428747.289999999</v>
      </c>
      <c r="C79" s="78">
        <f t="shared" si="0"/>
        <v>0.14886074207787114</v>
      </c>
      <c r="D79">
        <v>196</v>
      </c>
      <c r="E79" s="74"/>
      <c r="I79" s="96">
        <v>44013</v>
      </c>
      <c r="J79" s="73">
        <v>1142713.73</v>
      </c>
      <c r="K79" s="78">
        <f t="shared" si="1"/>
        <v>4.7149082675619132E-2</v>
      </c>
      <c r="L79">
        <v>196</v>
      </c>
      <c r="M79" s="74"/>
      <c r="N79" s="71"/>
    </row>
    <row r="80" spans="1:14" ht="12.75">
      <c r="A80" s="72">
        <v>44014</v>
      </c>
      <c r="B80" s="73">
        <v>61012874.600000001</v>
      </c>
      <c r="C80" s="78">
        <f t="shared" si="0"/>
        <v>0.13202642654395272</v>
      </c>
      <c r="D80">
        <v>195</v>
      </c>
      <c r="E80" s="74"/>
      <c r="I80" s="96">
        <v>44014</v>
      </c>
      <c r="J80" s="73">
        <v>1144192.01</v>
      </c>
      <c r="K80" s="78">
        <f t="shared" si="1"/>
        <v>4.7764426700637859E-2</v>
      </c>
      <c r="L80">
        <v>195</v>
      </c>
      <c r="M80" s="74"/>
      <c r="N80" s="71"/>
    </row>
    <row r="81" spans="1:14" ht="12.75">
      <c r="A81" s="72">
        <v>44015</v>
      </c>
      <c r="B81" s="76">
        <v>60268939.039999999</v>
      </c>
      <c r="C81" s="78">
        <f t="shared" si="0"/>
        <v>0.11544609179580975</v>
      </c>
      <c r="D81">
        <v>194</v>
      </c>
      <c r="E81" s="74"/>
      <c r="I81" s="96">
        <v>44015</v>
      </c>
      <c r="J81" s="76">
        <v>1145351.27</v>
      </c>
      <c r="K81" s="78">
        <f t="shared" si="1"/>
        <v>4.9200443002376255E-2</v>
      </c>
      <c r="L81">
        <v>194</v>
      </c>
      <c r="M81" s="74"/>
      <c r="N81" s="71"/>
    </row>
    <row r="82" spans="1:14" ht="12.75">
      <c r="A82" s="72">
        <v>44018</v>
      </c>
      <c r="B82" s="73">
        <v>62819827.520000003</v>
      </c>
      <c r="C82" s="78">
        <f t="shared" si="0"/>
        <v>0.15671218549621233</v>
      </c>
      <c r="D82">
        <v>193</v>
      </c>
      <c r="E82" s="74"/>
      <c r="I82" s="96">
        <v>44018</v>
      </c>
      <c r="J82" s="73">
        <v>1158759.27</v>
      </c>
      <c r="K82" s="78">
        <f t="shared" si="1"/>
        <v>6.8006142265022135E-2</v>
      </c>
      <c r="L82">
        <v>193</v>
      </c>
      <c r="M82" s="74"/>
      <c r="N82" s="71"/>
    </row>
    <row r="83" spans="1:14" ht="12.75">
      <c r="A83" s="72">
        <v>44019</v>
      </c>
      <c r="B83" s="73">
        <v>64726035.57</v>
      </c>
      <c r="C83" s="78">
        <f t="shared" si="0"/>
        <v>0.15926451172423323</v>
      </c>
      <c r="D83">
        <v>192</v>
      </c>
      <c r="E83" s="74"/>
      <c r="I83" s="96">
        <v>44019</v>
      </c>
      <c r="J83" s="73">
        <v>1159647.49</v>
      </c>
      <c r="K83" s="78">
        <f t="shared" si="1"/>
        <v>6.9574059298055685E-2</v>
      </c>
      <c r="L83">
        <v>192</v>
      </c>
      <c r="M83" s="74"/>
      <c r="N83" s="71"/>
    </row>
    <row r="84" spans="1:14" ht="12.75">
      <c r="A84" s="72">
        <v>44020</v>
      </c>
      <c r="B84" s="73">
        <v>66199582.299999997</v>
      </c>
      <c r="C84" s="78">
        <f t="shared" si="0"/>
        <v>0.18014928936000202</v>
      </c>
      <c r="D84">
        <v>191</v>
      </c>
      <c r="E84" s="74"/>
      <c r="I84" s="96">
        <v>44020</v>
      </c>
      <c r="J84" s="73">
        <v>1161579.29</v>
      </c>
      <c r="K84" s="78">
        <f t="shared" si="1"/>
        <v>7.2037715062596999E-2</v>
      </c>
      <c r="L84">
        <v>191</v>
      </c>
      <c r="M84" s="74"/>
      <c r="N84" s="71"/>
    </row>
    <row r="85" spans="1:14" ht="12.75">
      <c r="A85" s="72">
        <v>44021</v>
      </c>
      <c r="B85" s="73">
        <v>65796866.770000003</v>
      </c>
      <c r="C85" s="78">
        <f t="shared" si="0"/>
        <v>0.19289329893445878</v>
      </c>
      <c r="D85">
        <v>190</v>
      </c>
      <c r="E85" s="74"/>
      <c r="I85" s="96">
        <v>44021</v>
      </c>
      <c r="J85" s="73">
        <v>1160739.76</v>
      </c>
      <c r="K85" s="78">
        <f t="shared" si="1"/>
        <v>7.0889309109079229E-2</v>
      </c>
      <c r="L85">
        <v>190</v>
      </c>
      <c r="M85" s="74"/>
      <c r="N85" s="71"/>
    </row>
    <row r="86" spans="1:14" ht="12.75">
      <c r="A86" s="72">
        <v>44022</v>
      </c>
      <c r="B86" s="73">
        <v>66075232.380000003</v>
      </c>
      <c r="C86" s="78">
        <f t="shared" si="0"/>
        <v>0.19009024454015691</v>
      </c>
      <c r="D86">
        <v>189</v>
      </c>
      <c r="E86" s="74"/>
      <c r="I86" s="96">
        <v>44022</v>
      </c>
      <c r="J86" s="73">
        <v>1164740.07</v>
      </c>
      <c r="K86" s="78">
        <f t="shared" si="1"/>
        <v>5.8363239903074196E-2</v>
      </c>
      <c r="L86">
        <v>189</v>
      </c>
      <c r="M86" s="74"/>
      <c r="N86" s="71"/>
    </row>
    <row r="87" spans="1:14" ht="12.75">
      <c r="A87" s="72">
        <v>44025</v>
      </c>
      <c r="B87" s="73">
        <v>66839797.700000003</v>
      </c>
      <c r="C87" s="78">
        <f t="shared" ref="C87:C150" si="2">(B87-B66)/B66</f>
        <v>0.18521526945590477</v>
      </c>
      <c r="D87">
        <v>188</v>
      </c>
      <c r="E87" s="74"/>
      <c r="I87" s="96">
        <v>44025</v>
      </c>
      <c r="J87" s="73">
        <v>1161589.04</v>
      </c>
      <c r="K87" s="78">
        <f t="shared" ref="K87:K150" si="3">(J87-J66)/J66</f>
        <v>5.5833465859135435E-2</v>
      </c>
      <c r="L87">
        <v>188</v>
      </c>
      <c r="M87" s="74"/>
      <c r="N87" s="71"/>
    </row>
    <row r="88" spans="1:14" ht="12.75">
      <c r="A88" s="72">
        <v>44026</v>
      </c>
      <c r="B88" s="73">
        <v>64365905.210000001</v>
      </c>
      <c r="C88" s="78">
        <f t="shared" si="2"/>
        <v>0.13730742759801262</v>
      </c>
      <c r="D88">
        <v>187</v>
      </c>
      <c r="E88" s="74"/>
      <c r="I88" s="96">
        <v>44026</v>
      </c>
      <c r="J88" s="73">
        <v>1160693.33</v>
      </c>
      <c r="K88" s="78">
        <f t="shared" si="3"/>
        <v>3.8410940317509523E-2</v>
      </c>
      <c r="L88">
        <v>187</v>
      </c>
      <c r="M88" s="74"/>
      <c r="N88" s="71"/>
    </row>
    <row r="89" spans="1:14" ht="12.75">
      <c r="A89" s="72">
        <v>44027</v>
      </c>
      <c r="B89" s="73">
        <v>64236737.950000003</v>
      </c>
      <c r="C89" s="78">
        <f t="shared" si="2"/>
        <v>0.16502798827523768</v>
      </c>
      <c r="D89">
        <v>186</v>
      </c>
      <c r="E89" s="74"/>
      <c r="I89" s="96">
        <v>44027</v>
      </c>
      <c r="J89" s="73">
        <v>1165406.3</v>
      </c>
      <c r="K89" s="78">
        <f t="shared" si="3"/>
        <v>4.4452974207160934E-2</v>
      </c>
      <c r="L89">
        <v>186</v>
      </c>
      <c r="M89" s="74"/>
      <c r="N89" s="71"/>
    </row>
    <row r="90" spans="1:14" ht="12.75">
      <c r="A90" s="72">
        <v>44028</v>
      </c>
      <c r="B90" s="73">
        <v>64010184.670000002</v>
      </c>
      <c r="C90" s="78">
        <f t="shared" si="2"/>
        <v>0.14836734004124674</v>
      </c>
      <c r="D90">
        <v>185</v>
      </c>
      <c r="E90" s="74"/>
      <c r="I90" s="96">
        <v>44028</v>
      </c>
      <c r="J90" s="73">
        <v>1162410.82</v>
      </c>
      <c r="K90" s="78">
        <f t="shared" si="3"/>
        <v>5.5955001619573244E-2</v>
      </c>
      <c r="L90">
        <v>185</v>
      </c>
      <c r="M90" s="74"/>
      <c r="N90" s="71"/>
    </row>
    <row r="91" spans="1:14" ht="12.75">
      <c r="A91" s="72">
        <v>44029</v>
      </c>
      <c r="B91" s="73">
        <v>64346306.270000003</v>
      </c>
      <c r="C91" s="78">
        <f t="shared" si="2"/>
        <v>0.14229199844357898</v>
      </c>
      <c r="D91">
        <v>184</v>
      </c>
      <c r="E91" s="74"/>
      <c r="I91" s="96">
        <v>44029</v>
      </c>
      <c r="J91" s="73">
        <v>1186910.28</v>
      </c>
      <c r="K91" s="78">
        <f t="shared" si="3"/>
        <v>7.8163202972852355E-2</v>
      </c>
      <c r="L91">
        <v>184</v>
      </c>
      <c r="M91" s="74"/>
      <c r="N91" s="71"/>
    </row>
    <row r="92" spans="1:14" ht="12.75">
      <c r="A92" s="72">
        <v>44032</v>
      </c>
      <c r="B92" s="73">
        <v>63939192.43</v>
      </c>
      <c r="C92" s="78">
        <f t="shared" si="2"/>
        <v>0.13947868567728314</v>
      </c>
      <c r="D92">
        <v>183</v>
      </c>
      <c r="E92" s="74"/>
      <c r="I92" s="96">
        <v>44032</v>
      </c>
      <c r="J92" s="73">
        <v>1206506.3799999999</v>
      </c>
      <c r="K92" s="78">
        <f t="shared" si="3"/>
        <v>7.7023992325523802E-2</v>
      </c>
      <c r="L92">
        <v>183</v>
      </c>
      <c r="M92" s="74"/>
      <c r="N92" s="71"/>
    </row>
    <row r="93" spans="1:14" ht="12.75">
      <c r="A93" s="72">
        <v>44033</v>
      </c>
      <c r="B93" s="73">
        <v>64194280.68</v>
      </c>
      <c r="C93" s="78">
        <f t="shared" si="2"/>
        <v>0.11679441598079823</v>
      </c>
      <c r="D93">
        <v>182</v>
      </c>
      <c r="E93" s="74"/>
      <c r="I93" s="96">
        <v>44033</v>
      </c>
      <c r="J93" s="73">
        <v>1195359.03</v>
      </c>
      <c r="K93" s="78">
        <f t="shared" si="3"/>
        <v>6.7259653263185545E-2</v>
      </c>
      <c r="L93">
        <v>182</v>
      </c>
      <c r="M93" s="74"/>
      <c r="N93" s="71"/>
    </row>
    <row r="94" spans="1:14" ht="12.75">
      <c r="A94" s="72">
        <v>44034</v>
      </c>
      <c r="B94" s="73">
        <v>64142180.700000003</v>
      </c>
      <c r="C94" s="78">
        <f t="shared" si="2"/>
        <v>0.12183589309449455</v>
      </c>
      <c r="D94">
        <v>181</v>
      </c>
      <c r="E94" s="74"/>
      <c r="I94" s="96">
        <v>44034</v>
      </c>
      <c r="J94" s="73">
        <v>1192338.23</v>
      </c>
      <c r="K94" s="78">
        <f t="shared" si="3"/>
        <v>5.5092868114151421E-2</v>
      </c>
      <c r="L94">
        <v>181</v>
      </c>
      <c r="M94" s="74"/>
      <c r="N94" s="71"/>
    </row>
    <row r="95" spans="1:14" ht="12.75">
      <c r="A95" s="72">
        <v>44035</v>
      </c>
      <c r="B95" s="73">
        <v>64592483.68</v>
      </c>
      <c r="C95" s="78">
        <f t="shared" si="2"/>
        <v>0.1301465625522579</v>
      </c>
      <c r="D95">
        <v>180</v>
      </c>
      <c r="E95" s="74"/>
      <c r="I95" s="96">
        <v>44035</v>
      </c>
      <c r="J95" s="73">
        <v>1192187.33</v>
      </c>
      <c r="K95" s="78">
        <f t="shared" si="3"/>
        <v>5.4959337619370316E-2</v>
      </c>
      <c r="L95">
        <v>180</v>
      </c>
      <c r="M95" s="74"/>
      <c r="N95" s="71"/>
    </row>
    <row r="96" spans="1:14" ht="12.75">
      <c r="A96" s="72">
        <v>44036</v>
      </c>
      <c r="B96" s="73">
        <v>65456938.469999999</v>
      </c>
      <c r="C96" s="78">
        <f t="shared" si="2"/>
        <v>0.11057478745694821</v>
      </c>
      <c r="D96">
        <v>179</v>
      </c>
      <c r="E96" s="74"/>
      <c r="I96" s="96">
        <v>44036</v>
      </c>
      <c r="J96" s="73">
        <v>1190505.95</v>
      </c>
      <c r="K96" s="78">
        <f t="shared" si="3"/>
        <v>6.5100638668905753E-2</v>
      </c>
      <c r="L96">
        <v>179</v>
      </c>
      <c r="M96" s="74"/>
      <c r="N96" s="71"/>
    </row>
    <row r="97" spans="1:14" ht="12.75">
      <c r="A97" s="72">
        <v>44039</v>
      </c>
      <c r="B97" s="73">
        <v>66641044.759999998</v>
      </c>
      <c r="C97" s="78">
        <f t="shared" si="2"/>
        <v>9.2025151719559065E-2</v>
      </c>
      <c r="D97">
        <v>178</v>
      </c>
      <c r="E97" s="74"/>
      <c r="I97" s="96">
        <v>44039</v>
      </c>
      <c r="J97" s="73">
        <v>1187828.8600000001</v>
      </c>
      <c r="K97" s="78">
        <f t="shared" si="3"/>
        <v>6.2448057878631613E-2</v>
      </c>
      <c r="L97">
        <v>178</v>
      </c>
      <c r="M97" s="74"/>
      <c r="N97" s="71"/>
    </row>
    <row r="98" spans="1:14" ht="12.75">
      <c r="A98" s="72">
        <v>44040</v>
      </c>
      <c r="B98" s="73">
        <v>66631640.799999997</v>
      </c>
      <c r="C98" s="78">
        <f t="shared" si="2"/>
        <v>8.368869052219069E-2</v>
      </c>
      <c r="D98">
        <v>177</v>
      </c>
      <c r="E98" s="74"/>
      <c r="I98" s="96">
        <v>44040</v>
      </c>
      <c r="J98" s="73">
        <v>1187841.99</v>
      </c>
      <c r="K98" s="78">
        <f t="shared" si="3"/>
        <v>5.5474612729904886E-2</v>
      </c>
      <c r="L98">
        <v>177</v>
      </c>
      <c r="M98" s="74"/>
      <c r="N98" s="71"/>
    </row>
    <row r="99" spans="1:14" ht="12.75">
      <c r="A99" s="72">
        <v>44041</v>
      </c>
      <c r="B99" s="73">
        <v>67000024.670000002</v>
      </c>
      <c r="C99" s="78">
        <f t="shared" si="2"/>
        <v>8.1421221646482689E-2</v>
      </c>
      <c r="D99">
        <v>176</v>
      </c>
      <c r="E99" s="74"/>
      <c r="I99" s="96">
        <v>44041</v>
      </c>
      <c r="J99" s="73">
        <v>1187539.3899999999</v>
      </c>
      <c r="K99" s="78">
        <f t="shared" si="3"/>
        <v>5.0193080547553073E-2</v>
      </c>
      <c r="L99">
        <v>176</v>
      </c>
      <c r="M99" s="74"/>
      <c r="N99" s="71"/>
    </row>
    <row r="100" spans="1:14" ht="12.75">
      <c r="A100" s="72">
        <v>44042</v>
      </c>
      <c r="B100" s="73">
        <v>67471234.959999993</v>
      </c>
      <c r="C100" s="78">
        <f t="shared" si="2"/>
        <v>9.836579674128651E-2</v>
      </c>
      <c r="D100">
        <v>175</v>
      </c>
      <c r="E100" s="74"/>
      <c r="I100" s="96">
        <v>44042</v>
      </c>
      <c r="J100" s="73">
        <v>1188265.02</v>
      </c>
      <c r="K100" s="78">
        <f t="shared" si="3"/>
        <v>3.9862380930699097E-2</v>
      </c>
      <c r="L100">
        <v>175</v>
      </c>
      <c r="M100" s="74"/>
      <c r="N100" s="71"/>
    </row>
    <row r="101" spans="1:14" ht="12.75">
      <c r="A101" s="72">
        <v>44043</v>
      </c>
      <c r="B101" s="73">
        <v>68924502.620000005</v>
      </c>
      <c r="C101" s="78">
        <f t="shared" si="2"/>
        <v>0.12967145167095606</v>
      </c>
      <c r="D101">
        <v>174</v>
      </c>
      <c r="E101" s="74"/>
      <c r="I101" s="96">
        <v>44043</v>
      </c>
      <c r="J101" s="73">
        <v>1189956.23</v>
      </c>
      <c r="K101" s="78">
        <f t="shared" si="3"/>
        <v>3.999697568242936E-2</v>
      </c>
      <c r="L101">
        <v>174</v>
      </c>
      <c r="M101" s="74"/>
      <c r="N101" s="71"/>
    </row>
    <row r="102" spans="1:14" ht="12.75">
      <c r="A102" s="72">
        <v>44046</v>
      </c>
      <c r="B102" s="76">
        <v>68039771</v>
      </c>
      <c r="C102" s="78">
        <f t="shared" si="2"/>
        <v>0.12893593422712424</v>
      </c>
      <c r="D102">
        <v>173</v>
      </c>
      <c r="E102" s="74"/>
      <c r="I102" s="96">
        <v>44046</v>
      </c>
      <c r="J102" s="76">
        <v>1300176.47</v>
      </c>
      <c r="K102" s="78">
        <f t="shared" si="3"/>
        <v>0.13517704485541798</v>
      </c>
      <c r="L102">
        <v>173</v>
      </c>
      <c r="M102" s="74"/>
      <c r="N102" s="71"/>
    </row>
    <row r="103" spans="1:14" ht="12.75">
      <c r="A103" s="72">
        <v>44047</v>
      </c>
      <c r="B103" s="76">
        <v>69763430.079999998</v>
      </c>
      <c r="C103" s="78">
        <f t="shared" si="2"/>
        <v>0.11053202204016485</v>
      </c>
      <c r="D103">
        <v>172</v>
      </c>
      <c r="E103" s="74"/>
      <c r="I103" s="96">
        <v>44047</v>
      </c>
      <c r="J103" s="76">
        <v>1192777.23</v>
      </c>
      <c r="K103" s="78">
        <f t="shared" si="3"/>
        <v>2.9357227925348086E-2</v>
      </c>
      <c r="L103">
        <v>172</v>
      </c>
      <c r="M103" s="74"/>
      <c r="N103" s="71"/>
    </row>
    <row r="104" spans="1:14" ht="12.75">
      <c r="A104" s="72">
        <v>44048</v>
      </c>
      <c r="B104" s="76">
        <v>69528879.829999998</v>
      </c>
      <c r="C104" s="78">
        <f t="shared" si="2"/>
        <v>7.4202663853957365E-2</v>
      </c>
      <c r="D104">
        <v>171</v>
      </c>
      <c r="E104" s="74"/>
      <c r="I104" s="96">
        <v>44048</v>
      </c>
      <c r="J104" s="76">
        <v>1191133.6499999999</v>
      </c>
      <c r="K104" s="78">
        <f t="shared" si="3"/>
        <v>2.7151492390157215E-2</v>
      </c>
      <c r="L104">
        <v>171</v>
      </c>
      <c r="M104" s="74"/>
      <c r="N104" s="71"/>
    </row>
    <row r="105" spans="1:14" ht="12.75">
      <c r="A105" s="72">
        <v>44049</v>
      </c>
      <c r="B105" s="73">
        <v>69656369.469999999</v>
      </c>
      <c r="C105" s="78">
        <f t="shared" si="2"/>
        <v>5.2217658328034523E-2</v>
      </c>
      <c r="D105">
        <v>170</v>
      </c>
      <c r="E105" s="74"/>
      <c r="I105" s="96">
        <v>44049</v>
      </c>
      <c r="J105" s="73">
        <v>1199317.2</v>
      </c>
      <c r="K105" s="78">
        <f t="shared" si="3"/>
        <v>3.2488449410973841E-2</v>
      </c>
      <c r="L105">
        <v>170</v>
      </c>
      <c r="M105" s="74"/>
      <c r="N105" s="71"/>
    </row>
    <row r="106" spans="1:14" ht="12.75">
      <c r="A106" s="72">
        <v>44050</v>
      </c>
      <c r="B106" s="73">
        <v>69846885.209999993</v>
      </c>
      <c r="C106" s="78">
        <f t="shared" si="2"/>
        <v>6.1553363234715469E-2</v>
      </c>
      <c r="D106">
        <v>169</v>
      </c>
      <c r="E106" s="74"/>
      <c r="I106" s="96">
        <v>44050</v>
      </c>
      <c r="J106" s="73">
        <v>1221846.3500000001</v>
      </c>
      <c r="K106" s="78">
        <f t="shared" si="3"/>
        <v>5.2644522145084513E-2</v>
      </c>
      <c r="L106">
        <v>169</v>
      </c>
      <c r="M106" s="74"/>
      <c r="N106" s="71"/>
    </row>
    <row r="107" spans="1:14" ht="12.75">
      <c r="A107" s="72">
        <v>44053</v>
      </c>
      <c r="B107" s="73">
        <v>69843149.510000005</v>
      </c>
      <c r="C107" s="78">
        <f t="shared" si="2"/>
        <v>5.7024651965363278E-2</v>
      </c>
      <c r="D107">
        <v>168</v>
      </c>
      <c r="E107" s="74"/>
      <c r="I107" s="96">
        <v>44053</v>
      </c>
      <c r="J107" s="73">
        <v>1208448.47</v>
      </c>
      <c r="K107" s="78">
        <f t="shared" si="3"/>
        <v>3.7526312630422255E-2</v>
      </c>
      <c r="L107">
        <v>168</v>
      </c>
      <c r="M107" s="74"/>
      <c r="N107" s="71"/>
    </row>
    <row r="108" spans="1:14" ht="12.75">
      <c r="A108" s="72">
        <v>44054</v>
      </c>
      <c r="B108" s="73">
        <v>70444871.230000004</v>
      </c>
      <c r="C108" s="78">
        <f t="shared" si="2"/>
        <v>5.393603293326546E-2</v>
      </c>
      <c r="D108">
        <v>167</v>
      </c>
      <c r="E108" s="74"/>
      <c r="I108" s="96">
        <v>44054</v>
      </c>
      <c r="J108" s="73">
        <v>1209356.52</v>
      </c>
      <c r="K108" s="78">
        <f t="shared" si="3"/>
        <v>4.1122529875109684E-2</v>
      </c>
      <c r="L108">
        <v>167</v>
      </c>
      <c r="M108" s="74"/>
      <c r="N108" s="71"/>
    </row>
    <row r="109" spans="1:14" ht="12.75">
      <c r="A109" s="72">
        <v>44055</v>
      </c>
      <c r="B109" s="73">
        <v>69977339.849999994</v>
      </c>
      <c r="C109" s="78">
        <f t="shared" si="2"/>
        <v>8.7180233412272296E-2</v>
      </c>
      <c r="D109">
        <v>166</v>
      </c>
      <c r="E109" s="74"/>
      <c r="I109" s="96">
        <v>44055</v>
      </c>
      <c r="J109" s="73">
        <v>1209981.97</v>
      </c>
      <c r="K109" s="78">
        <f t="shared" si="3"/>
        <v>4.2464825743420011E-2</v>
      </c>
      <c r="L109">
        <v>166</v>
      </c>
      <c r="M109" s="74"/>
      <c r="N109" s="71"/>
    </row>
    <row r="110" spans="1:14" ht="12.75">
      <c r="A110" s="72">
        <v>44056</v>
      </c>
      <c r="B110" s="73">
        <v>70550595.920000002</v>
      </c>
      <c r="C110" s="78">
        <f t="shared" si="2"/>
        <v>9.8290451406709362E-2</v>
      </c>
      <c r="D110">
        <v>165</v>
      </c>
      <c r="E110" s="74"/>
      <c r="I110" s="96">
        <v>44056</v>
      </c>
      <c r="J110" s="73">
        <v>1209698.9099999999</v>
      </c>
      <c r="K110" s="78">
        <f t="shared" si="3"/>
        <v>3.8006152875610738E-2</v>
      </c>
      <c r="L110">
        <v>165</v>
      </c>
      <c r="M110" s="74"/>
      <c r="N110" s="71"/>
    </row>
    <row r="111" spans="1:14" ht="12.75">
      <c r="A111" s="72">
        <v>44057</v>
      </c>
      <c r="B111" s="73">
        <v>70359498.319999993</v>
      </c>
      <c r="C111" s="78">
        <f t="shared" si="2"/>
        <v>9.9192240777517371E-2</v>
      </c>
      <c r="D111">
        <v>164</v>
      </c>
      <c r="E111" s="74"/>
      <c r="I111" s="96">
        <v>44057</v>
      </c>
      <c r="J111" s="73">
        <v>1215621.21</v>
      </c>
      <c r="K111" s="78">
        <f t="shared" si="3"/>
        <v>4.5775890145275742E-2</v>
      </c>
      <c r="L111">
        <v>164</v>
      </c>
      <c r="M111" s="74"/>
      <c r="N111" s="71"/>
    </row>
    <row r="112" spans="1:14" ht="12.75">
      <c r="A112" s="72">
        <v>44060</v>
      </c>
      <c r="B112" s="73">
        <v>69131789.609999999</v>
      </c>
      <c r="C112" s="78">
        <f t="shared" si="2"/>
        <v>7.4370754397616742E-2</v>
      </c>
      <c r="D112">
        <v>163</v>
      </c>
      <c r="E112" s="74"/>
      <c r="I112" s="96">
        <v>44060</v>
      </c>
      <c r="J112" s="73">
        <v>1178486.7</v>
      </c>
      <c r="K112" s="78">
        <f t="shared" si="3"/>
        <v>-7.0970655001826042E-3</v>
      </c>
      <c r="L112">
        <v>163</v>
      </c>
      <c r="M112" s="74"/>
      <c r="N112" s="71"/>
    </row>
    <row r="113" spans="1:14" ht="12.75">
      <c r="A113" s="72">
        <v>44061</v>
      </c>
      <c r="B113" s="73">
        <v>69127384.920000002</v>
      </c>
      <c r="C113" s="78">
        <f t="shared" si="2"/>
        <v>8.1142602726488683E-2</v>
      </c>
      <c r="D113">
        <v>162</v>
      </c>
      <c r="E113" s="74"/>
      <c r="I113" s="96">
        <v>44061</v>
      </c>
      <c r="J113" s="73">
        <v>1165153.1399999999</v>
      </c>
      <c r="K113" s="78">
        <f t="shared" si="3"/>
        <v>-3.4275193803782453E-2</v>
      </c>
      <c r="L113">
        <v>162</v>
      </c>
      <c r="M113" s="74"/>
      <c r="N113" s="71"/>
    </row>
    <row r="114" spans="1:14" ht="12.75">
      <c r="A114" s="72">
        <v>44062</v>
      </c>
      <c r="B114" s="73">
        <v>68899822.159999996</v>
      </c>
      <c r="C114" s="78">
        <f t="shared" si="2"/>
        <v>7.3301568771468886E-2</v>
      </c>
      <c r="D114">
        <v>161</v>
      </c>
      <c r="E114" s="74"/>
      <c r="I114" s="96">
        <v>44062</v>
      </c>
      <c r="J114" s="73">
        <v>1166940.6000000001</v>
      </c>
      <c r="K114" s="78">
        <f t="shared" si="3"/>
        <v>-2.3773970235536627E-2</v>
      </c>
      <c r="L114">
        <v>161</v>
      </c>
      <c r="M114" s="74"/>
      <c r="N114" s="71"/>
    </row>
    <row r="115" spans="1:14" ht="12.75">
      <c r="A115" s="72">
        <v>44063</v>
      </c>
      <c r="B115" s="73">
        <v>65407899.390000001</v>
      </c>
      <c r="C115" s="78">
        <f t="shared" si="2"/>
        <v>1.9733016186647946E-2</v>
      </c>
      <c r="D115">
        <v>160</v>
      </c>
      <c r="E115" s="74"/>
      <c r="I115" s="96">
        <v>44063</v>
      </c>
      <c r="J115" s="73">
        <v>1167033</v>
      </c>
      <c r="K115" s="78">
        <f t="shared" si="3"/>
        <v>-2.1223197716305701E-2</v>
      </c>
      <c r="L115">
        <v>160</v>
      </c>
      <c r="M115" s="74"/>
      <c r="N115" s="71"/>
    </row>
    <row r="116" spans="1:14" ht="12.75">
      <c r="A116" s="72">
        <v>44064</v>
      </c>
      <c r="B116" s="73">
        <v>65532770.689999998</v>
      </c>
      <c r="C116" s="78">
        <f t="shared" si="2"/>
        <v>1.4557220227949561E-2</v>
      </c>
      <c r="D116">
        <v>159</v>
      </c>
      <c r="E116" s="74"/>
      <c r="I116" s="96">
        <v>44064</v>
      </c>
      <c r="J116" s="73">
        <v>1173365.75</v>
      </c>
      <c r="K116" s="78">
        <f t="shared" si="3"/>
        <v>-1.5787435016609407E-2</v>
      </c>
      <c r="L116">
        <v>159</v>
      </c>
      <c r="M116" s="74"/>
      <c r="N116" s="71"/>
    </row>
    <row r="117" spans="1:14" ht="12.75">
      <c r="A117" s="72">
        <v>44067</v>
      </c>
      <c r="B117" s="73">
        <v>64418328.579999998</v>
      </c>
      <c r="C117" s="78">
        <f t="shared" si="2"/>
        <v>-1.5867070997767681E-2</v>
      </c>
      <c r="D117">
        <v>158</v>
      </c>
      <c r="E117" s="74"/>
      <c r="I117" s="96">
        <v>44067</v>
      </c>
      <c r="J117" s="73">
        <v>1175997.98</v>
      </c>
      <c r="K117" s="78">
        <f t="shared" si="3"/>
        <v>-1.2186390164618642E-2</v>
      </c>
      <c r="L117">
        <v>158</v>
      </c>
      <c r="M117" s="74"/>
      <c r="N117" s="71"/>
    </row>
    <row r="118" spans="1:14" ht="12.75">
      <c r="A118" s="72">
        <v>44068</v>
      </c>
      <c r="B118" s="73">
        <v>64622016.969999999</v>
      </c>
      <c r="C118" s="78">
        <f t="shared" si="2"/>
        <v>-3.0297060876990956E-2</v>
      </c>
      <c r="D118">
        <v>157</v>
      </c>
      <c r="E118" s="74"/>
      <c r="I118" s="96">
        <v>44068</v>
      </c>
      <c r="J118" s="73">
        <v>1173385.21</v>
      </c>
      <c r="K118" s="78">
        <f t="shared" si="3"/>
        <v>-1.2159706239163223E-2</v>
      </c>
      <c r="L118">
        <v>157</v>
      </c>
      <c r="M118" s="74"/>
      <c r="N118" s="71"/>
    </row>
    <row r="119" spans="1:14" ht="12.75">
      <c r="A119" s="72">
        <v>44069</v>
      </c>
      <c r="B119" s="73">
        <v>63941037.869999997</v>
      </c>
      <c r="C119" s="78">
        <f t="shared" si="2"/>
        <v>-4.0380259253648756E-2</v>
      </c>
      <c r="D119">
        <v>156</v>
      </c>
      <c r="E119" s="74"/>
      <c r="I119" s="96">
        <v>44069</v>
      </c>
      <c r="J119" s="73">
        <v>1161071.06</v>
      </c>
      <c r="K119" s="78">
        <f t="shared" si="3"/>
        <v>-2.2537450456689055E-2</v>
      </c>
      <c r="L119">
        <v>156</v>
      </c>
      <c r="M119" s="74"/>
      <c r="N119" s="71"/>
    </row>
    <row r="120" spans="1:14" ht="12.75">
      <c r="A120" s="72">
        <v>44070</v>
      </c>
      <c r="B120" s="73">
        <v>63640286.75</v>
      </c>
      <c r="C120" s="78">
        <f t="shared" si="2"/>
        <v>-5.014532362559504E-2</v>
      </c>
      <c r="D120">
        <v>155</v>
      </c>
      <c r="E120" s="74"/>
      <c r="I120" s="96">
        <v>44070</v>
      </c>
      <c r="J120" s="73">
        <v>1164200.07</v>
      </c>
      <c r="K120" s="78">
        <f t="shared" si="3"/>
        <v>-1.9653512293179458E-2</v>
      </c>
      <c r="L120">
        <v>155</v>
      </c>
      <c r="M120" s="74"/>
      <c r="N120" s="71"/>
    </row>
    <row r="121" spans="1:14" ht="12.75">
      <c r="A121" s="72">
        <v>44071</v>
      </c>
      <c r="B121" s="73">
        <v>64654159.689999998</v>
      </c>
      <c r="C121" s="78">
        <f t="shared" si="2"/>
        <v>-4.175224110941627E-2</v>
      </c>
      <c r="D121">
        <v>154</v>
      </c>
      <c r="E121" s="74"/>
      <c r="I121" s="96">
        <v>44071</v>
      </c>
      <c r="J121" s="73">
        <v>1168792.17</v>
      </c>
      <c r="K121" s="78">
        <f t="shared" si="3"/>
        <v>-1.6387632112573752E-2</v>
      </c>
      <c r="L121">
        <v>154</v>
      </c>
      <c r="M121" s="74"/>
      <c r="N121" s="71"/>
    </row>
    <row r="122" spans="1:14" ht="12.75">
      <c r="A122" s="72">
        <v>44074</v>
      </c>
      <c r="B122" s="73">
        <v>64218868.490000002</v>
      </c>
      <c r="C122" s="78">
        <f t="shared" si="2"/>
        <v>-6.8272297240119018E-2</v>
      </c>
      <c r="D122">
        <v>153</v>
      </c>
      <c r="E122" s="74"/>
      <c r="I122" s="96">
        <v>44074</v>
      </c>
      <c r="J122" s="73">
        <v>1170896.25</v>
      </c>
      <c r="K122" s="78">
        <f t="shared" si="3"/>
        <v>-1.6017379059396143E-2</v>
      </c>
      <c r="L122">
        <v>153</v>
      </c>
      <c r="M122" s="74"/>
      <c r="N122" s="71"/>
    </row>
    <row r="123" spans="1:14" ht="12.75">
      <c r="A123" s="72">
        <v>44075</v>
      </c>
      <c r="B123" s="73">
        <v>64150207.950000003</v>
      </c>
      <c r="C123" s="78">
        <f t="shared" si="2"/>
        <v>-5.7166022060832586E-2</v>
      </c>
      <c r="D123">
        <v>152</v>
      </c>
      <c r="E123" s="74"/>
      <c r="I123" s="96">
        <v>44075</v>
      </c>
      <c r="J123" s="73">
        <v>1174959.54</v>
      </c>
      <c r="K123" s="78">
        <f t="shared" si="3"/>
        <v>-9.630764199262884E-2</v>
      </c>
      <c r="L123">
        <v>152</v>
      </c>
      <c r="M123" s="74"/>
      <c r="N123" s="71"/>
    </row>
    <row r="124" spans="1:14" ht="12.75">
      <c r="A124" s="72">
        <v>44076</v>
      </c>
      <c r="B124" s="76">
        <v>65208834.32</v>
      </c>
      <c r="C124" s="78">
        <f t="shared" si="2"/>
        <v>-6.5286293331292544E-2</v>
      </c>
      <c r="D124">
        <v>151</v>
      </c>
      <c r="E124" s="74"/>
      <c r="I124" s="96">
        <v>44076</v>
      </c>
      <c r="J124" s="76">
        <v>1163817.33</v>
      </c>
      <c r="K124" s="78">
        <f t="shared" si="3"/>
        <v>-2.4279387023509753E-2</v>
      </c>
      <c r="L124">
        <v>151</v>
      </c>
      <c r="M124" s="74"/>
      <c r="N124" s="71"/>
    </row>
    <row r="125" spans="1:14" ht="12.75">
      <c r="A125" s="72">
        <v>44077</v>
      </c>
      <c r="B125" s="76">
        <v>64905750.939999998</v>
      </c>
      <c r="C125" s="78">
        <f t="shared" si="2"/>
        <v>-6.6492210162218582E-2</v>
      </c>
      <c r="D125">
        <v>150</v>
      </c>
      <c r="E125" s="74"/>
      <c r="I125" s="96">
        <v>44077</v>
      </c>
      <c r="J125" s="76">
        <v>1174732.83</v>
      </c>
      <c r="K125" s="78">
        <f t="shared" si="3"/>
        <v>-1.3769084602722652E-2</v>
      </c>
      <c r="L125">
        <v>150</v>
      </c>
      <c r="M125" s="74"/>
      <c r="N125" s="71"/>
    </row>
    <row r="126" spans="1:14" ht="12.75">
      <c r="A126" s="72">
        <v>44078</v>
      </c>
      <c r="B126" s="76">
        <v>64893320.969999999</v>
      </c>
      <c r="C126" s="78">
        <f t="shared" si="2"/>
        <v>-6.8379224128977567E-2</v>
      </c>
      <c r="D126">
        <v>149</v>
      </c>
      <c r="E126" s="74"/>
      <c r="I126" s="96">
        <v>44078</v>
      </c>
      <c r="J126" s="76">
        <v>1173162.08</v>
      </c>
      <c r="K126" s="78">
        <f t="shared" si="3"/>
        <v>-2.1808342280090605E-2</v>
      </c>
      <c r="L126">
        <v>149</v>
      </c>
      <c r="M126" s="74"/>
      <c r="N126" s="71"/>
    </row>
    <row r="127" spans="1:14" ht="12.75">
      <c r="A127" s="72">
        <v>44081</v>
      </c>
      <c r="B127" s="73">
        <v>65203122.460000001</v>
      </c>
      <c r="C127" s="78">
        <f t="shared" si="2"/>
        <v>-6.648489386517617E-2</v>
      </c>
      <c r="D127">
        <v>148</v>
      </c>
      <c r="E127" s="74"/>
      <c r="I127" s="96">
        <v>44081</v>
      </c>
      <c r="J127" s="73">
        <v>1186653.28</v>
      </c>
      <c r="K127" s="78">
        <f t="shared" si="3"/>
        <v>-2.8803187896743368E-2</v>
      </c>
      <c r="L127">
        <v>148</v>
      </c>
      <c r="M127" s="74"/>
      <c r="N127" s="71"/>
    </row>
    <row r="128" spans="1:14" ht="12.75">
      <c r="A128" s="72">
        <v>44082</v>
      </c>
      <c r="B128" s="73">
        <v>65192239.859999999</v>
      </c>
      <c r="C128" s="78">
        <f t="shared" si="2"/>
        <v>-6.6590777801824333E-2</v>
      </c>
      <c r="D128">
        <v>147</v>
      </c>
      <c r="E128" s="74"/>
      <c r="I128" s="96">
        <v>44082</v>
      </c>
      <c r="J128" s="73">
        <v>1181415.68</v>
      </c>
      <c r="K128" s="78">
        <f t="shared" si="3"/>
        <v>-2.2369832616859566E-2</v>
      </c>
      <c r="L128">
        <v>147</v>
      </c>
      <c r="M128" s="74"/>
      <c r="N128" s="71"/>
    </row>
    <row r="129" spans="1:14" ht="12.75">
      <c r="A129" s="72">
        <v>44083</v>
      </c>
      <c r="B129" s="73">
        <v>66105404.450000003</v>
      </c>
      <c r="C129" s="78">
        <f t="shared" si="2"/>
        <v>-6.1600890231338433E-2</v>
      </c>
      <c r="D129">
        <v>146</v>
      </c>
      <c r="E129" s="74"/>
      <c r="I129" s="96">
        <v>44083</v>
      </c>
      <c r="J129" s="73">
        <v>1163354.5</v>
      </c>
      <c r="K129" s="78">
        <f t="shared" si="3"/>
        <v>-3.803842724559009E-2</v>
      </c>
      <c r="L129">
        <v>146</v>
      </c>
      <c r="M129" s="74"/>
      <c r="N129" s="71"/>
    </row>
    <row r="130" spans="1:14" ht="12.75">
      <c r="A130" s="72">
        <v>44084</v>
      </c>
      <c r="B130" s="73">
        <v>65301636.520000003</v>
      </c>
      <c r="C130" s="78">
        <f t="shared" si="2"/>
        <v>-6.6817391744564733E-2</v>
      </c>
      <c r="D130">
        <v>145</v>
      </c>
      <c r="E130" s="74"/>
      <c r="I130" s="96">
        <v>44084</v>
      </c>
      <c r="J130" s="73">
        <v>1163560.33</v>
      </c>
      <c r="K130" s="78">
        <f t="shared" si="3"/>
        <v>-3.8365563414139055E-2</v>
      </c>
      <c r="L130">
        <v>145</v>
      </c>
      <c r="M130" s="74"/>
      <c r="N130" s="71"/>
    </row>
    <row r="131" spans="1:14" ht="12.75">
      <c r="A131" s="72">
        <v>44085</v>
      </c>
      <c r="B131" s="73">
        <v>65272877.630000003</v>
      </c>
      <c r="C131" s="78">
        <f t="shared" si="2"/>
        <v>-7.480756499894918E-2</v>
      </c>
      <c r="D131">
        <v>144</v>
      </c>
      <c r="E131" s="74"/>
      <c r="I131" s="96">
        <v>44085</v>
      </c>
      <c r="J131" s="73">
        <v>1171388</v>
      </c>
      <c r="K131" s="78">
        <f t="shared" si="3"/>
        <v>-3.1669789633851878E-2</v>
      </c>
      <c r="L131">
        <v>144</v>
      </c>
      <c r="M131" s="74"/>
      <c r="N131" s="71"/>
    </row>
    <row r="132" spans="1:14" ht="12.75">
      <c r="A132" s="72">
        <v>44088</v>
      </c>
      <c r="B132" s="73">
        <v>65241755.009999998</v>
      </c>
      <c r="C132" s="78">
        <f t="shared" si="2"/>
        <v>-7.2737063682917907E-2</v>
      </c>
      <c r="D132">
        <v>143</v>
      </c>
      <c r="E132" s="74"/>
      <c r="I132" s="96">
        <v>44088</v>
      </c>
      <c r="J132" s="73">
        <v>1175991.25</v>
      </c>
      <c r="K132" s="78">
        <f t="shared" si="3"/>
        <v>-3.2600582874002311E-2</v>
      </c>
      <c r="L132">
        <v>143</v>
      </c>
      <c r="M132" s="74"/>
      <c r="N132" s="71"/>
    </row>
    <row r="133" spans="1:14" ht="12.75">
      <c r="A133" s="72">
        <v>44089</v>
      </c>
      <c r="B133" s="73">
        <v>65652548.640000001</v>
      </c>
      <c r="C133" s="78">
        <f t="shared" si="2"/>
        <v>-5.032765663420237E-2</v>
      </c>
      <c r="D133">
        <v>142</v>
      </c>
      <c r="E133" s="74"/>
      <c r="I133" s="96">
        <v>44089</v>
      </c>
      <c r="J133" s="73">
        <v>1170799.7</v>
      </c>
      <c r="K133" s="78">
        <f t="shared" si="3"/>
        <v>-6.5227719583089063E-3</v>
      </c>
      <c r="L133">
        <v>142</v>
      </c>
      <c r="M133" s="74"/>
      <c r="N133" s="71"/>
    </row>
    <row r="134" spans="1:14" ht="12.75">
      <c r="A134" s="72">
        <v>44090</v>
      </c>
      <c r="B134" s="73">
        <v>64436590.219999999</v>
      </c>
      <c r="C134" s="78">
        <f t="shared" si="2"/>
        <v>-6.7857256649135264E-2</v>
      </c>
      <c r="D134">
        <v>141</v>
      </c>
      <c r="E134" s="74"/>
      <c r="I134" s="96">
        <v>44090</v>
      </c>
      <c r="J134" s="73">
        <v>1172831.74</v>
      </c>
      <c r="K134" s="78">
        <f t="shared" si="3"/>
        <v>6.5902066744634906E-3</v>
      </c>
      <c r="L134">
        <v>141</v>
      </c>
      <c r="M134" s="74"/>
      <c r="N134" s="71"/>
    </row>
    <row r="135" spans="1:14" ht="12.75">
      <c r="A135" s="72">
        <v>44091</v>
      </c>
      <c r="B135" s="73">
        <v>64543834.890000001</v>
      </c>
      <c r="C135" s="78">
        <f t="shared" si="2"/>
        <v>-6.322203938182118E-2</v>
      </c>
      <c r="D135">
        <v>140</v>
      </c>
      <c r="E135" s="74"/>
      <c r="I135" s="96">
        <v>44091</v>
      </c>
      <c r="J135" s="73">
        <v>1188370.04</v>
      </c>
      <c r="K135" s="78">
        <f t="shared" si="3"/>
        <v>1.836377961311822E-2</v>
      </c>
      <c r="L135">
        <v>140</v>
      </c>
      <c r="M135" s="74"/>
      <c r="N135" s="71"/>
    </row>
    <row r="136" spans="1:14" ht="12.75">
      <c r="A136" s="72">
        <v>44092</v>
      </c>
      <c r="B136" s="73">
        <v>63713586.68</v>
      </c>
      <c r="C136" s="78">
        <f t="shared" si="2"/>
        <v>-2.5903793361372478E-2</v>
      </c>
      <c r="D136">
        <v>139</v>
      </c>
      <c r="E136" s="74"/>
      <c r="I136" s="96">
        <v>44092</v>
      </c>
      <c r="J136" s="73">
        <v>1181303.8500000001</v>
      </c>
      <c r="K136" s="78">
        <f t="shared" si="3"/>
        <v>1.2228317451177553E-2</v>
      </c>
      <c r="L136">
        <v>139</v>
      </c>
      <c r="M136" s="74"/>
      <c r="N136" s="71"/>
    </row>
    <row r="137" spans="1:14" ht="12.75">
      <c r="A137" s="72">
        <v>44095</v>
      </c>
      <c r="B137" s="73">
        <v>63245419.979999997</v>
      </c>
      <c r="C137" s="78">
        <f t="shared" si="2"/>
        <v>-3.4903921899170368E-2</v>
      </c>
      <c r="D137">
        <v>138</v>
      </c>
      <c r="E137" s="74"/>
      <c r="I137" s="96">
        <v>44095</v>
      </c>
      <c r="J137" s="73">
        <v>1177499.26</v>
      </c>
      <c r="K137" s="78">
        <f t="shared" si="3"/>
        <v>3.5227805140894981E-3</v>
      </c>
      <c r="L137">
        <v>138</v>
      </c>
      <c r="M137" s="74"/>
      <c r="N137" s="71"/>
    </row>
    <row r="138" spans="1:14" ht="12.75">
      <c r="A138" s="72">
        <v>44096</v>
      </c>
      <c r="B138" s="73">
        <v>63472468.850000001</v>
      </c>
      <c r="C138" s="78">
        <f t="shared" si="2"/>
        <v>-1.4683084004971505E-2</v>
      </c>
      <c r="D138">
        <v>137</v>
      </c>
      <c r="E138" s="74"/>
      <c r="I138" s="96">
        <v>44096</v>
      </c>
      <c r="J138" s="73">
        <v>1175545.73</v>
      </c>
      <c r="K138" s="78">
        <f t="shared" si="3"/>
        <v>-3.8456698709635537E-4</v>
      </c>
      <c r="L138">
        <v>137</v>
      </c>
      <c r="M138" s="74"/>
      <c r="N138" s="71"/>
    </row>
    <row r="139" spans="1:14" ht="12.75">
      <c r="A139" s="72">
        <v>44097</v>
      </c>
      <c r="B139" s="73">
        <v>63207207.049999997</v>
      </c>
      <c r="C139" s="78">
        <f t="shared" si="2"/>
        <v>-2.1893620569856408E-2</v>
      </c>
      <c r="D139">
        <v>136</v>
      </c>
      <c r="E139" s="74"/>
      <c r="I139" s="96">
        <v>44097</v>
      </c>
      <c r="J139" s="73">
        <v>1176893.32</v>
      </c>
      <c r="K139" s="78">
        <f t="shared" si="3"/>
        <v>2.9897342919467194E-3</v>
      </c>
      <c r="L139">
        <v>136</v>
      </c>
      <c r="M139" s="74"/>
      <c r="N139" s="71"/>
    </row>
    <row r="140" spans="1:14" ht="12.75">
      <c r="A140" s="72">
        <v>44098</v>
      </c>
      <c r="B140" s="73">
        <v>63017443.189999998</v>
      </c>
      <c r="C140" s="78">
        <f t="shared" si="2"/>
        <v>-1.4444474327704555E-2</v>
      </c>
      <c r="D140">
        <v>135</v>
      </c>
      <c r="E140" s="74"/>
      <c r="I140" s="96">
        <v>44098</v>
      </c>
      <c r="J140" s="73">
        <v>1180228.58</v>
      </c>
      <c r="K140" s="78">
        <f t="shared" si="3"/>
        <v>1.6499868664369276E-2</v>
      </c>
      <c r="L140">
        <v>135</v>
      </c>
      <c r="M140" s="74"/>
      <c r="N140" s="71"/>
    </row>
    <row r="141" spans="1:14" ht="12.75">
      <c r="A141" s="72">
        <v>44099</v>
      </c>
      <c r="B141" s="73">
        <v>62976922.520000003</v>
      </c>
      <c r="C141" s="78">
        <f t="shared" si="2"/>
        <v>-1.042365243585262E-2</v>
      </c>
      <c r="D141">
        <v>134</v>
      </c>
      <c r="E141" s="74"/>
      <c r="I141" s="96">
        <v>44099</v>
      </c>
      <c r="J141" s="73">
        <v>1175784.71</v>
      </c>
      <c r="K141" s="78">
        <f t="shared" si="3"/>
        <v>9.9507295167916426E-3</v>
      </c>
      <c r="L141">
        <v>134</v>
      </c>
      <c r="M141" s="74"/>
      <c r="N141" s="71"/>
    </row>
    <row r="142" spans="1:14" ht="12.75">
      <c r="A142" s="72">
        <v>44102</v>
      </c>
      <c r="B142" s="73">
        <v>62935403.850000001</v>
      </c>
      <c r="C142" s="78">
        <f t="shared" si="2"/>
        <v>-2.6583840053617379E-2</v>
      </c>
      <c r="D142">
        <v>133</v>
      </c>
      <c r="E142" s="74"/>
      <c r="I142" s="96">
        <v>44102</v>
      </c>
      <c r="J142" s="73">
        <v>1177131.94</v>
      </c>
      <c r="K142" s="78">
        <f t="shared" si="3"/>
        <v>7.1353746320870883E-3</v>
      </c>
      <c r="L142">
        <v>133</v>
      </c>
      <c r="M142" s="74"/>
      <c r="N142" s="71"/>
    </row>
    <row r="143" spans="1:14" ht="12.75">
      <c r="A143" s="72">
        <v>44103</v>
      </c>
      <c r="B143" s="73">
        <v>62297051.899999999</v>
      </c>
      <c r="C143" s="78">
        <f t="shared" si="2"/>
        <v>-2.9926042535291072E-2</v>
      </c>
      <c r="D143">
        <v>132</v>
      </c>
      <c r="E143" s="74"/>
      <c r="I143" s="96">
        <v>44103</v>
      </c>
      <c r="J143" s="73">
        <v>1171475.26</v>
      </c>
      <c r="K143" s="78">
        <f t="shared" si="3"/>
        <v>4.9450154102040149E-4</v>
      </c>
      <c r="L143">
        <v>132</v>
      </c>
      <c r="M143" s="74"/>
      <c r="N143" s="71"/>
    </row>
    <row r="144" spans="1:14" ht="12.75">
      <c r="A144" s="72">
        <v>44104</v>
      </c>
      <c r="B144" s="73">
        <v>62750270.960000001</v>
      </c>
      <c r="C144" s="78">
        <f t="shared" si="2"/>
        <v>-2.1822797380347418E-2</v>
      </c>
      <c r="D144">
        <v>131</v>
      </c>
      <c r="E144" s="74"/>
      <c r="I144" s="96">
        <v>44104</v>
      </c>
      <c r="J144" s="73">
        <v>1170633</v>
      </c>
      <c r="K144" s="78">
        <f t="shared" si="3"/>
        <v>-3.6822884982065317E-3</v>
      </c>
      <c r="L144">
        <v>131</v>
      </c>
      <c r="M144" s="74"/>
      <c r="N144" s="71"/>
    </row>
    <row r="145" spans="1:14" ht="12.75">
      <c r="A145" s="72">
        <v>44105</v>
      </c>
      <c r="B145" s="73">
        <v>61008783.43</v>
      </c>
      <c r="C145" s="78">
        <f t="shared" si="2"/>
        <v>-6.440923126135098E-2</v>
      </c>
      <c r="D145">
        <v>130</v>
      </c>
      <c r="E145" s="74"/>
      <c r="I145" s="96">
        <v>44105</v>
      </c>
      <c r="J145" s="73">
        <v>1170635.1599999999</v>
      </c>
      <c r="K145" s="78">
        <f t="shared" si="3"/>
        <v>5.8581616068561562E-3</v>
      </c>
      <c r="L145">
        <v>130</v>
      </c>
      <c r="M145" s="74"/>
      <c r="N145" s="71"/>
    </row>
    <row r="146" spans="1:14" ht="12.75">
      <c r="A146" s="72">
        <v>44106</v>
      </c>
      <c r="B146" s="73">
        <v>60362548.659999996</v>
      </c>
      <c r="C146" s="78">
        <f t="shared" si="2"/>
        <v>-6.999691420564283E-2</v>
      </c>
      <c r="D146">
        <v>129</v>
      </c>
      <c r="E146" s="74"/>
      <c r="I146" s="96">
        <v>44106</v>
      </c>
      <c r="J146" s="73">
        <v>1174649.1100000001</v>
      </c>
      <c r="K146" s="78">
        <f t="shared" si="3"/>
        <v>-7.1267268490293279E-5</v>
      </c>
      <c r="L146">
        <v>129</v>
      </c>
      <c r="M146" s="74"/>
      <c r="N146" s="71"/>
    </row>
    <row r="147" spans="1:14" ht="12.75">
      <c r="A147" s="72">
        <v>44109</v>
      </c>
      <c r="B147" s="76">
        <v>58925866.850000001</v>
      </c>
      <c r="C147" s="78">
        <f t="shared" si="2"/>
        <v>-9.1957909239361244E-2</v>
      </c>
      <c r="D147">
        <v>128</v>
      </c>
      <c r="E147" s="74"/>
      <c r="I147" s="96">
        <v>44109</v>
      </c>
      <c r="J147" s="76">
        <v>1177583.75</v>
      </c>
      <c r="K147" s="78">
        <f t="shared" si="3"/>
        <v>3.7690188554337909E-3</v>
      </c>
      <c r="L147">
        <v>128</v>
      </c>
      <c r="M147" s="74"/>
      <c r="N147" s="71"/>
    </row>
    <row r="148" spans="1:14" ht="12.75">
      <c r="A148" s="72">
        <v>44110</v>
      </c>
      <c r="B148" s="73">
        <v>59679550.770000003</v>
      </c>
      <c r="C148" s="78">
        <f t="shared" si="2"/>
        <v>-8.4713300247063014E-2</v>
      </c>
      <c r="D148">
        <v>127</v>
      </c>
      <c r="E148" s="74"/>
      <c r="I148" s="96">
        <v>44110</v>
      </c>
      <c r="J148" s="73">
        <v>1186682.3500000001</v>
      </c>
      <c r="K148" s="78">
        <f t="shared" si="3"/>
        <v>2.4497467364742962E-5</v>
      </c>
      <c r="L148">
        <v>127</v>
      </c>
      <c r="M148" s="74"/>
      <c r="N148" s="71"/>
    </row>
    <row r="149" spans="1:14" ht="12.75">
      <c r="A149" s="72">
        <v>44111</v>
      </c>
      <c r="B149" s="73">
        <v>59737950.799999997</v>
      </c>
      <c r="C149" s="78">
        <f t="shared" si="2"/>
        <v>-8.3664698002600624E-2</v>
      </c>
      <c r="D149">
        <v>126</v>
      </c>
      <c r="E149" s="74"/>
      <c r="I149" s="96">
        <v>44111</v>
      </c>
      <c r="J149" s="73">
        <v>1196133.47</v>
      </c>
      <c r="K149" s="78">
        <f t="shared" si="3"/>
        <v>1.2457757459254339E-2</v>
      </c>
      <c r="L149">
        <v>126</v>
      </c>
      <c r="M149" s="74"/>
      <c r="N149" s="71"/>
    </row>
    <row r="150" spans="1:14" ht="12.75">
      <c r="A150" s="72">
        <v>44112</v>
      </c>
      <c r="B150" s="73">
        <v>59621445.969999999</v>
      </c>
      <c r="C150" s="78">
        <f t="shared" si="2"/>
        <v>-9.8085149526681459E-2</v>
      </c>
      <c r="D150">
        <v>125</v>
      </c>
      <c r="E150" s="74"/>
      <c r="I150" s="96">
        <v>44112</v>
      </c>
      <c r="J150" s="73">
        <v>1196387.8899999999</v>
      </c>
      <c r="K150" s="78">
        <f t="shared" si="3"/>
        <v>2.8394947541785325E-2</v>
      </c>
      <c r="L150">
        <v>125</v>
      </c>
      <c r="M150" s="74"/>
      <c r="N150" s="71"/>
    </row>
    <row r="151" spans="1:14" ht="12.75">
      <c r="A151" s="72">
        <v>44113</v>
      </c>
      <c r="B151" s="73">
        <v>59972127.939999998</v>
      </c>
      <c r="C151" s="78">
        <f t="shared" ref="C151:C214" si="4">(B151-B130)/B130</f>
        <v>-8.1613706241002573E-2</v>
      </c>
      <c r="D151">
        <v>124</v>
      </c>
      <c r="E151" s="74"/>
      <c r="I151" s="96">
        <v>44113</v>
      </c>
      <c r="J151" s="73">
        <v>1196271.0900000001</v>
      </c>
      <c r="K151" s="78">
        <f t="shared" ref="K151:K214" si="5">(J151-J130)/J130</f>
        <v>2.8112646294842319E-2</v>
      </c>
      <c r="L151">
        <v>124</v>
      </c>
      <c r="M151" s="74"/>
      <c r="N151" s="71"/>
    </row>
    <row r="152" spans="1:14" ht="12.75">
      <c r="A152" s="72">
        <v>44116</v>
      </c>
      <c r="B152" s="73">
        <v>59777166.549999997</v>
      </c>
      <c r="C152" s="78">
        <f t="shared" si="4"/>
        <v>-8.4195936804755289E-2</v>
      </c>
      <c r="D152">
        <v>123</v>
      </c>
      <c r="E152" s="74"/>
      <c r="I152" s="96">
        <v>44116</v>
      </c>
      <c r="J152" s="73">
        <v>1196464.76</v>
      </c>
      <c r="K152" s="78">
        <f t="shared" si="5"/>
        <v>2.1407731682414374E-2</v>
      </c>
      <c r="L152">
        <v>123</v>
      </c>
      <c r="M152" s="74"/>
      <c r="N152" s="71"/>
    </row>
    <row r="153" spans="1:14" ht="12.75">
      <c r="A153" s="72">
        <v>44117</v>
      </c>
      <c r="B153" s="73">
        <v>60124382.82</v>
      </c>
      <c r="C153" s="78">
        <f t="shared" si="4"/>
        <v>-7.8437071308330483E-2</v>
      </c>
      <c r="D153">
        <v>122</v>
      </c>
      <c r="E153" s="74"/>
      <c r="I153" s="96">
        <v>44117</v>
      </c>
      <c r="J153" s="73">
        <v>1196564.06</v>
      </c>
      <c r="K153" s="78">
        <f t="shared" si="5"/>
        <v>1.7494016218232964E-2</v>
      </c>
      <c r="L153">
        <v>122</v>
      </c>
      <c r="M153" s="74"/>
      <c r="N153" s="71"/>
    </row>
    <row r="154" spans="1:14" ht="12.75">
      <c r="A154" s="72">
        <v>44118</v>
      </c>
      <c r="B154" s="73">
        <v>59925423.920000002</v>
      </c>
      <c r="C154" s="78">
        <f t="shared" si="4"/>
        <v>-8.7233852129704595E-2</v>
      </c>
      <c r="D154">
        <v>121</v>
      </c>
      <c r="E154" s="74"/>
      <c r="I154" s="96">
        <v>44118</v>
      </c>
      <c r="J154" s="73">
        <v>1190065.3799999999</v>
      </c>
      <c r="K154" s="78">
        <f t="shared" si="5"/>
        <v>1.645514599978112E-2</v>
      </c>
      <c r="L154">
        <v>121</v>
      </c>
      <c r="M154" s="74"/>
      <c r="N154" s="71"/>
    </row>
    <row r="155" spans="1:14" ht="12.75">
      <c r="A155" s="72">
        <v>44119</v>
      </c>
      <c r="B155" s="73">
        <v>59829914.390000001</v>
      </c>
      <c r="C155" s="78">
        <f t="shared" si="4"/>
        <v>-7.1491613914886606E-2</v>
      </c>
      <c r="D155">
        <v>120</v>
      </c>
      <c r="E155" s="74"/>
      <c r="I155" s="96">
        <v>44119</v>
      </c>
      <c r="J155" s="73">
        <v>1190129.3799999999</v>
      </c>
      <c r="K155" s="78">
        <f t="shared" si="5"/>
        <v>1.4748611765912727E-2</v>
      </c>
      <c r="L155">
        <v>120</v>
      </c>
      <c r="M155" s="74"/>
      <c r="N155" s="71"/>
    </row>
    <row r="156" spans="1:14" ht="12.75">
      <c r="A156" s="72">
        <v>44120</v>
      </c>
      <c r="B156" s="73">
        <v>60038512.579999998</v>
      </c>
      <c r="C156" s="78">
        <f t="shared" si="4"/>
        <v>-6.9802519755423259E-2</v>
      </c>
      <c r="D156">
        <v>119</v>
      </c>
      <c r="E156" s="74"/>
      <c r="I156" s="96">
        <v>44120</v>
      </c>
      <c r="J156" s="73">
        <v>1189292.03</v>
      </c>
      <c r="K156" s="78">
        <f t="shared" si="5"/>
        <v>7.7584419748581907E-4</v>
      </c>
      <c r="L156">
        <v>119</v>
      </c>
      <c r="M156" s="74"/>
      <c r="N156" s="71"/>
    </row>
    <row r="157" spans="1:14" ht="12.75">
      <c r="A157" s="72">
        <v>44123</v>
      </c>
      <c r="B157" s="73">
        <v>59970451.829999998</v>
      </c>
      <c r="C157" s="78">
        <f t="shared" si="4"/>
        <v>-5.8749397813684684E-2</v>
      </c>
      <c r="D157">
        <v>118</v>
      </c>
      <c r="E157" s="74"/>
      <c r="I157" s="96">
        <v>44123</v>
      </c>
      <c r="J157" s="73">
        <v>1182003.58</v>
      </c>
      <c r="K157" s="78">
        <f t="shared" si="5"/>
        <v>5.9233701811771909E-4</v>
      </c>
      <c r="L157">
        <v>118</v>
      </c>
      <c r="M157" s="74"/>
      <c r="N157" s="71"/>
    </row>
    <row r="158" spans="1:14" ht="12.75">
      <c r="A158" s="72">
        <v>44124</v>
      </c>
      <c r="B158" s="73">
        <v>59625974.560000002</v>
      </c>
      <c r="C158" s="78">
        <f t="shared" si="4"/>
        <v>-5.7228577518254539E-2</v>
      </c>
      <c r="D158">
        <v>117</v>
      </c>
      <c r="E158" s="74"/>
      <c r="I158" s="96">
        <v>44124</v>
      </c>
      <c r="J158" s="73">
        <v>1178601.33</v>
      </c>
      <c r="K158" s="78">
        <f t="shared" si="5"/>
        <v>9.3594114020934937E-4</v>
      </c>
      <c r="L158">
        <v>117</v>
      </c>
      <c r="M158" s="74"/>
      <c r="N158" s="71"/>
    </row>
    <row r="159" spans="1:14" ht="12.75">
      <c r="A159" s="72">
        <v>44125</v>
      </c>
      <c r="B159" s="73">
        <v>59672000.670000002</v>
      </c>
      <c r="C159" s="78">
        <f t="shared" si="4"/>
        <v>-5.9875852457880241E-2</v>
      </c>
      <c r="D159">
        <v>116</v>
      </c>
      <c r="E159" s="74"/>
      <c r="I159" s="96">
        <v>44125</v>
      </c>
      <c r="J159" s="73">
        <v>1178088.3600000001</v>
      </c>
      <c r="K159" s="78">
        <f t="shared" si="5"/>
        <v>2.1629358476765691E-3</v>
      </c>
      <c r="L159">
        <v>116</v>
      </c>
      <c r="M159" s="74"/>
      <c r="N159" s="71"/>
    </row>
    <row r="160" spans="1:14" ht="12.75">
      <c r="A160" s="72">
        <v>44126</v>
      </c>
      <c r="B160" s="73">
        <v>59852488.990000002</v>
      </c>
      <c r="C160" s="78">
        <f t="shared" si="4"/>
        <v>-5.3074929530524083E-2</v>
      </c>
      <c r="D160">
        <v>115</v>
      </c>
      <c r="E160" s="74"/>
      <c r="I160" s="96">
        <v>44126</v>
      </c>
      <c r="J160" s="73">
        <v>1177560.06</v>
      </c>
      <c r="K160" s="78">
        <f t="shared" si="5"/>
        <v>5.6652543494765581E-4</v>
      </c>
      <c r="L160">
        <v>115</v>
      </c>
      <c r="M160" s="74"/>
      <c r="N160" s="71"/>
    </row>
    <row r="161" spans="1:14" ht="12.75">
      <c r="A161" s="72">
        <v>44127</v>
      </c>
      <c r="B161" s="73">
        <v>60098865.420000002</v>
      </c>
      <c r="C161" s="78">
        <f t="shared" si="4"/>
        <v>-4.6313808086443184E-2</v>
      </c>
      <c r="D161">
        <v>114</v>
      </c>
      <c r="E161" s="74"/>
      <c r="I161" s="96">
        <v>44127</v>
      </c>
      <c r="J161" s="73">
        <v>1180979.01</v>
      </c>
      <c r="K161" s="78">
        <f t="shared" si="5"/>
        <v>6.3583445844019027E-4</v>
      </c>
      <c r="L161">
        <v>114</v>
      </c>
      <c r="M161" s="74"/>
      <c r="N161" s="71"/>
    </row>
    <row r="162" spans="1:14" ht="12.75">
      <c r="A162" s="72">
        <v>44130</v>
      </c>
      <c r="B162" s="73">
        <v>60715413.590000004</v>
      </c>
      <c r="C162" s="78">
        <f t="shared" si="4"/>
        <v>-3.591012135090909E-2</v>
      </c>
      <c r="D162">
        <v>113</v>
      </c>
      <c r="E162" s="74"/>
      <c r="I162" s="96">
        <v>44130</v>
      </c>
      <c r="J162" s="73">
        <v>1174395.02</v>
      </c>
      <c r="K162" s="78">
        <f t="shared" si="5"/>
        <v>-1.1819255584637975E-3</v>
      </c>
      <c r="L162">
        <v>113</v>
      </c>
      <c r="M162" s="74"/>
      <c r="N162" s="71"/>
    </row>
    <row r="163" spans="1:14" ht="12.75">
      <c r="A163" s="72">
        <v>44131</v>
      </c>
      <c r="B163" s="73">
        <v>60581159.399999999</v>
      </c>
      <c r="C163" s="78">
        <f t="shared" si="4"/>
        <v>-3.7407314579423374E-2</v>
      </c>
      <c r="D163">
        <v>112</v>
      </c>
      <c r="E163" s="74"/>
      <c r="I163" s="96">
        <v>44131</v>
      </c>
      <c r="J163" s="73">
        <v>1167084.21</v>
      </c>
      <c r="K163" s="78">
        <f t="shared" si="5"/>
        <v>-8.5357721242361167E-3</v>
      </c>
      <c r="L163">
        <v>112</v>
      </c>
      <c r="M163" s="74"/>
      <c r="N163" s="71"/>
    </row>
    <row r="164" spans="1:14" ht="12.75">
      <c r="A164" s="72">
        <v>44132</v>
      </c>
      <c r="B164" s="73">
        <v>60940510.75</v>
      </c>
      <c r="C164" s="78">
        <f t="shared" si="4"/>
        <v>-2.1775366708805661E-2</v>
      </c>
      <c r="D164">
        <v>111</v>
      </c>
      <c r="E164" s="74"/>
      <c r="I164" s="96">
        <v>44132</v>
      </c>
      <c r="J164" s="73">
        <v>1169235.6100000001</v>
      </c>
      <c r="K164" s="78">
        <f t="shared" si="5"/>
        <v>-1.911820143773166E-3</v>
      </c>
      <c r="L164">
        <v>111</v>
      </c>
      <c r="M164" s="74"/>
      <c r="N164" s="71"/>
    </row>
    <row r="165" spans="1:14" ht="12.75">
      <c r="A165" s="72">
        <v>44133</v>
      </c>
      <c r="B165" s="73">
        <v>61138374.159999996</v>
      </c>
      <c r="C165" s="78">
        <f t="shared" si="4"/>
        <v>-2.5687487485552118E-2</v>
      </c>
      <c r="D165">
        <v>110</v>
      </c>
      <c r="E165" s="74"/>
      <c r="I165" s="96">
        <v>44133</v>
      </c>
      <c r="J165" s="73">
        <v>1168848.23</v>
      </c>
      <c r="K165" s="78">
        <f t="shared" si="5"/>
        <v>-1.5246195861555404E-3</v>
      </c>
      <c r="L165">
        <v>110</v>
      </c>
      <c r="M165" s="74"/>
      <c r="N165" s="71"/>
    </row>
    <row r="166" spans="1:14" ht="12.75">
      <c r="A166" s="72">
        <v>44134</v>
      </c>
      <c r="B166" s="73">
        <v>60972622.969999999</v>
      </c>
      <c r="C166" s="78">
        <f t="shared" si="4"/>
        <v>-5.927090816601929E-4</v>
      </c>
      <c r="D166">
        <v>109</v>
      </c>
      <c r="E166" s="74"/>
      <c r="I166" s="96">
        <v>44134</v>
      </c>
      <c r="J166" s="73">
        <v>1168032.8400000001</v>
      </c>
      <c r="K166" s="78">
        <f t="shared" si="5"/>
        <v>-2.2229983251142332E-3</v>
      </c>
      <c r="L166">
        <v>109</v>
      </c>
      <c r="M166" s="74"/>
      <c r="N166" s="71"/>
    </row>
    <row r="167" spans="1:14" ht="12.75">
      <c r="A167" s="72">
        <v>44137</v>
      </c>
      <c r="B167" s="76">
        <v>63124274.409999996</v>
      </c>
      <c r="C167" s="78">
        <f t="shared" si="4"/>
        <v>4.5752305217524596E-2</v>
      </c>
      <c r="D167">
        <v>108</v>
      </c>
      <c r="E167" s="74"/>
      <c r="I167" s="96">
        <v>44137</v>
      </c>
      <c r="J167" s="76">
        <v>1175304.0900000001</v>
      </c>
      <c r="K167" s="78">
        <f t="shared" si="5"/>
        <v>5.5759630209908494E-4</v>
      </c>
      <c r="L167">
        <v>108</v>
      </c>
      <c r="M167" s="74"/>
      <c r="N167" s="71"/>
    </row>
    <row r="168" spans="1:14" ht="12.75">
      <c r="A168" s="72">
        <v>44138</v>
      </c>
      <c r="B168" s="76">
        <v>62797097.490000002</v>
      </c>
      <c r="C168" s="78">
        <f t="shared" si="4"/>
        <v>6.5696626064992714E-2</v>
      </c>
      <c r="D168">
        <v>107</v>
      </c>
      <c r="E168" s="74"/>
      <c r="I168" s="96">
        <v>44138</v>
      </c>
      <c r="J168" s="76">
        <v>1163013.8400000001</v>
      </c>
      <c r="K168" s="78">
        <f t="shared" si="5"/>
        <v>-1.2372716590221218E-2</v>
      </c>
      <c r="L168">
        <v>107</v>
      </c>
      <c r="M168" s="74"/>
      <c r="N168" s="71"/>
    </row>
    <row r="169" spans="1:14" ht="12.75">
      <c r="A169" s="72">
        <v>44139</v>
      </c>
      <c r="B169" s="76">
        <v>62850966.630000003</v>
      </c>
      <c r="C169" s="78">
        <f t="shared" si="4"/>
        <v>5.3140746186618779E-2</v>
      </c>
      <c r="D169">
        <v>106</v>
      </c>
      <c r="E169" s="74"/>
      <c r="I169" s="96">
        <v>44139</v>
      </c>
      <c r="J169" s="76">
        <v>1153226.3899999999</v>
      </c>
      <c r="K169" s="78">
        <f t="shared" si="5"/>
        <v>-2.8192852114131632E-2</v>
      </c>
      <c r="L169">
        <v>106</v>
      </c>
      <c r="M169" s="74"/>
      <c r="N169" s="71"/>
    </row>
    <row r="170" spans="1:14" ht="12.75">
      <c r="A170" s="72">
        <v>44140</v>
      </c>
      <c r="B170" s="73">
        <v>61885848.049999997</v>
      </c>
      <c r="C170" s="78">
        <f t="shared" si="4"/>
        <v>3.5955321888945679E-2</v>
      </c>
      <c r="D170">
        <v>105</v>
      </c>
      <c r="E170" s="74"/>
      <c r="I170" s="96">
        <v>44140</v>
      </c>
      <c r="J170" s="73">
        <v>1155279.7</v>
      </c>
      <c r="K170" s="78">
        <f t="shared" si="5"/>
        <v>-3.4154858989105974E-2</v>
      </c>
      <c r="L170">
        <v>105</v>
      </c>
      <c r="M170" s="74"/>
      <c r="N170" s="71"/>
    </row>
    <row r="171" spans="1:14" ht="12.75">
      <c r="A171" s="72">
        <v>44141</v>
      </c>
      <c r="B171" s="73">
        <v>62317283.979999997</v>
      </c>
      <c r="C171" s="78">
        <f t="shared" si="4"/>
        <v>4.5215911257108311E-2</v>
      </c>
      <c r="D171">
        <v>104</v>
      </c>
      <c r="E171" s="74"/>
      <c r="I171" s="96">
        <v>44141</v>
      </c>
      <c r="J171" s="73">
        <v>1160019.6399999999</v>
      </c>
      <c r="K171" s="78">
        <f t="shared" si="5"/>
        <v>-3.0398376900989864E-2</v>
      </c>
      <c r="L171">
        <v>104</v>
      </c>
      <c r="M171" s="74"/>
      <c r="N171" s="71"/>
    </row>
    <row r="172" spans="1:14" ht="12.75">
      <c r="A172" s="72">
        <v>44144</v>
      </c>
      <c r="B172" s="73">
        <v>62071232.289999999</v>
      </c>
      <c r="C172" s="78">
        <f t="shared" si="4"/>
        <v>3.5001331820342971E-2</v>
      </c>
      <c r="D172">
        <v>103</v>
      </c>
      <c r="E172" s="74"/>
      <c r="I172" s="96">
        <v>44144</v>
      </c>
      <c r="J172" s="73">
        <v>1172471.99</v>
      </c>
      <c r="K172" s="78">
        <f t="shared" si="5"/>
        <v>-1.9894403700753224E-2</v>
      </c>
      <c r="L172">
        <v>103</v>
      </c>
      <c r="M172" s="74"/>
      <c r="N172" s="71"/>
    </row>
    <row r="173" spans="1:14" ht="12.75">
      <c r="A173" s="72">
        <v>44145</v>
      </c>
      <c r="B173" s="73">
        <v>62248357.810000002</v>
      </c>
      <c r="C173" s="78">
        <f t="shared" si="4"/>
        <v>4.1340053445540995E-2</v>
      </c>
      <c r="D173">
        <v>102</v>
      </c>
      <c r="E173" s="74"/>
      <c r="I173" s="96">
        <v>44145</v>
      </c>
      <c r="J173" s="73">
        <v>1167915.97</v>
      </c>
      <c r="K173" s="78">
        <f t="shared" si="5"/>
        <v>-2.3860953497702713E-2</v>
      </c>
      <c r="L173">
        <v>102</v>
      </c>
      <c r="M173" s="74"/>
      <c r="N173" s="71"/>
    </row>
    <row r="174" spans="1:14" ht="12.75">
      <c r="A174" s="72">
        <v>44146</v>
      </c>
      <c r="B174" s="73">
        <v>61925804.829999998</v>
      </c>
      <c r="C174" s="78">
        <f t="shared" si="4"/>
        <v>2.9961588385748323E-2</v>
      </c>
      <c r="D174">
        <v>101</v>
      </c>
      <c r="E174" s="74"/>
      <c r="I174" s="96">
        <v>44146</v>
      </c>
      <c r="J174" s="73">
        <v>1166756.1200000001</v>
      </c>
      <c r="K174" s="78">
        <f t="shared" si="5"/>
        <v>-2.4911278047244662E-2</v>
      </c>
      <c r="L174">
        <v>101</v>
      </c>
      <c r="M174" s="74"/>
      <c r="N174" s="71"/>
    </row>
    <row r="175" spans="1:14" ht="12.75">
      <c r="A175" s="72">
        <v>44147</v>
      </c>
      <c r="B175" s="73">
        <v>62015646.009999998</v>
      </c>
      <c r="C175" s="78">
        <f t="shared" si="4"/>
        <v>3.4880388877856369E-2</v>
      </c>
      <c r="D175">
        <v>100</v>
      </c>
      <c r="E175" s="74"/>
      <c r="I175" s="96">
        <v>44147</v>
      </c>
      <c r="J175" s="73">
        <v>1166563.22</v>
      </c>
      <c r="K175" s="78">
        <f t="shared" si="5"/>
        <v>-1.9748629272788289E-2</v>
      </c>
      <c r="L175">
        <v>100</v>
      </c>
      <c r="M175" s="74"/>
      <c r="N175" s="71"/>
    </row>
    <row r="176" spans="1:14" ht="12.75">
      <c r="A176" s="72">
        <v>44148</v>
      </c>
      <c r="B176" s="73">
        <v>62536989.740000002</v>
      </c>
      <c r="C176" s="78">
        <f t="shared" si="4"/>
        <v>4.5246184581746007E-2</v>
      </c>
      <c r="D176">
        <v>99</v>
      </c>
      <c r="E176" s="74"/>
      <c r="I176" s="96">
        <v>44148</v>
      </c>
      <c r="J176" s="73">
        <v>1171773.2</v>
      </c>
      <c r="K176" s="78">
        <f t="shared" si="5"/>
        <v>-1.5423684440089982E-2</v>
      </c>
      <c r="L176">
        <v>99</v>
      </c>
      <c r="M176" s="74"/>
      <c r="N176" s="71"/>
    </row>
    <row r="177" spans="1:14" ht="12.75">
      <c r="A177" s="72">
        <v>44151</v>
      </c>
      <c r="B177" s="73">
        <v>62227688.18</v>
      </c>
      <c r="C177" s="78">
        <f t="shared" si="4"/>
        <v>3.6462855356101186E-2</v>
      </c>
      <c r="D177">
        <v>98</v>
      </c>
      <c r="E177" s="74"/>
      <c r="I177" s="96">
        <v>44151</v>
      </c>
      <c r="J177" s="73">
        <v>1165440.01</v>
      </c>
      <c r="K177" s="78">
        <f t="shared" si="5"/>
        <v>-2.005564604683344E-2</v>
      </c>
      <c r="L177">
        <v>98</v>
      </c>
      <c r="M177" s="74"/>
      <c r="N177" s="71"/>
    </row>
    <row r="178" spans="1:14" ht="12.75">
      <c r="A178" s="72">
        <v>44152</v>
      </c>
      <c r="B178" s="73">
        <v>62915216.770000003</v>
      </c>
      <c r="C178" s="78">
        <f t="shared" si="4"/>
        <v>4.9103597690869777E-2</v>
      </c>
      <c r="D178">
        <v>97</v>
      </c>
      <c r="E178" s="74"/>
      <c r="I178" s="96">
        <v>44152</v>
      </c>
      <c r="J178" s="73">
        <v>1160701.81</v>
      </c>
      <c r="K178" s="78">
        <f t="shared" si="5"/>
        <v>-1.8021747446822469E-2</v>
      </c>
      <c r="L178">
        <v>97</v>
      </c>
      <c r="M178" s="74"/>
      <c r="N178" s="71"/>
    </row>
    <row r="179" spans="1:14" ht="12.75">
      <c r="A179" s="72">
        <v>44153</v>
      </c>
      <c r="B179" s="73">
        <v>62506347.240000002</v>
      </c>
      <c r="C179" s="78">
        <f t="shared" si="4"/>
        <v>4.8307347615787123E-2</v>
      </c>
      <c r="D179">
        <v>96</v>
      </c>
      <c r="E179" s="74"/>
      <c r="I179" s="96">
        <v>44153</v>
      </c>
      <c r="J179" s="73">
        <v>1180427.51</v>
      </c>
      <c r="K179" s="78">
        <f t="shared" si="5"/>
        <v>1.5494467497333764E-3</v>
      </c>
      <c r="L179">
        <v>96</v>
      </c>
      <c r="M179" s="74"/>
      <c r="N179" s="71"/>
    </row>
    <row r="180" spans="1:14" ht="12.75">
      <c r="A180" s="72">
        <v>44154</v>
      </c>
      <c r="B180" s="73">
        <v>62401795.909999996</v>
      </c>
      <c r="C180" s="78">
        <f t="shared" si="4"/>
        <v>4.5746668610901708E-2</v>
      </c>
      <c r="D180">
        <v>95</v>
      </c>
      <c r="E180" s="74"/>
      <c r="I180" s="96">
        <v>44154</v>
      </c>
      <c r="J180" s="73">
        <v>1169269.26</v>
      </c>
      <c r="K180" s="78">
        <f t="shared" si="5"/>
        <v>-7.4859410375636782E-3</v>
      </c>
      <c r="L180">
        <v>95</v>
      </c>
      <c r="M180" s="74"/>
      <c r="N180" s="71"/>
    </row>
    <row r="181" spans="1:14" ht="12.75">
      <c r="A181" s="72">
        <v>44155</v>
      </c>
      <c r="B181" s="73">
        <v>63711631.409999996</v>
      </c>
      <c r="C181" s="78">
        <f t="shared" si="4"/>
        <v>6.4477559498733128E-2</v>
      </c>
      <c r="D181">
        <v>94</v>
      </c>
      <c r="E181" s="74"/>
      <c r="I181" s="96">
        <v>44155</v>
      </c>
      <c r="J181" s="73">
        <v>1162322.58</v>
      </c>
      <c r="K181" s="78">
        <f t="shared" si="5"/>
        <v>-1.2939875015801725E-2</v>
      </c>
      <c r="L181">
        <v>94</v>
      </c>
      <c r="M181" s="74"/>
      <c r="N181" s="71"/>
    </row>
    <row r="182" spans="1:14" ht="12.75">
      <c r="A182" s="72">
        <v>44158</v>
      </c>
      <c r="B182" s="73">
        <v>64390427.189999998</v>
      </c>
      <c r="C182" s="78">
        <f t="shared" si="4"/>
        <v>7.1408365865286844E-2</v>
      </c>
      <c r="D182">
        <v>93</v>
      </c>
      <c r="E182" s="74"/>
      <c r="I182" s="96">
        <v>44158</v>
      </c>
      <c r="J182" s="73">
        <v>1172671.1200000001</v>
      </c>
      <c r="K182" s="78">
        <f t="shared" si="5"/>
        <v>-7.0347482297758177E-3</v>
      </c>
      <c r="L182">
        <v>93</v>
      </c>
      <c r="M182" s="74"/>
      <c r="N182" s="71"/>
    </row>
    <row r="183" spans="1:14" ht="12.75">
      <c r="A183" s="72">
        <v>44159</v>
      </c>
      <c r="B183" s="73">
        <v>64239258.689999998</v>
      </c>
      <c r="C183" s="78">
        <f t="shared" si="4"/>
        <v>5.8038723474666092E-2</v>
      </c>
      <c r="D183">
        <v>92</v>
      </c>
      <c r="E183" s="74"/>
      <c r="I183" s="96">
        <v>44159</v>
      </c>
      <c r="J183" s="73">
        <v>1190388.47</v>
      </c>
      <c r="K183" s="78">
        <f t="shared" si="5"/>
        <v>1.361845863413143E-2</v>
      </c>
      <c r="L183">
        <v>92</v>
      </c>
      <c r="M183" s="74"/>
      <c r="N183" s="71"/>
    </row>
    <row r="184" spans="1:14" ht="12.75">
      <c r="A184" s="72">
        <v>44160</v>
      </c>
      <c r="B184" s="73">
        <v>64072213.829999998</v>
      </c>
      <c r="C184" s="78">
        <f t="shared" si="4"/>
        <v>5.7626074914637566E-2</v>
      </c>
      <c r="D184">
        <v>91</v>
      </c>
      <c r="E184" s="74"/>
      <c r="I184" s="96">
        <v>44160</v>
      </c>
      <c r="J184" s="73">
        <v>1179214.7</v>
      </c>
      <c r="K184" s="78">
        <f t="shared" si="5"/>
        <v>1.0393842960140804E-2</v>
      </c>
      <c r="L184">
        <v>91</v>
      </c>
      <c r="M184" s="74"/>
      <c r="N184" s="71"/>
    </row>
    <row r="185" spans="1:14" ht="12.75">
      <c r="A185" s="72">
        <v>44161</v>
      </c>
      <c r="B185" s="73">
        <v>63437674.82</v>
      </c>
      <c r="C185" s="78">
        <f t="shared" si="4"/>
        <v>4.0977078125325694E-2</v>
      </c>
      <c r="D185">
        <v>90</v>
      </c>
      <c r="E185" s="74"/>
      <c r="I185" s="96">
        <v>44161</v>
      </c>
      <c r="J185" s="73">
        <v>1172054.92</v>
      </c>
      <c r="K185" s="78">
        <f t="shared" si="5"/>
        <v>2.4112419908249483E-3</v>
      </c>
      <c r="L185">
        <v>90</v>
      </c>
      <c r="M185" s="74"/>
      <c r="N185" s="71"/>
    </row>
    <row r="186" spans="1:14" ht="12.75">
      <c r="A186" s="72">
        <v>44162</v>
      </c>
      <c r="B186" s="73">
        <v>64095967.390000001</v>
      </c>
      <c r="C186" s="78">
        <f t="shared" si="4"/>
        <v>4.8375398767718951E-2</v>
      </c>
      <c r="D186">
        <v>89</v>
      </c>
      <c r="E186" s="74"/>
      <c r="I186" s="96">
        <v>44162</v>
      </c>
      <c r="J186" s="73">
        <v>1174508.1000000001</v>
      </c>
      <c r="K186" s="78">
        <f t="shared" si="5"/>
        <v>4.8422625407920682E-3</v>
      </c>
      <c r="L186">
        <v>89</v>
      </c>
      <c r="M186" s="74"/>
      <c r="N186" s="71"/>
    </row>
    <row r="187" spans="1:14" ht="12.75">
      <c r="A187" s="72">
        <v>44165</v>
      </c>
      <c r="B187" s="73">
        <v>65844488.609999999</v>
      </c>
      <c r="C187" s="78">
        <f t="shared" si="4"/>
        <v>7.9902510383997677E-2</v>
      </c>
      <c r="D187">
        <v>88</v>
      </c>
      <c r="E187" s="74"/>
      <c r="I187" s="96">
        <v>44165</v>
      </c>
      <c r="J187" s="73">
        <v>1193896.94</v>
      </c>
      <c r="K187" s="78">
        <f t="shared" si="5"/>
        <v>2.2143298642185318E-2</v>
      </c>
      <c r="L187">
        <v>88</v>
      </c>
      <c r="M187" s="74"/>
      <c r="N187" s="71"/>
    </row>
    <row r="188" spans="1:14" ht="12.75">
      <c r="A188" s="72">
        <v>44166</v>
      </c>
      <c r="B188" s="73">
        <v>65470997.600000001</v>
      </c>
      <c r="C188" s="78">
        <f t="shared" si="4"/>
        <v>3.7176240233000486E-2</v>
      </c>
      <c r="D188">
        <v>87</v>
      </c>
      <c r="E188" s="74"/>
      <c r="I188" s="96">
        <v>44166</v>
      </c>
      <c r="J188" s="73">
        <v>1183492.76</v>
      </c>
      <c r="K188" s="78">
        <f t="shared" si="5"/>
        <v>6.9672777195899363E-3</v>
      </c>
      <c r="L188">
        <v>87</v>
      </c>
      <c r="M188" s="74"/>
      <c r="N188" s="71"/>
    </row>
    <row r="189" spans="1:14" ht="12.75">
      <c r="A189" s="72">
        <v>44167</v>
      </c>
      <c r="B189" s="73">
        <v>65325078.030000001</v>
      </c>
      <c r="C189" s="78">
        <f t="shared" si="4"/>
        <v>4.0256327776973487E-2</v>
      </c>
      <c r="D189">
        <v>86</v>
      </c>
      <c r="E189" s="74"/>
      <c r="I189" s="96">
        <v>44167</v>
      </c>
      <c r="J189" s="73">
        <v>1178721.76</v>
      </c>
      <c r="K189" s="78">
        <f t="shared" si="5"/>
        <v>1.3506219324096715E-2</v>
      </c>
      <c r="L189">
        <v>86</v>
      </c>
      <c r="M189" s="74"/>
      <c r="N189" s="71"/>
    </row>
    <row r="190" spans="1:14" ht="12.75">
      <c r="A190" s="72">
        <v>44168</v>
      </c>
      <c r="B190" s="76">
        <v>64828571.07</v>
      </c>
      <c r="C190" s="78">
        <f t="shared" si="4"/>
        <v>3.146498050924245E-2</v>
      </c>
      <c r="D190">
        <v>85</v>
      </c>
      <c r="E190" s="74"/>
      <c r="I190" s="96">
        <v>44168</v>
      </c>
      <c r="J190" s="76">
        <v>1179683.76</v>
      </c>
      <c r="K190" s="78">
        <f t="shared" si="5"/>
        <v>2.2942043495900327E-2</v>
      </c>
      <c r="L190">
        <v>85</v>
      </c>
      <c r="M190" s="74"/>
      <c r="N190" s="71"/>
    </row>
    <row r="191" spans="1:14" ht="12.75">
      <c r="A191" s="72">
        <v>44169</v>
      </c>
      <c r="B191" s="76">
        <v>65049200.340000004</v>
      </c>
      <c r="C191" s="78">
        <f t="shared" si="4"/>
        <v>5.1115923747933625E-2</v>
      </c>
      <c r="D191">
        <v>84</v>
      </c>
      <c r="E191" s="74"/>
      <c r="I191" s="96">
        <v>44169</v>
      </c>
      <c r="J191" s="76">
        <v>1189340.04</v>
      </c>
      <c r="K191" s="78">
        <f t="shared" si="5"/>
        <v>2.948233228715097E-2</v>
      </c>
      <c r="L191">
        <v>84</v>
      </c>
      <c r="M191" s="74"/>
      <c r="N191" s="71"/>
    </row>
    <row r="192" spans="1:14" ht="12.75">
      <c r="A192" s="72">
        <v>44172</v>
      </c>
      <c r="B192" s="73">
        <v>66513803.049999997</v>
      </c>
      <c r="C192" s="78">
        <f t="shared" si="4"/>
        <v>6.7341174101021861E-2</v>
      </c>
      <c r="D192">
        <v>83</v>
      </c>
      <c r="E192" s="74"/>
      <c r="I192" s="96">
        <v>44172</v>
      </c>
      <c r="J192" s="73">
        <v>1170052.0900000001</v>
      </c>
      <c r="K192" s="78">
        <f t="shared" si="5"/>
        <v>8.6485173647578815E-3</v>
      </c>
      <c r="L192">
        <v>83</v>
      </c>
      <c r="M192" s="74"/>
      <c r="N192" s="71"/>
    </row>
    <row r="193" spans="1:14" ht="12.75">
      <c r="A193" s="72">
        <v>44173</v>
      </c>
      <c r="B193" s="73">
        <v>66050253.210000001</v>
      </c>
      <c r="C193" s="78">
        <f t="shared" si="4"/>
        <v>6.4104107058964299E-2</v>
      </c>
      <c r="D193">
        <v>82</v>
      </c>
      <c r="E193" s="74"/>
      <c r="I193" s="96">
        <v>44173</v>
      </c>
      <c r="J193" s="73">
        <v>1169652.0900000001</v>
      </c>
      <c r="K193" s="78">
        <f t="shared" si="5"/>
        <v>-2.4050894384265052E-3</v>
      </c>
      <c r="L193">
        <v>82</v>
      </c>
      <c r="M193" s="74"/>
      <c r="N193" s="71"/>
    </row>
    <row r="194" spans="1:14" ht="12.75">
      <c r="A194" s="72">
        <v>44174</v>
      </c>
      <c r="B194" s="73">
        <v>66332738.25</v>
      </c>
      <c r="C194" s="78">
        <f t="shared" si="4"/>
        <v>6.5614268130039802E-2</v>
      </c>
      <c r="D194">
        <v>81</v>
      </c>
      <c r="E194" s="74"/>
      <c r="I194" s="96">
        <v>44174</v>
      </c>
      <c r="J194" s="73">
        <v>1164292.06</v>
      </c>
      <c r="K194" s="78">
        <f t="shared" si="5"/>
        <v>-3.1028859036835638E-3</v>
      </c>
      <c r="L194">
        <v>81</v>
      </c>
      <c r="M194" s="74"/>
      <c r="N194" s="71"/>
    </row>
    <row r="195" spans="1:14" ht="12.75">
      <c r="A195" s="72">
        <v>44175</v>
      </c>
      <c r="B195" s="73">
        <v>66378292.549999997</v>
      </c>
      <c r="C195" s="78">
        <f t="shared" si="4"/>
        <v>7.1900360959749499E-2</v>
      </c>
      <c r="D195">
        <v>80</v>
      </c>
      <c r="E195" s="74"/>
      <c r="I195" s="96">
        <v>44175</v>
      </c>
      <c r="J195" s="73">
        <v>1178342.27</v>
      </c>
      <c r="K195" s="78">
        <f t="shared" si="5"/>
        <v>9.9302243214288051E-3</v>
      </c>
      <c r="L195">
        <v>80</v>
      </c>
      <c r="M195" s="74"/>
      <c r="N195" s="71"/>
    </row>
    <row r="196" spans="1:14" ht="12.75">
      <c r="A196" s="72">
        <v>44176</v>
      </c>
      <c r="B196" s="73">
        <v>66970545.060000002</v>
      </c>
      <c r="C196" s="78">
        <f t="shared" si="4"/>
        <v>7.9897564063124149E-2</v>
      </c>
      <c r="D196">
        <v>79</v>
      </c>
      <c r="E196" s="74"/>
      <c r="I196" s="96">
        <v>44176</v>
      </c>
      <c r="J196" s="73">
        <v>1177642.27</v>
      </c>
      <c r="K196" s="78">
        <f t="shared" si="5"/>
        <v>9.4971706719847102E-3</v>
      </c>
      <c r="L196">
        <v>79</v>
      </c>
      <c r="M196" s="74"/>
      <c r="N196" s="71"/>
    </row>
    <row r="197" spans="1:14" ht="12.75">
      <c r="A197" s="72">
        <v>44179</v>
      </c>
      <c r="B197" s="73">
        <v>69237706.560000002</v>
      </c>
      <c r="C197" s="78">
        <f t="shared" si="4"/>
        <v>0.10714805506082871</v>
      </c>
      <c r="D197">
        <v>78</v>
      </c>
      <c r="E197" s="74"/>
      <c r="I197" s="96">
        <v>44179</v>
      </c>
      <c r="J197" s="73">
        <v>1219650.52</v>
      </c>
      <c r="K197" s="78">
        <f t="shared" si="5"/>
        <v>4.085886244880841E-2</v>
      </c>
      <c r="L197">
        <v>78</v>
      </c>
      <c r="M197" s="74"/>
      <c r="N197" s="71"/>
    </row>
    <row r="198" spans="1:14" ht="12.75">
      <c r="A198" s="72">
        <v>44180</v>
      </c>
      <c r="B198" s="73">
        <v>67722548.170000002</v>
      </c>
      <c r="C198" s="78">
        <f t="shared" si="4"/>
        <v>8.83024928405753E-2</v>
      </c>
      <c r="D198">
        <v>77</v>
      </c>
      <c r="E198" s="74"/>
      <c r="I198" s="96">
        <v>44180</v>
      </c>
      <c r="J198" s="73">
        <v>1383484.82</v>
      </c>
      <c r="K198" s="78">
        <f t="shared" si="5"/>
        <v>0.18709226397676193</v>
      </c>
      <c r="L198">
        <v>77</v>
      </c>
      <c r="M198" s="74"/>
      <c r="N198" s="71"/>
    </row>
    <row r="199" spans="1:14" ht="12.75">
      <c r="A199" s="72">
        <v>44181</v>
      </c>
      <c r="B199" s="73">
        <v>66627955.880000003</v>
      </c>
      <c r="C199" s="78">
        <f t="shared" si="4"/>
        <v>5.9011782850128439E-2</v>
      </c>
      <c r="D199">
        <v>76</v>
      </c>
      <c r="E199" s="74"/>
      <c r="I199" s="96">
        <v>44181</v>
      </c>
      <c r="J199" s="73">
        <v>1363607.23</v>
      </c>
      <c r="K199" s="78">
        <f t="shared" si="5"/>
        <v>0.17481270232532842</v>
      </c>
      <c r="L199">
        <v>76</v>
      </c>
      <c r="M199" s="74"/>
      <c r="N199" s="71"/>
    </row>
    <row r="200" spans="1:14" ht="12.75">
      <c r="A200" s="72">
        <v>44182</v>
      </c>
      <c r="B200" s="73">
        <v>66544824.229999997</v>
      </c>
      <c r="C200" s="78">
        <f t="shared" si="4"/>
        <v>6.4609070411582648E-2</v>
      </c>
      <c r="D200">
        <v>75</v>
      </c>
      <c r="E200" s="74"/>
      <c r="I200" s="96">
        <v>44182</v>
      </c>
      <c r="J200" s="73">
        <v>1362335.07</v>
      </c>
      <c r="K200" s="78">
        <f t="shared" si="5"/>
        <v>0.15410311811523272</v>
      </c>
      <c r="L200">
        <v>75</v>
      </c>
      <c r="M200" s="74"/>
      <c r="N200" s="71"/>
    </row>
    <row r="201" spans="1:14" ht="12.75">
      <c r="A201" s="72">
        <v>44183</v>
      </c>
      <c r="B201" s="73">
        <v>66714979.939999998</v>
      </c>
      <c r="C201" s="78">
        <f t="shared" si="4"/>
        <v>6.911954963957706E-2</v>
      </c>
      <c r="D201">
        <v>74</v>
      </c>
      <c r="E201" s="74"/>
      <c r="I201" s="96">
        <v>44183</v>
      </c>
      <c r="J201" s="73">
        <v>1366269.47</v>
      </c>
      <c r="K201" s="78">
        <f t="shared" si="5"/>
        <v>0.16848147534469515</v>
      </c>
      <c r="L201">
        <v>74</v>
      </c>
      <c r="M201" s="74"/>
      <c r="N201" s="71"/>
    </row>
    <row r="202" spans="1:14" ht="12.75">
      <c r="A202" s="72">
        <v>44186</v>
      </c>
      <c r="B202" s="73">
        <v>66609667.859999999</v>
      </c>
      <c r="C202" s="78">
        <f t="shared" si="4"/>
        <v>4.5486771973400376E-2</v>
      </c>
      <c r="D202">
        <v>73</v>
      </c>
      <c r="E202" s="74"/>
      <c r="I202" s="96">
        <v>44186</v>
      </c>
      <c r="J202" s="73">
        <v>1366168.47</v>
      </c>
      <c r="K202" s="78">
        <f t="shared" si="5"/>
        <v>0.17537806931359784</v>
      </c>
      <c r="L202">
        <v>73</v>
      </c>
      <c r="M202" s="74"/>
      <c r="N202" s="71"/>
    </row>
    <row r="203" spans="1:14" ht="12.75">
      <c r="A203" s="72">
        <v>44187</v>
      </c>
      <c r="B203" s="73">
        <v>67201071.569999993</v>
      </c>
      <c r="C203" s="78">
        <f t="shared" si="4"/>
        <v>4.3650034681498362E-2</v>
      </c>
      <c r="D203">
        <v>72</v>
      </c>
      <c r="E203" s="74"/>
      <c r="I203" s="96">
        <v>44187</v>
      </c>
      <c r="J203" s="73">
        <v>1364517.52</v>
      </c>
      <c r="K203" s="78">
        <f t="shared" si="5"/>
        <v>0.163597786905505</v>
      </c>
      <c r="L203">
        <v>72</v>
      </c>
      <c r="M203" s="74"/>
      <c r="N203" s="71"/>
    </row>
    <row r="204" spans="1:14" ht="12.75">
      <c r="A204" s="72">
        <v>44188</v>
      </c>
      <c r="B204" s="73">
        <v>67748887.329999998</v>
      </c>
      <c r="C204" s="78">
        <f t="shared" si="4"/>
        <v>5.4633703930745042E-2</v>
      </c>
      <c r="D204">
        <v>71</v>
      </c>
      <c r="E204" s="74"/>
      <c r="I204" s="96">
        <v>44188</v>
      </c>
      <c r="J204" s="73">
        <v>1363465.37</v>
      </c>
      <c r="K204" s="78">
        <f t="shared" si="5"/>
        <v>0.14539530948245841</v>
      </c>
      <c r="L204">
        <v>71</v>
      </c>
      <c r="M204" s="74"/>
      <c r="N204" s="71"/>
    </row>
    <row r="205" spans="1:14" ht="12.75">
      <c r="A205" s="72">
        <v>44189</v>
      </c>
      <c r="B205" s="73">
        <v>67751117.579999998</v>
      </c>
      <c r="C205" s="78">
        <f t="shared" si="4"/>
        <v>5.7418083910149791E-2</v>
      </c>
      <c r="D205">
        <v>70</v>
      </c>
      <c r="E205" s="74"/>
      <c r="I205" s="96">
        <v>44189</v>
      </c>
      <c r="J205" s="73">
        <v>1363465.37</v>
      </c>
      <c r="K205" s="78">
        <f t="shared" si="5"/>
        <v>0.15624862037422038</v>
      </c>
      <c r="L205">
        <v>70</v>
      </c>
      <c r="M205" s="74"/>
      <c r="N205" s="71"/>
    </row>
    <row r="206" spans="1:14" ht="12.75">
      <c r="A206" s="72">
        <v>44190</v>
      </c>
      <c r="B206" s="73">
        <v>67755306.239999995</v>
      </c>
      <c r="C206" s="78">
        <f t="shared" si="4"/>
        <v>6.8060997384456062E-2</v>
      </c>
      <c r="D206">
        <v>69</v>
      </c>
      <c r="E206" s="74"/>
      <c r="I206" s="96">
        <v>44190</v>
      </c>
      <c r="J206" s="73">
        <v>1363479.48</v>
      </c>
      <c r="K206" s="78">
        <f t="shared" si="5"/>
        <v>0.1633238824678967</v>
      </c>
      <c r="L206">
        <v>69</v>
      </c>
      <c r="M206" s="74"/>
      <c r="N206" s="71"/>
    </row>
    <row r="207" spans="1:14" ht="12.75">
      <c r="A207" s="72">
        <v>44193</v>
      </c>
      <c r="B207" s="73">
        <v>68912083.150000006</v>
      </c>
      <c r="C207" s="78">
        <f t="shared" si="4"/>
        <v>7.5139138328246785E-2</v>
      </c>
      <c r="D207">
        <v>68</v>
      </c>
      <c r="E207" s="74"/>
      <c r="I207" s="96">
        <v>44193</v>
      </c>
      <c r="J207" s="73">
        <v>1385229.96</v>
      </c>
      <c r="K207" s="78">
        <f t="shared" si="5"/>
        <v>0.17941286228677339</v>
      </c>
      <c r="L207">
        <v>68</v>
      </c>
      <c r="M207" s="74"/>
      <c r="N207" s="71"/>
    </row>
    <row r="208" spans="1:14" ht="12.75">
      <c r="A208" s="72">
        <v>44194</v>
      </c>
      <c r="B208" s="73">
        <v>69665999.280000001</v>
      </c>
      <c r="C208" s="78">
        <f t="shared" si="4"/>
        <v>5.8038428890153419E-2</v>
      </c>
      <c r="D208">
        <v>67</v>
      </c>
      <c r="E208" s="74"/>
      <c r="I208" s="96">
        <v>44194</v>
      </c>
      <c r="J208" s="73">
        <v>1384941.31</v>
      </c>
      <c r="K208" s="78">
        <f t="shared" si="5"/>
        <v>0.16001747185984086</v>
      </c>
      <c r="L208">
        <v>67</v>
      </c>
      <c r="M208" s="74"/>
      <c r="N208" s="71"/>
    </row>
    <row r="209" spans="1:14" ht="12.75">
      <c r="A209" s="72">
        <v>44195</v>
      </c>
      <c r="B209" s="73">
        <v>70416521.140000001</v>
      </c>
      <c r="C209" s="78">
        <f t="shared" si="4"/>
        <v>7.5537623089463948E-2</v>
      </c>
      <c r="D209">
        <v>66</v>
      </c>
      <c r="E209" s="74"/>
      <c r="I209" s="96">
        <v>44195</v>
      </c>
      <c r="J209" s="73">
        <v>1384921.51</v>
      </c>
      <c r="K209" s="78">
        <f t="shared" si="5"/>
        <v>0.17019854857413746</v>
      </c>
      <c r="L209">
        <v>66</v>
      </c>
      <c r="M209" s="74"/>
      <c r="N209" s="71"/>
    </row>
    <row r="210" spans="1:14" ht="12.75">
      <c r="A210" s="72">
        <v>44196</v>
      </c>
      <c r="B210" s="73">
        <v>69570531.450000003</v>
      </c>
      <c r="C210" s="78">
        <f t="shared" si="4"/>
        <v>6.498964177356685E-2</v>
      </c>
      <c r="D210">
        <v>65</v>
      </c>
      <c r="E210" s="74"/>
      <c r="I210" s="96">
        <v>44196</v>
      </c>
      <c r="J210" s="73">
        <v>1333271.06</v>
      </c>
      <c r="K210" s="78">
        <f t="shared" si="5"/>
        <v>0.13111601502970477</v>
      </c>
      <c r="L210">
        <v>65</v>
      </c>
      <c r="M210" s="74"/>
      <c r="N210" s="71"/>
    </row>
    <row r="211" spans="1:14" ht="12.75">
      <c r="A211" s="72">
        <v>44197</v>
      </c>
      <c r="B211" s="73">
        <v>69575488.650000006</v>
      </c>
      <c r="C211" s="78">
        <f t="shared" si="4"/>
        <v>7.3222616226947562E-2</v>
      </c>
      <c r="D211">
        <v>64</v>
      </c>
      <c r="E211" s="74"/>
      <c r="I211" s="96">
        <v>44197</v>
      </c>
      <c r="J211" s="73">
        <v>1333295.1499999999</v>
      </c>
      <c r="K211" s="78">
        <f t="shared" si="5"/>
        <v>0.13021404143090001</v>
      </c>
      <c r="L211">
        <v>64</v>
      </c>
      <c r="M211" s="74"/>
      <c r="N211" s="71"/>
    </row>
    <row r="212" spans="1:14" ht="12.75">
      <c r="A212" s="72">
        <v>44200</v>
      </c>
      <c r="B212" s="76">
        <v>68448866.700000003</v>
      </c>
      <c r="C212" s="78">
        <f t="shared" si="4"/>
        <v>5.2263000040439843E-2</v>
      </c>
      <c r="D212">
        <v>63</v>
      </c>
      <c r="E212" s="74"/>
      <c r="I212" s="96">
        <v>44200</v>
      </c>
      <c r="J212" s="76">
        <v>1331578.05</v>
      </c>
      <c r="K212" s="78">
        <f t="shared" si="5"/>
        <v>0.11959406495723461</v>
      </c>
      <c r="L212">
        <v>63</v>
      </c>
      <c r="M212" s="74"/>
      <c r="N212" s="71"/>
    </row>
    <row r="213" spans="1:14" ht="12.75">
      <c r="A213" s="72">
        <v>44201</v>
      </c>
      <c r="B213" s="76">
        <v>68253482.769999996</v>
      </c>
      <c r="C213" s="78">
        <f t="shared" si="4"/>
        <v>2.6155168404552669E-2</v>
      </c>
      <c r="D213">
        <v>62</v>
      </c>
      <c r="E213" s="74"/>
      <c r="I213" s="96">
        <v>44201</v>
      </c>
      <c r="J213" s="76">
        <v>1320875.55</v>
      </c>
      <c r="K213" s="78">
        <f t="shared" si="5"/>
        <v>0.12890320122414375</v>
      </c>
      <c r="L213">
        <v>62</v>
      </c>
      <c r="M213" s="74"/>
      <c r="N213" s="71"/>
    </row>
    <row r="214" spans="1:14" ht="12.75">
      <c r="A214" s="72">
        <v>44202</v>
      </c>
      <c r="B214" s="73">
        <v>68861569.560000002</v>
      </c>
      <c r="C214" s="78">
        <f t="shared" si="4"/>
        <v>4.2563294058263632E-2</v>
      </c>
      <c r="D214">
        <v>61</v>
      </c>
      <c r="E214" s="74"/>
      <c r="I214" s="96">
        <v>44202</v>
      </c>
      <c r="J214" s="73">
        <v>1324628.19</v>
      </c>
      <c r="K214" s="78">
        <f t="shared" si="5"/>
        <v>0.13249760447997819</v>
      </c>
      <c r="L214">
        <v>61</v>
      </c>
      <c r="M214" s="74"/>
      <c r="N214" s="71"/>
    </row>
    <row r="215" spans="1:14" ht="12.75">
      <c r="A215" s="72">
        <v>44203</v>
      </c>
      <c r="B215" s="73">
        <v>68773440.709999993</v>
      </c>
      <c r="C215" s="78">
        <f t="shared" ref="C215:C273" si="6">(B215-B194)/B194</f>
        <v>3.6794839537624448E-2</v>
      </c>
      <c r="D215">
        <v>60</v>
      </c>
      <c r="E215" s="74"/>
      <c r="I215" s="96">
        <v>44203</v>
      </c>
      <c r="J215" s="73">
        <v>1324775.6200000001</v>
      </c>
      <c r="K215" s="78">
        <f t="shared" ref="K215:K273" si="7">(J215-J194)/J194</f>
        <v>0.1378378892320197</v>
      </c>
      <c r="L215">
        <v>60</v>
      </c>
      <c r="M215" s="74"/>
      <c r="N215" s="71"/>
    </row>
    <row r="216" spans="1:14" ht="12.75">
      <c r="A216" s="72">
        <v>44204</v>
      </c>
      <c r="B216" s="73">
        <v>68926338.709999993</v>
      </c>
      <c r="C216" s="78">
        <f t="shared" si="6"/>
        <v>3.8386738527217461E-2</v>
      </c>
      <c r="D216">
        <v>59</v>
      </c>
      <c r="E216" s="74"/>
      <c r="I216" s="96">
        <v>44204</v>
      </c>
      <c r="J216" s="73">
        <v>1324445.6200000001</v>
      </c>
      <c r="K216" s="78">
        <f t="shared" si="7"/>
        <v>0.12399058721707411</v>
      </c>
      <c r="L216">
        <v>59</v>
      </c>
      <c r="M216" s="74"/>
      <c r="N216" s="71"/>
    </row>
    <row r="217" spans="1:14" ht="12.75">
      <c r="A217" s="72">
        <v>44207</v>
      </c>
      <c r="B217" s="73">
        <v>68939217.079999998</v>
      </c>
      <c r="C217" s="78">
        <f t="shared" si="6"/>
        <v>2.9396087761212494E-2</v>
      </c>
      <c r="D217">
        <v>58</v>
      </c>
      <c r="E217" s="74"/>
      <c r="I217" s="96">
        <v>44207</v>
      </c>
      <c r="J217" s="73">
        <v>1320665.47</v>
      </c>
      <c r="K217" s="78">
        <f t="shared" si="7"/>
        <v>0.12144876559160869</v>
      </c>
      <c r="L217">
        <v>58</v>
      </c>
      <c r="M217" s="74"/>
      <c r="N217" s="71"/>
    </row>
    <row r="218" spans="1:14" ht="12.75">
      <c r="A218" s="72">
        <v>44208</v>
      </c>
      <c r="B218" s="73">
        <v>68768606.920000002</v>
      </c>
      <c r="C218" s="78">
        <f t="shared" si="6"/>
        <v>-6.7752047736227118E-3</v>
      </c>
      <c r="D218">
        <v>57</v>
      </c>
      <c r="E218" s="74"/>
      <c r="I218" s="96">
        <v>44208</v>
      </c>
      <c r="J218" s="73">
        <v>1262449.83</v>
      </c>
      <c r="K218" s="78">
        <f t="shared" si="7"/>
        <v>3.5091453902713093E-2</v>
      </c>
      <c r="L218">
        <v>57</v>
      </c>
      <c r="M218" s="74"/>
      <c r="N218" s="71"/>
    </row>
    <row r="219" spans="1:14" ht="12.75">
      <c r="A219" s="72">
        <v>44209</v>
      </c>
      <c r="B219" s="73">
        <v>68158903.200000003</v>
      </c>
      <c r="C219" s="78">
        <f t="shared" si="6"/>
        <v>6.4432754199479376E-3</v>
      </c>
      <c r="D219">
        <v>56</v>
      </c>
      <c r="E219" s="74"/>
      <c r="I219" s="96">
        <v>44209</v>
      </c>
      <c r="J219" s="73">
        <v>1181025.43</v>
      </c>
      <c r="K219" s="78">
        <f t="shared" si="7"/>
        <v>-0.14634016006044803</v>
      </c>
      <c r="L219">
        <v>56</v>
      </c>
      <c r="M219" s="74"/>
      <c r="N219" s="71"/>
    </row>
    <row r="220" spans="1:14" ht="12.75">
      <c r="A220" s="72">
        <v>44210</v>
      </c>
      <c r="B220" s="73">
        <v>68809401.840000004</v>
      </c>
      <c r="C220" s="78">
        <f t="shared" si="6"/>
        <v>3.2740700674186746E-2</v>
      </c>
      <c r="D220">
        <v>55</v>
      </c>
      <c r="E220" s="74"/>
      <c r="I220" s="96">
        <v>44210</v>
      </c>
      <c r="J220" s="73">
        <v>1202781.93</v>
      </c>
      <c r="K220" s="78">
        <f t="shared" si="7"/>
        <v>-0.11794107310504656</v>
      </c>
      <c r="L220">
        <v>55</v>
      </c>
      <c r="M220" s="74"/>
      <c r="N220" s="71"/>
    </row>
    <row r="221" spans="1:14" ht="12.75">
      <c r="A221" s="72">
        <v>44211</v>
      </c>
      <c r="B221" s="73">
        <v>69049334.090000004</v>
      </c>
      <c r="C221" s="78">
        <f t="shared" si="6"/>
        <v>3.7636433621698773E-2</v>
      </c>
      <c r="D221">
        <v>54</v>
      </c>
      <c r="E221" s="74"/>
      <c r="I221" s="96">
        <v>44211</v>
      </c>
      <c r="J221" s="73">
        <v>1182004.72</v>
      </c>
      <c r="K221" s="78">
        <f t="shared" si="7"/>
        <v>-0.13236857361383209</v>
      </c>
      <c r="L221">
        <v>54</v>
      </c>
      <c r="M221" s="74"/>
      <c r="N221" s="71"/>
    </row>
    <row r="222" spans="1:14" ht="12.75">
      <c r="A222" s="72">
        <v>44214</v>
      </c>
      <c r="B222" s="73">
        <v>68354644.439999998</v>
      </c>
      <c r="C222" s="78">
        <f t="shared" si="6"/>
        <v>2.4577156456835173E-2</v>
      </c>
      <c r="D222">
        <v>53</v>
      </c>
      <c r="E222" s="74"/>
      <c r="I222" s="96">
        <v>44214</v>
      </c>
      <c r="J222" s="73">
        <v>1160251.1299999999</v>
      </c>
      <c r="K222" s="78">
        <f t="shared" si="7"/>
        <v>-0.15078895087950703</v>
      </c>
      <c r="L222">
        <v>53</v>
      </c>
      <c r="M222" s="74"/>
      <c r="N222" s="71"/>
    </row>
    <row r="223" spans="1:14" ht="12.75">
      <c r="A223" s="72">
        <v>44215</v>
      </c>
      <c r="B223" s="73">
        <v>68541922.780000001</v>
      </c>
      <c r="C223" s="78">
        <f t="shared" si="6"/>
        <v>2.9008625655681235E-2</v>
      </c>
      <c r="D223">
        <v>52</v>
      </c>
      <c r="E223" s="74"/>
      <c r="I223" s="96">
        <v>44215</v>
      </c>
      <c r="J223" s="73">
        <v>1160805.72</v>
      </c>
      <c r="K223" s="78">
        <f t="shared" si="7"/>
        <v>-0.15032022368368669</v>
      </c>
      <c r="L223">
        <v>52</v>
      </c>
      <c r="M223" s="74"/>
      <c r="N223" s="71"/>
    </row>
    <row r="224" spans="1:14" ht="12.75">
      <c r="A224" s="72">
        <v>44216</v>
      </c>
      <c r="B224" s="73">
        <v>67716007.049999997</v>
      </c>
      <c r="C224" s="78">
        <f t="shared" si="6"/>
        <v>7.6626081693298839E-3</v>
      </c>
      <c r="D224">
        <v>51</v>
      </c>
      <c r="E224" s="74"/>
      <c r="I224" s="96">
        <v>44216</v>
      </c>
      <c r="J224" s="73">
        <v>1152360.3700000001</v>
      </c>
      <c r="K224" s="78">
        <f t="shared" si="7"/>
        <v>-0.15548144079527826</v>
      </c>
      <c r="L224">
        <v>51</v>
      </c>
      <c r="M224" s="74"/>
      <c r="N224" s="71"/>
    </row>
    <row r="225" spans="1:14" ht="12.75">
      <c r="A225" s="72">
        <v>44217</v>
      </c>
      <c r="B225" s="73">
        <v>67414257.340000004</v>
      </c>
      <c r="C225" s="78">
        <f t="shared" si="6"/>
        <v>-4.9392691627544493E-3</v>
      </c>
      <c r="D225">
        <v>50</v>
      </c>
      <c r="E225" s="74"/>
      <c r="I225" s="96">
        <v>44217</v>
      </c>
      <c r="J225" s="73">
        <v>1278556.77</v>
      </c>
      <c r="K225" s="78">
        <f t="shared" si="7"/>
        <v>-6.2274115550144178E-2</v>
      </c>
      <c r="L225">
        <v>50</v>
      </c>
      <c r="M225" s="74"/>
      <c r="N225" s="71"/>
    </row>
    <row r="226" spans="1:14" ht="12.75">
      <c r="A226" s="72">
        <v>44218</v>
      </c>
      <c r="B226" s="73">
        <v>67186617.680000007</v>
      </c>
      <c r="C226" s="78">
        <f t="shared" si="6"/>
        <v>-8.3319644038850563E-3</v>
      </c>
      <c r="D226">
        <v>49</v>
      </c>
      <c r="E226" s="74"/>
      <c r="I226" s="96">
        <v>44218</v>
      </c>
      <c r="J226" s="73">
        <v>1281192.6299999999</v>
      </c>
      <c r="K226" s="78">
        <f t="shared" si="7"/>
        <v>-6.0340909135081458E-2</v>
      </c>
      <c r="L226">
        <v>49</v>
      </c>
      <c r="M226" s="74"/>
      <c r="N226" s="71"/>
    </row>
    <row r="227" spans="1:14" ht="12.75">
      <c r="A227" s="72">
        <v>44221</v>
      </c>
      <c r="B227" s="73">
        <v>67989868.379999995</v>
      </c>
      <c r="C227" s="78">
        <f t="shared" si="6"/>
        <v>3.4619006689918051E-3</v>
      </c>
      <c r="D227">
        <v>48</v>
      </c>
      <c r="E227" s="74"/>
      <c r="I227" s="96">
        <v>44221</v>
      </c>
      <c r="J227" s="73">
        <v>1282427.9099999999</v>
      </c>
      <c r="K227" s="78">
        <f t="shared" si="7"/>
        <v>-5.944465698889731E-2</v>
      </c>
      <c r="L227">
        <v>48</v>
      </c>
      <c r="M227" s="74"/>
      <c r="N227" s="71"/>
    </row>
    <row r="228" spans="1:14" ht="12.75">
      <c r="A228" s="72">
        <v>44222</v>
      </c>
      <c r="B228" s="73">
        <v>67666814.159999996</v>
      </c>
      <c r="C228" s="78">
        <f t="shared" si="6"/>
        <v>-1.8070401199299826E-2</v>
      </c>
      <c r="D228">
        <v>47</v>
      </c>
      <c r="E228" s="74"/>
      <c r="I228" s="96">
        <v>44222</v>
      </c>
      <c r="J228" s="73">
        <v>1277042.1399999999</v>
      </c>
      <c r="K228" s="78">
        <f t="shared" si="7"/>
        <v>-7.8100981875962358E-2</v>
      </c>
      <c r="L228">
        <v>47</v>
      </c>
      <c r="M228" s="74"/>
      <c r="N228" s="71"/>
    </row>
    <row r="229" spans="1:14" ht="12.75">
      <c r="A229" s="72">
        <v>44223</v>
      </c>
      <c r="B229" s="73">
        <v>68044739.769999996</v>
      </c>
      <c r="C229" s="78">
        <f t="shared" si="6"/>
        <v>-2.327189054568608E-2</v>
      </c>
      <c r="D229">
        <v>46</v>
      </c>
      <c r="E229" s="74"/>
      <c r="I229" s="96">
        <v>44223</v>
      </c>
      <c r="J229" s="73">
        <v>1277018.9099999999</v>
      </c>
      <c r="K229" s="78">
        <f t="shared" si="7"/>
        <v>-7.7925612602313191E-2</v>
      </c>
      <c r="L229">
        <v>46</v>
      </c>
      <c r="M229" s="74"/>
      <c r="N229" s="71"/>
    </row>
    <row r="230" spans="1:14" ht="12.75">
      <c r="A230" s="72">
        <v>44224</v>
      </c>
      <c r="B230" s="73">
        <v>68345033.079999998</v>
      </c>
      <c r="C230" s="78">
        <f t="shared" si="6"/>
        <v>-2.9417642713157222E-2</v>
      </c>
      <c r="D230">
        <v>45</v>
      </c>
      <c r="E230" s="74"/>
      <c r="I230" s="96">
        <v>44224</v>
      </c>
      <c r="J230" s="73">
        <v>1275641.03</v>
      </c>
      <c r="K230" s="78">
        <f t="shared" si="7"/>
        <v>-7.8907345442269849E-2</v>
      </c>
      <c r="L230">
        <v>45</v>
      </c>
      <c r="M230" s="74"/>
      <c r="N230" s="71"/>
    </row>
    <row r="231" spans="1:14" ht="12.75">
      <c r="A231" s="72">
        <v>44225</v>
      </c>
      <c r="B231" s="73">
        <v>68466674.060000002</v>
      </c>
      <c r="C231" s="78">
        <f t="shared" si="6"/>
        <v>-1.5866737927585584E-2</v>
      </c>
      <c r="D231">
        <v>44</v>
      </c>
      <c r="E231" s="74"/>
      <c r="I231" s="96">
        <v>44225</v>
      </c>
      <c r="J231" s="73">
        <v>1275619.19</v>
      </c>
      <c r="K231" s="78">
        <f t="shared" si="7"/>
        <v>-4.3240922067265236E-2</v>
      </c>
      <c r="L231">
        <v>44</v>
      </c>
      <c r="M231" s="74"/>
      <c r="N231" s="71"/>
    </row>
    <row r="232" spans="1:14" ht="12.75">
      <c r="A232" s="72">
        <v>44228</v>
      </c>
      <c r="B232" s="73">
        <v>66996812.420000002</v>
      </c>
      <c r="C232" s="78">
        <f t="shared" si="6"/>
        <v>-3.7062998478847246E-2</v>
      </c>
      <c r="D232">
        <v>43</v>
      </c>
      <c r="E232" s="74"/>
      <c r="I232" s="96">
        <v>44228</v>
      </c>
      <c r="J232" s="73">
        <v>1283117.96</v>
      </c>
      <c r="K232" s="78">
        <f t="shared" si="7"/>
        <v>-3.7633970242822792E-2</v>
      </c>
      <c r="L232">
        <v>43</v>
      </c>
      <c r="M232" s="74"/>
      <c r="N232" s="71"/>
    </row>
    <row r="233" spans="1:14" ht="12.75">
      <c r="A233" s="72">
        <v>44229</v>
      </c>
      <c r="B233" s="76">
        <v>66363639.969999999</v>
      </c>
      <c r="C233" s="78">
        <f t="shared" si="6"/>
        <v>-3.046400664512396E-2</v>
      </c>
      <c r="D233">
        <v>42</v>
      </c>
      <c r="E233" s="74"/>
      <c r="I233" s="96">
        <v>44229</v>
      </c>
      <c r="J233" s="76">
        <v>1290941.1200000001</v>
      </c>
      <c r="K233" s="78">
        <f t="shared" si="7"/>
        <v>-3.0517873135562677E-2</v>
      </c>
      <c r="L233">
        <v>42</v>
      </c>
      <c r="M233" s="74"/>
      <c r="N233" s="71"/>
    </row>
    <row r="234" spans="1:14" ht="12.75">
      <c r="A234" s="72">
        <v>44230</v>
      </c>
      <c r="B234" s="76">
        <v>67482411.510000005</v>
      </c>
      <c r="C234" s="78">
        <f t="shared" si="6"/>
        <v>-1.1297170909187738E-2</v>
      </c>
      <c r="D234">
        <v>41</v>
      </c>
      <c r="E234" s="74"/>
      <c r="I234" s="96">
        <v>44230</v>
      </c>
      <c r="J234" s="76">
        <v>1292145.0900000001</v>
      </c>
      <c r="K234" s="78">
        <f t="shared" si="7"/>
        <v>-2.1751072612404675E-2</v>
      </c>
      <c r="L234">
        <v>41</v>
      </c>
      <c r="M234" s="74"/>
      <c r="N234" s="71"/>
    </row>
    <row r="235" spans="1:14" ht="12.75">
      <c r="A235" s="72">
        <v>44231</v>
      </c>
      <c r="B235" s="76">
        <v>67510571.489999995</v>
      </c>
      <c r="C235" s="78">
        <f t="shared" si="6"/>
        <v>-1.9619042647915034E-2</v>
      </c>
      <c r="D235">
        <v>40</v>
      </c>
      <c r="E235" s="74"/>
      <c r="I235" s="96">
        <v>44231</v>
      </c>
      <c r="J235" s="76">
        <v>1295650.75</v>
      </c>
      <c r="K235" s="78">
        <f t="shared" si="7"/>
        <v>-2.1875904664236345E-2</v>
      </c>
      <c r="L235">
        <v>40</v>
      </c>
      <c r="M235" s="74"/>
      <c r="N235" s="71"/>
    </row>
    <row r="236" spans="1:14" ht="12.75">
      <c r="A236" s="72">
        <v>44232</v>
      </c>
      <c r="B236" s="73">
        <v>67629590.209999993</v>
      </c>
      <c r="C236" s="78">
        <f t="shared" si="6"/>
        <v>-1.663215462526188E-2</v>
      </c>
      <c r="D236">
        <v>39</v>
      </c>
      <c r="E236" s="74"/>
      <c r="I236" s="96">
        <v>44232</v>
      </c>
      <c r="J236" s="73">
        <v>1295410.75</v>
      </c>
      <c r="K236" s="78">
        <f t="shared" si="7"/>
        <v>-2.2165919689856695E-2</v>
      </c>
      <c r="L236">
        <v>39</v>
      </c>
      <c r="M236" s="74"/>
      <c r="N236" s="71"/>
    </row>
    <row r="237" spans="1:14" ht="12.75">
      <c r="A237" s="72">
        <v>44235</v>
      </c>
      <c r="B237" s="73">
        <v>67154760.480000004</v>
      </c>
      <c r="C237" s="78">
        <f t="shared" si="6"/>
        <v>-2.5702485626774841E-2</v>
      </c>
      <c r="D237">
        <v>38</v>
      </c>
      <c r="E237" s="74"/>
      <c r="I237" s="96">
        <v>44235</v>
      </c>
      <c r="J237" s="73">
        <v>1297280.79</v>
      </c>
      <c r="K237" s="78">
        <f t="shared" si="7"/>
        <v>-2.0510340016829134E-2</v>
      </c>
      <c r="L237">
        <v>38</v>
      </c>
      <c r="M237" s="74"/>
      <c r="N237" s="71"/>
    </row>
    <row r="238" spans="1:14" ht="12.75">
      <c r="A238" s="72">
        <v>44236</v>
      </c>
      <c r="B238" s="73">
        <v>66774550.009999998</v>
      </c>
      <c r="C238" s="78">
        <f t="shared" si="6"/>
        <v>-3.1399646843799062E-2</v>
      </c>
      <c r="D238">
        <v>37</v>
      </c>
      <c r="E238" s="74"/>
      <c r="I238" s="96">
        <v>44236</v>
      </c>
      <c r="J238" s="73">
        <v>1310008.19</v>
      </c>
      <c r="K238" s="78">
        <f t="shared" si="7"/>
        <v>-8.0696287152870194E-3</v>
      </c>
      <c r="L238">
        <v>37</v>
      </c>
      <c r="M238" s="74"/>
      <c r="N238" s="71"/>
    </row>
    <row r="239" spans="1:14" ht="12.75">
      <c r="A239" s="72">
        <v>44237</v>
      </c>
      <c r="B239" s="73">
        <v>66535835.549999997</v>
      </c>
      <c r="C239" s="78">
        <f t="shared" si="6"/>
        <v>-3.2467887165395622E-2</v>
      </c>
      <c r="D239">
        <v>36</v>
      </c>
      <c r="E239" s="74"/>
      <c r="I239" s="96">
        <v>44237</v>
      </c>
      <c r="J239" s="73">
        <v>1315837.94</v>
      </c>
      <c r="K239" s="78">
        <f t="shared" si="7"/>
        <v>4.2289292399049133E-2</v>
      </c>
      <c r="L239">
        <v>36</v>
      </c>
      <c r="M239" s="74"/>
      <c r="N239" s="71"/>
    </row>
    <row r="240" spans="1:14" ht="12.75">
      <c r="A240" s="72">
        <v>44238</v>
      </c>
      <c r="B240" s="73">
        <v>66765364.380000003</v>
      </c>
      <c r="C240" s="78">
        <f t="shared" si="6"/>
        <v>-2.0445440794593071E-2</v>
      </c>
      <c r="D240">
        <v>35</v>
      </c>
      <c r="E240" s="74"/>
      <c r="I240" s="96">
        <v>44238</v>
      </c>
      <c r="J240" s="73">
        <v>1315588.1200000001</v>
      </c>
      <c r="K240" s="78">
        <f t="shared" si="7"/>
        <v>0.1139371656036231</v>
      </c>
      <c r="L240">
        <v>35</v>
      </c>
      <c r="M240" s="74"/>
      <c r="N240" s="71"/>
    </row>
    <row r="241" spans="1:14" ht="12.75">
      <c r="A241" s="72">
        <v>44239</v>
      </c>
      <c r="B241" s="73">
        <v>66304229.240000002</v>
      </c>
      <c r="C241" s="78">
        <f t="shared" si="6"/>
        <v>-3.640741719896342E-2</v>
      </c>
      <c r="D241">
        <v>34</v>
      </c>
      <c r="E241" s="74"/>
      <c r="I241" s="96">
        <v>44239</v>
      </c>
      <c r="J241" s="73">
        <v>1312319.97</v>
      </c>
      <c r="K241" s="78">
        <f t="shared" si="7"/>
        <v>9.107057336652874E-2</v>
      </c>
      <c r="L241">
        <v>34</v>
      </c>
      <c r="M241" s="74"/>
      <c r="N241" s="71"/>
    </row>
    <row r="242" spans="1:14" ht="12.75">
      <c r="A242" s="72">
        <v>44242</v>
      </c>
      <c r="B242" s="73">
        <v>66449570.950000003</v>
      </c>
      <c r="C242" s="78">
        <f t="shared" si="6"/>
        <v>-3.7650806836332817E-2</v>
      </c>
      <c r="D242">
        <v>33</v>
      </c>
      <c r="E242" s="74"/>
      <c r="I242" s="96">
        <v>44242</v>
      </c>
      <c r="J242" s="73">
        <v>1341862.26</v>
      </c>
      <c r="K242" s="78">
        <f t="shared" si="7"/>
        <v>0.13524272559588429</v>
      </c>
      <c r="L242">
        <v>33</v>
      </c>
      <c r="M242" s="74"/>
      <c r="N242" s="71"/>
    </row>
    <row r="243" spans="1:14" ht="12.75">
      <c r="A243" s="72">
        <v>44243</v>
      </c>
      <c r="B243" s="73">
        <v>66486112.719999999</v>
      </c>
      <c r="C243" s="78">
        <f t="shared" si="6"/>
        <v>-2.7335841409286379E-2</v>
      </c>
      <c r="D243">
        <v>32</v>
      </c>
      <c r="E243" s="74"/>
      <c r="I243" s="96">
        <v>44243</v>
      </c>
      <c r="J243" s="73">
        <v>1336985.56</v>
      </c>
      <c r="K243" s="78">
        <f t="shared" si="7"/>
        <v>0.15232429034566006</v>
      </c>
      <c r="L243">
        <v>32</v>
      </c>
      <c r="M243" s="74"/>
      <c r="N243" s="71"/>
    </row>
    <row r="244" spans="1:14" ht="12.75">
      <c r="A244" s="72">
        <v>44244</v>
      </c>
      <c r="B244" s="73">
        <v>66350623.140000001</v>
      </c>
      <c r="C244" s="78">
        <f t="shared" si="6"/>
        <v>-3.1970209634086963E-2</v>
      </c>
      <c r="D244">
        <v>31</v>
      </c>
      <c r="E244" s="74"/>
      <c r="I244" s="96">
        <v>44244</v>
      </c>
      <c r="J244" s="73">
        <v>1336985.56</v>
      </c>
      <c r="K244" s="78">
        <f t="shared" si="7"/>
        <v>0.1517737524587664</v>
      </c>
      <c r="L244">
        <v>31</v>
      </c>
      <c r="M244" s="74"/>
      <c r="N244" s="71"/>
    </row>
    <row r="245" spans="1:14" ht="12.75">
      <c r="A245" s="72">
        <v>44245</v>
      </c>
      <c r="B245" s="73">
        <v>66439297.200000003</v>
      </c>
      <c r="C245" s="78">
        <f t="shared" si="6"/>
        <v>-1.8853885596906206E-2</v>
      </c>
      <c r="D245">
        <v>30</v>
      </c>
      <c r="E245" s="74"/>
      <c r="I245" s="96">
        <v>44245</v>
      </c>
      <c r="J245" s="73">
        <v>1337095.56</v>
      </c>
      <c r="K245" s="78">
        <f t="shared" si="7"/>
        <v>0.1603102595414661</v>
      </c>
      <c r="L245">
        <v>30</v>
      </c>
      <c r="M245" s="74"/>
      <c r="N245" s="71"/>
    </row>
    <row r="246" spans="1:14" ht="12.75">
      <c r="A246" s="72">
        <v>44246</v>
      </c>
      <c r="B246" s="73">
        <v>66393309.640000001</v>
      </c>
      <c r="C246" s="78">
        <f t="shared" si="6"/>
        <v>-1.5144388446659152E-2</v>
      </c>
      <c r="D246">
        <v>29</v>
      </c>
      <c r="E246" s="74"/>
      <c r="I246" s="96">
        <v>44246</v>
      </c>
      <c r="J246" s="73">
        <v>1359359.46</v>
      </c>
      <c r="K246" s="78">
        <f t="shared" si="7"/>
        <v>6.3198359193702397E-2</v>
      </c>
      <c r="L246">
        <v>29</v>
      </c>
      <c r="M246" s="74"/>
      <c r="N246" s="71"/>
    </row>
    <row r="247" spans="1:14" ht="12.75">
      <c r="A247" s="72">
        <v>44249</v>
      </c>
      <c r="B247" s="73">
        <v>65899918.630000003</v>
      </c>
      <c r="C247" s="78">
        <f t="shared" si="6"/>
        <v>-1.9151121077836706E-2</v>
      </c>
      <c r="D247">
        <v>28</v>
      </c>
      <c r="E247" s="74"/>
      <c r="I247" s="96">
        <v>44249</v>
      </c>
      <c r="J247" s="73">
        <v>1372794.36</v>
      </c>
      <c r="K247" s="78">
        <f t="shared" si="7"/>
        <v>7.1497234572759152E-2</v>
      </c>
      <c r="L247">
        <v>28</v>
      </c>
      <c r="M247" s="74"/>
      <c r="N247" s="71"/>
    </row>
    <row r="248" spans="1:14" ht="12.75">
      <c r="A248" s="72">
        <v>44250</v>
      </c>
      <c r="B248" s="73">
        <v>65988346.890000001</v>
      </c>
      <c r="C248" s="78">
        <f t="shared" si="6"/>
        <v>-2.9438525734648505E-2</v>
      </c>
      <c r="D248">
        <v>27</v>
      </c>
      <c r="E248" s="74"/>
      <c r="I248" s="96">
        <v>44250</v>
      </c>
      <c r="J248" s="73">
        <v>1372708.47</v>
      </c>
      <c r="K248" s="78">
        <f t="shared" si="7"/>
        <v>7.0398155947806892E-2</v>
      </c>
      <c r="L248">
        <v>27</v>
      </c>
      <c r="M248" s="74"/>
      <c r="N248" s="71"/>
    </row>
    <row r="249" spans="1:14" ht="12.75">
      <c r="A249" s="72">
        <v>44251</v>
      </c>
      <c r="B249" s="73">
        <v>66337178.280000001</v>
      </c>
      <c r="C249" s="78">
        <f t="shared" si="6"/>
        <v>-1.9649748499405269E-2</v>
      </c>
      <c r="D249">
        <v>26</v>
      </c>
      <c r="E249" s="74"/>
      <c r="I249" s="96">
        <v>44251</v>
      </c>
      <c r="J249" s="73">
        <v>1370387.32</v>
      </c>
      <c r="K249" s="78">
        <f t="shared" si="7"/>
        <v>7.3094831467347021E-2</v>
      </c>
      <c r="L249">
        <v>26</v>
      </c>
      <c r="M249" s="74"/>
      <c r="N249" s="71"/>
    </row>
    <row r="250" spans="1:14" ht="12.75">
      <c r="A250" s="72">
        <v>44252</v>
      </c>
      <c r="B250" s="73">
        <v>66599538.369999997</v>
      </c>
      <c r="C250" s="78">
        <f t="shared" si="6"/>
        <v>-2.1238987831902447E-2</v>
      </c>
      <c r="D250">
        <v>25</v>
      </c>
      <c r="E250" s="74"/>
      <c r="I250" s="96">
        <v>44252</v>
      </c>
      <c r="J250" s="73">
        <v>1368070.47</v>
      </c>
      <c r="K250" s="78">
        <f t="shared" si="7"/>
        <v>7.1300087482651348E-2</v>
      </c>
      <c r="L250">
        <v>25</v>
      </c>
      <c r="M250" s="74"/>
      <c r="N250" s="71"/>
    </row>
    <row r="251" spans="1:14" ht="12.75">
      <c r="A251" s="72">
        <v>44253</v>
      </c>
      <c r="B251" s="73">
        <v>67719438.870000005</v>
      </c>
      <c r="C251" s="78">
        <f t="shared" si="6"/>
        <v>-9.1534700007784887E-3</v>
      </c>
      <c r="D251">
        <v>24</v>
      </c>
      <c r="E251" s="74"/>
      <c r="I251" s="96">
        <v>44253</v>
      </c>
      <c r="J251" s="73">
        <v>1374305.93</v>
      </c>
      <c r="K251" s="78">
        <f t="shared" si="7"/>
        <v>7.7345348479422857E-2</v>
      </c>
      <c r="L251">
        <v>24</v>
      </c>
      <c r="M251" s="74"/>
      <c r="N251" s="71"/>
    </row>
    <row r="252" spans="1:14" ht="12.75">
      <c r="A252" s="72">
        <v>44256</v>
      </c>
      <c r="B252" s="73">
        <v>68381435.540000007</v>
      </c>
      <c r="C252" s="78">
        <f t="shared" si="6"/>
        <v>-1.2449636435574189E-3</v>
      </c>
      <c r="D252">
        <v>23</v>
      </c>
      <c r="E252" s="74"/>
      <c r="I252" s="96">
        <v>44256</v>
      </c>
      <c r="J252" s="73">
        <v>1410865.43</v>
      </c>
      <c r="K252" s="78">
        <f t="shared" si="7"/>
        <v>0.10602399294416384</v>
      </c>
      <c r="L252">
        <v>23</v>
      </c>
      <c r="M252" s="74"/>
      <c r="N252" s="71"/>
    </row>
    <row r="253" spans="1:14" ht="12.75">
      <c r="A253" s="72">
        <v>44257</v>
      </c>
      <c r="B253" s="73">
        <v>68172563.200000003</v>
      </c>
      <c r="C253" s="78">
        <f t="shared" si="6"/>
        <v>1.7549354029401765E-2</v>
      </c>
      <c r="D253">
        <v>22</v>
      </c>
      <c r="E253" s="74"/>
      <c r="I253" s="96">
        <v>44257</v>
      </c>
      <c r="J253" s="73">
        <v>1283187.6599999999</v>
      </c>
      <c r="K253" s="78">
        <f t="shared" si="7"/>
        <v>5.4320804612502996E-5</v>
      </c>
      <c r="L253">
        <v>22</v>
      </c>
      <c r="M253" s="74"/>
      <c r="N253" s="71"/>
    </row>
    <row r="254" spans="1:14" ht="12.75">
      <c r="A254" s="72">
        <v>44258</v>
      </c>
      <c r="B254" s="73">
        <v>67698126.040000007</v>
      </c>
      <c r="C254" s="78">
        <f t="shared" si="6"/>
        <v>2.0108693112723602E-2</v>
      </c>
      <c r="D254">
        <v>21</v>
      </c>
      <c r="E254" s="74"/>
      <c r="I254" s="96">
        <v>44258</v>
      </c>
      <c r="J254" s="73">
        <v>1274573.22</v>
      </c>
      <c r="K254" s="78">
        <f t="shared" si="7"/>
        <v>-1.2679044571761831E-2</v>
      </c>
      <c r="L254">
        <v>21</v>
      </c>
      <c r="M254" s="74"/>
      <c r="N254" s="71"/>
    </row>
    <row r="255" spans="1:14" ht="12.75">
      <c r="A255" s="72">
        <v>44259</v>
      </c>
      <c r="B255" s="73">
        <v>67761672.549999997</v>
      </c>
      <c r="C255" s="78">
        <f t="shared" si="6"/>
        <v>4.1382789048463216E-3</v>
      </c>
      <c r="D255">
        <v>20</v>
      </c>
      <c r="E255" s="74"/>
      <c r="I255" s="96">
        <v>44259</v>
      </c>
      <c r="J255" s="73">
        <v>1276378.1200000001</v>
      </c>
      <c r="K255" s="78">
        <f t="shared" si="7"/>
        <v>-1.2202166863475038E-2</v>
      </c>
      <c r="L255">
        <v>20</v>
      </c>
      <c r="M255" s="74"/>
      <c r="N255" s="71"/>
    </row>
    <row r="256" spans="1:14" ht="12.75">
      <c r="A256" s="72">
        <v>44260</v>
      </c>
      <c r="B256" s="76">
        <v>67471370.680000007</v>
      </c>
      <c r="C256" s="78">
        <f t="shared" si="6"/>
        <v>-5.806618005862105E-4</v>
      </c>
      <c r="D256">
        <v>19</v>
      </c>
      <c r="E256" s="74"/>
      <c r="I256" s="96">
        <v>44260</v>
      </c>
      <c r="J256" s="76">
        <v>1286912.6200000001</v>
      </c>
      <c r="K256" s="78">
        <f t="shared" si="7"/>
        <v>-6.7442017071343398E-3</v>
      </c>
      <c r="L256">
        <v>19</v>
      </c>
      <c r="M256" s="74"/>
      <c r="N256" s="71"/>
    </row>
    <row r="257" spans="1:14" ht="12.75">
      <c r="A257" s="72">
        <v>44263</v>
      </c>
      <c r="B257" s="73">
        <v>67981204.920000002</v>
      </c>
      <c r="C257" s="78">
        <f t="shared" si="6"/>
        <v>5.1991252484037253E-3</v>
      </c>
      <c r="D257">
        <v>18</v>
      </c>
      <c r="E257" s="74"/>
      <c r="I257" s="96">
        <v>44263</v>
      </c>
      <c r="J257" s="73">
        <v>1275964.72</v>
      </c>
      <c r="K257" s="78">
        <f t="shared" si="7"/>
        <v>-1.5011478019616579E-2</v>
      </c>
      <c r="L257">
        <v>18</v>
      </c>
      <c r="M257" s="74"/>
      <c r="N257" s="71"/>
    </row>
    <row r="258" spans="1:14" ht="12.75">
      <c r="A258" s="72">
        <v>44264</v>
      </c>
      <c r="B258" s="73">
        <v>66543763.810000002</v>
      </c>
      <c r="C258" s="78">
        <f t="shared" si="6"/>
        <v>-9.0983374169277022E-3</v>
      </c>
      <c r="D258">
        <v>17</v>
      </c>
      <c r="E258" s="74"/>
      <c r="I258" s="96">
        <v>44264</v>
      </c>
      <c r="J258" s="73">
        <v>1278478.58</v>
      </c>
      <c r="K258" s="78">
        <f t="shared" si="7"/>
        <v>-1.4493554629757497E-2</v>
      </c>
      <c r="L258">
        <v>17</v>
      </c>
      <c r="M258" s="74"/>
      <c r="N258" s="71"/>
    </row>
    <row r="259" spans="1:14" ht="12.75">
      <c r="A259" s="72">
        <v>44265</v>
      </c>
      <c r="B259" s="73">
        <v>67128502.299999997</v>
      </c>
      <c r="C259" s="78">
        <f t="shared" si="6"/>
        <v>5.3007064809420966E-3</v>
      </c>
      <c r="D259">
        <v>16</v>
      </c>
      <c r="E259" s="74"/>
      <c r="I259" s="96">
        <v>44265</v>
      </c>
      <c r="J259" s="73">
        <v>1274924.67</v>
      </c>
      <c r="K259" s="78">
        <f t="shared" si="7"/>
        <v>-2.6781145543830546E-2</v>
      </c>
      <c r="L259">
        <v>16</v>
      </c>
      <c r="M259" s="74"/>
      <c r="N259" s="71"/>
    </row>
    <row r="260" spans="1:14" ht="12.75">
      <c r="A260" s="72">
        <v>44266</v>
      </c>
      <c r="B260" s="73">
        <v>66527214.380000003</v>
      </c>
      <c r="C260" s="78">
        <f t="shared" si="6"/>
        <v>-1.2957183040882903E-4</v>
      </c>
      <c r="D260">
        <v>15</v>
      </c>
      <c r="E260" s="74"/>
      <c r="I260" s="96">
        <v>44266</v>
      </c>
      <c r="J260" s="73">
        <v>1280803.22</v>
      </c>
      <c r="K260" s="78">
        <f t="shared" si="7"/>
        <v>-2.6625406469127935E-2</v>
      </c>
      <c r="L260">
        <v>15</v>
      </c>
      <c r="M260" s="74"/>
      <c r="N260" s="71"/>
    </row>
    <row r="261" spans="1:14" ht="12.75">
      <c r="A261" s="72">
        <v>44267</v>
      </c>
      <c r="B261" s="73">
        <v>66643936</v>
      </c>
      <c r="C261" s="78">
        <f t="shared" si="6"/>
        <v>-1.8187331279866023E-3</v>
      </c>
      <c r="D261">
        <v>14</v>
      </c>
      <c r="E261" s="74"/>
      <c r="I261" s="96">
        <v>44267</v>
      </c>
      <c r="J261" s="73">
        <v>1285103.02</v>
      </c>
      <c r="K261" s="78">
        <f t="shared" si="7"/>
        <v>-2.3172222017328714E-2</v>
      </c>
      <c r="L261">
        <v>14</v>
      </c>
      <c r="M261" s="74"/>
      <c r="N261" s="71"/>
    </row>
    <row r="262" spans="1:14" ht="12.75">
      <c r="A262" s="72">
        <v>44270</v>
      </c>
      <c r="B262" s="73">
        <v>66185803.340000004</v>
      </c>
      <c r="C262" s="78">
        <f t="shared" si="6"/>
        <v>-1.7860987354416686E-3</v>
      </c>
      <c r="D262">
        <v>13</v>
      </c>
      <c r="E262" s="74"/>
      <c r="I262" s="96">
        <v>44270</v>
      </c>
      <c r="J262" s="73">
        <v>1280517.03</v>
      </c>
      <c r="K262" s="78">
        <f t="shared" si="7"/>
        <v>-2.4234135521080231E-2</v>
      </c>
      <c r="L262">
        <v>13</v>
      </c>
      <c r="M262" s="74"/>
      <c r="N262" s="71"/>
    </row>
    <row r="263" spans="1:14" ht="12.75">
      <c r="A263" s="72">
        <v>44271</v>
      </c>
      <c r="B263" s="73">
        <v>65625119.649999999</v>
      </c>
      <c r="C263" s="78">
        <f t="shared" si="6"/>
        <v>-1.2407172660608494E-2</v>
      </c>
      <c r="D263">
        <v>12</v>
      </c>
      <c r="E263" s="74"/>
      <c r="I263" s="96">
        <v>44271</v>
      </c>
      <c r="J263" s="73">
        <v>1283027.19</v>
      </c>
      <c r="K263" s="78">
        <f t="shared" si="7"/>
        <v>-4.3845834072418183E-2</v>
      </c>
      <c r="L263">
        <v>12</v>
      </c>
      <c r="M263" s="74"/>
      <c r="N263" s="71"/>
    </row>
    <row r="264" spans="1:14" ht="12.75">
      <c r="A264" s="72">
        <v>44272</v>
      </c>
      <c r="B264" s="73">
        <v>65783235.32</v>
      </c>
      <c r="C264" s="78">
        <f t="shared" si="6"/>
        <v>-1.0571792683384882E-2</v>
      </c>
      <c r="D264">
        <v>11</v>
      </c>
      <c r="E264" s="74"/>
      <c r="I264" s="96">
        <v>44272</v>
      </c>
      <c r="J264" s="73">
        <v>1280510.2</v>
      </c>
      <c r="K264" s="78">
        <f t="shared" si="7"/>
        <v>-4.2240815226157045E-2</v>
      </c>
      <c r="L264">
        <v>11</v>
      </c>
      <c r="M264" s="74"/>
      <c r="N264" s="71"/>
    </row>
    <row r="265" spans="1:14" ht="12.75">
      <c r="A265" s="72">
        <v>44273</v>
      </c>
      <c r="B265" s="73">
        <v>65969371.460000001</v>
      </c>
      <c r="C265" s="78">
        <f t="shared" si="6"/>
        <v>-5.7460150629717157E-3</v>
      </c>
      <c r="D265">
        <v>10</v>
      </c>
      <c r="E265" s="74"/>
      <c r="I265" s="96">
        <v>44273</v>
      </c>
      <c r="J265" s="73">
        <v>1276576.23</v>
      </c>
      <c r="K265" s="78">
        <f t="shared" si="7"/>
        <v>-4.5183232943817341E-2</v>
      </c>
      <c r="L265">
        <v>10</v>
      </c>
      <c r="M265" s="74"/>
      <c r="N265" s="71"/>
    </row>
    <row r="266" spans="1:14" ht="12.75">
      <c r="A266" s="72">
        <v>44274</v>
      </c>
      <c r="B266" s="73">
        <v>66520011.710000001</v>
      </c>
      <c r="C266" s="78">
        <f t="shared" si="6"/>
        <v>1.2148609844114652E-3</v>
      </c>
      <c r="D266">
        <v>9</v>
      </c>
      <c r="E266" s="74"/>
      <c r="I266" s="96">
        <v>44274</v>
      </c>
      <c r="J266" s="73">
        <v>1290260.24</v>
      </c>
      <c r="K266" s="78">
        <f t="shared" si="7"/>
        <v>-3.5027653520889761E-2</v>
      </c>
      <c r="L266">
        <v>9</v>
      </c>
      <c r="M266" s="74"/>
      <c r="N266" s="71"/>
    </row>
    <row r="267" spans="1:14" ht="12.75">
      <c r="A267" s="72">
        <v>44277</v>
      </c>
      <c r="B267" s="73">
        <v>65782089.390000001</v>
      </c>
      <c r="C267" s="78">
        <f t="shared" si="6"/>
        <v>-9.206051834351664E-3</v>
      </c>
      <c r="D267">
        <v>8</v>
      </c>
      <c r="E267" s="74"/>
      <c r="I267" s="96">
        <v>44277</v>
      </c>
      <c r="J267" s="73">
        <v>1274056.96</v>
      </c>
      <c r="K267" s="78">
        <f t="shared" si="7"/>
        <v>-6.2751981731160353E-2</v>
      </c>
      <c r="L267">
        <v>8</v>
      </c>
      <c r="M267" s="74"/>
      <c r="N267" s="71"/>
    </row>
    <row r="268" spans="1:14" ht="12.75">
      <c r="A268" s="72">
        <v>44278</v>
      </c>
      <c r="B268" s="73">
        <v>65926441.219999999</v>
      </c>
      <c r="C268" s="78">
        <f t="shared" si="6"/>
        <v>4.0246772001205616E-4</v>
      </c>
      <c r="D268">
        <v>7</v>
      </c>
      <c r="E268" s="74"/>
      <c r="I268" s="96">
        <v>44278</v>
      </c>
      <c r="J268" s="73">
        <v>1274196.96</v>
      </c>
      <c r="K268" s="78">
        <f t="shared" si="7"/>
        <v>-7.18224104592039E-2</v>
      </c>
      <c r="L268">
        <v>7</v>
      </c>
      <c r="M268" s="74"/>
      <c r="N268" s="71"/>
    </row>
    <row r="269" spans="1:14" ht="12.75">
      <c r="A269" s="72">
        <v>44279</v>
      </c>
      <c r="B269" s="73">
        <v>67090301.43</v>
      </c>
      <c r="C269" s="78">
        <f t="shared" si="6"/>
        <v>1.6699229362980017E-2</v>
      </c>
      <c r="D269">
        <v>6</v>
      </c>
      <c r="E269" s="74"/>
      <c r="I269" s="96">
        <v>44279</v>
      </c>
      <c r="J269" s="73">
        <v>1274096.96</v>
      </c>
      <c r="K269" s="78">
        <f t="shared" si="7"/>
        <v>-7.1837183316862618E-2</v>
      </c>
      <c r="L269">
        <v>6</v>
      </c>
      <c r="M269" s="74"/>
      <c r="N269" s="71"/>
    </row>
    <row r="270" spans="1:14" ht="12.75">
      <c r="A270" s="72">
        <v>44280</v>
      </c>
      <c r="B270" s="73">
        <v>67100892.509999998</v>
      </c>
      <c r="C270" s="78">
        <f t="shared" si="6"/>
        <v>1.1512612531941972E-2</v>
      </c>
      <c r="D270">
        <v>5</v>
      </c>
      <c r="E270" s="74"/>
      <c r="I270" s="96">
        <v>44280</v>
      </c>
      <c r="J270" s="73">
        <v>1264787.24</v>
      </c>
      <c r="K270" s="78">
        <f t="shared" si="7"/>
        <v>-7.7058564727525411E-2</v>
      </c>
      <c r="L270">
        <v>5</v>
      </c>
      <c r="M270" s="74"/>
      <c r="N270" s="71"/>
    </row>
    <row r="271" spans="1:14" ht="12.75">
      <c r="A271" s="72">
        <v>44281</v>
      </c>
      <c r="B271" s="73">
        <v>67765759.060000002</v>
      </c>
      <c r="C271" s="78">
        <f t="shared" si="6"/>
        <v>1.7510942546192385E-2</v>
      </c>
      <c r="D271">
        <v>4</v>
      </c>
      <c r="E271" s="74"/>
      <c r="I271" s="96">
        <v>44281</v>
      </c>
      <c r="J271" s="73">
        <v>1277605.53</v>
      </c>
      <c r="K271" s="78">
        <f t="shared" si="7"/>
        <v>-6.6125935749493922E-2</v>
      </c>
      <c r="L271">
        <v>4</v>
      </c>
      <c r="M271" s="74"/>
      <c r="N271" s="71"/>
    </row>
    <row r="272" spans="1:14" ht="12.75">
      <c r="A272" s="72">
        <v>44284</v>
      </c>
      <c r="B272" s="73">
        <v>69246838.090000004</v>
      </c>
      <c r="C272" s="78">
        <f t="shared" si="6"/>
        <v>2.2554812111366195E-2</v>
      </c>
      <c r="D272">
        <v>3</v>
      </c>
      <c r="E272" s="74"/>
      <c r="I272" s="96">
        <v>44284</v>
      </c>
      <c r="J272" s="73">
        <v>1264898.8799999999</v>
      </c>
      <c r="K272" s="78">
        <f t="shared" si="7"/>
        <v>-7.9608948496642268E-2</v>
      </c>
      <c r="L272">
        <v>3</v>
      </c>
      <c r="M272" s="74"/>
      <c r="N272" s="71"/>
    </row>
    <row r="273" spans="1:15" ht="12.75">
      <c r="A273" s="72">
        <v>44285</v>
      </c>
      <c r="B273" s="73">
        <v>66205408.079999998</v>
      </c>
      <c r="C273" s="78">
        <f t="shared" si="6"/>
        <v>-3.1821903749404794E-2</v>
      </c>
      <c r="D273">
        <v>2</v>
      </c>
      <c r="F273" s="74"/>
      <c r="I273" s="96">
        <v>44285</v>
      </c>
      <c r="J273" s="73">
        <v>1264042.98</v>
      </c>
      <c r="K273" s="78">
        <f t="shared" si="7"/>
        <v>-0.10406552381115466</v>
      </c>
      <c r="L273">
        <v>2</v>
      </c>
      <c r="N273" s="74"/>
    </row>
    <row r="274" spans="1:15">
      <c r="A274" s="72">
        <v>44286</v>
      </c>
      <c r="B274" s="73">
        <v>64528299.079999998</v>
      </c>
      <c r="C274" s="78">
        <f>(B274-B253)/B253</f>
        <v>-5.3456463259401177E-2</v>
      </c>
      <c r="D274">
        <v>1</v>
      </c>
      <c r="E274" s="81"/>
      <c r="F274" s="74"/>
      <c r="I274" s="96">
        <v>44286</v>
      </c>
      <c r="J274" s="73">
        <v>972858.68</v>
      </c>
      <c r="K274" s="78">
        <f>(J274-J253)/J253</f>
        <v>-0.24184224153153086</v>
      </c>
      <c r="L274">
        <v>1</v>
      </c>
      <c r="M274" s="81"/>
      <c r="N274" s="74"/>
    </row>
    <row r="275" spans="1:15" ht="16.5">
      <c r="C275" s="83"/>
      <c r="D275" s="80"/>
      <c r="E275" s="296" t="s">
        <v>300</v>
      </c>
      <c r="I275" s="82"/>
      <c r="K275" s="83"/>
      <c r="L275" s="80"/>
      <c r="M275" s="296" t="s">
        <v>300</v>
      </c>
      <c r="N275" s="71"/>
    </row>
    <row r="276" spans="1:15" ht="16.5">
      <c r="A276" s="84"/>
      <c r="C276" s="83"/>
      <c r="E276" s="296" t="s">
        <v>301</v>
      </c>
      <c r="I276" s="84"/>
      <c r="K276" s="83"/>
      <c r="M276" s="296" t="s">
        <v>301</v>
      </c>
      <c r="N276" s="71"/>
    </row>
    <row r="277" spans="1:15" ht="16.5">
      <c r="A277" s="84" t="s">
        <v>302</v>
      </c>
      <c r="B277" s="297">
        <v>1.645</v>
      </c>
      <c r="C277" s="83">
        <f>STDEV(C23:C274)</f>
        <v>6.8090928032060072E-2</v>
      </c>
      <c r="E277" s="296"/>
      <c r="I277" s="84" t="s">
        <v>302</v>
      </c>
      <c r="J277" s="297">
        <v>1.645</v>
      </c>
      <c r="K277" s="83">
        <f>STDEV(K23:K274)</f>
        <v>6.6783132052605665E-2</v>
      </c>
    </row>
    <row r="278" spans="1:15">
      <c r="G278" s="87"/>
      <c r="I278" s="82"/>
      <c r="K278" s="86"/>
      <c r="N278" s="71"/>
      <c r="O278" s="87"/>
    </row>
    <row r="279" spans="1:15" ht="12.75">
      <c r="A279" s="110" t="s">
        <v>186</v>
      </c>
      <c r="B279" s="111"/>
      <c r="C279" s="112" t="s">
        <v>187</v>
      </c>
      <c r="D279" s="112" t="s">
        <v>188</v>
      </c>
      <c r="E279" s="112" t="s">
        <v>201</v>
      </c>
      <c r="G279" s="87"/>
      <c r="I279" s="110" t="s">
        <v>186</v>
      </c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 ht="12.75">
      <c r="A280" s="766" t="s">
        <v>189</v>
      </c>
      <c r="B280" s="113"/>
      <c r="C280" s="114">
        <f>$C$277*$B$277</f>
        <v>0.11200957661273882</v>
      </c>
      <c r="D280" s="115">
        <f>C280*$B$274</f>
        <v>7227787.4594909837</v>
      </c>
      <c r="E280" s="763">
        <f>IF(D280&gt;$B$274,$B$274,D280)</f>
        <v>7227787.4594909837</v>
      </c>
      <c r="G280" s="87"/>
      <c r="I280" s="766" t="s">
        <v>189</v>
      </c>
      <c r="J280" s="113"/>
      <c r="K280" s="114">
        <f>$K$277*$J$277</f>
        <v>0.10985825222653632</v>
      </c>
      <c r="L280" s="115">
        <f>K280*$J$274</f>
        <v>106876.55424821519</v>
      </c>
      <c r="M280" s="763">
        <f>IF(L280&gt;$J$274,$J$274,L280)</f>
        <v>106876.55424821519</v>
      </c>
      <c r="N280" s="71"/>
      <c r="O280" s="87"/>
    </row>
    <row r="281" spans="1:15" ht="12.75">
      <c r="A281" s="766" t="s">
        <v>202</v>
      </c>
      <c r="B281" s="113"/>
      <c r="C281" s="114">
        <f>$C$277*$B$277*SQRT(2)</f>
        <v>0.15840546236140349</v>
      </c>
      <c r="D281" s="115">
        <f>C281*$B$274</f>
        <v>10221635.051162327</v>
      </c>
      <c r="E281" s="763">
        <f>IF(SUM(D281+D280)&gt;$B$274,$B$274-E280,D281-D280)</f>
        <v>2993847.591671343</v>
      </c>
      <c r="G281" s="87"/>
      <c r="I281" s="766" t="s">
        <v>202</v>
      </c>
      <c r="J281" s="113"/>
      <c r="K281" s="114">
        <f>$K$277*$J$277*SQRT(2)</f>
        <v>0.15536303023737194</v>
      </c>
      <c r="L281" s="115">
        <f>K281*$J$274</f>
        <v>151146.27251752975</v>
      </c>
      <c r="M281" s="763">
        <f>IF(SUM(L281+L280)&gt;$J$274,$J$274-M280,L281-L280)</f>
        <v>44269.718269314559</v>
      </c>
      <c r="N281" s="71"/>
      <c r="O281" s="87"/>
    </row>
    <row r="282" spans="1:15" ht="12.75">
      <c r="A282" s="766" t="s">
        <v>203</v>
      </c>
      <c r="B282" s="113"/>
      <c r="C282" s="114">
        <f>$C$277*$B$277*SQRT(3)</f>
        <v>0.1940062776275423</v>
      </c>
      <c r="D282" s="115">
        <f>C282*$B$274</f>
        <v>12518895.106147561</v>
      </c>
      <c r="E282" s="763">
        <f>IF(SUM(D282+D281)&gt;$B$274,0,D282-D281)</f>
        <v>2297260.0549852345</v>
      </c>
      <c r="G282" s="87"/>
      <c r="I282" s="766" t="s">
        <v>203</v>
      </c>
      <c r="J282" s="113"/>
      <c r="K282" s="114">
        <f>$K$277*$J$277*SQRT(3)</f>
        <v>0.19028007448707765</v>
      </c>
      <c r="L282" s="115">
        <f>K282*$J$274</f>
        <v>185115.62209580006</v>
      </c>
      <c r="M282" s="763">
        <f>IF(SUM(L282+L281)&gt;$J$274,0,L282-L281)</f>
        <v>33969.34957827031</v>
      </c>
      <c r="N282" s="71"/>
      <c r="O282" s="87"/>
    </row>
    <row r="283" spans="1:15" ht="12.75">
      <c r="A283" s="766" t="s">
        <v>305</v>
      </c>
      <c r="B283" s="116"/>
      <c r="C283" s="117"/>
      <c r="D283" s="115"/>
      <c r="E283" s="763">
        <f>B274-SUM(E280:E282)</f>
        <v>52009403.973852441</v>
      </c>
      <c r="G283" s="87"/>
      <c r="I283" s="766" t="s">
        <v>305</v>
      </c>
      <c r="J283" s="116"/>
      <c r="K283" s="117"/>
      <c r="L283" s="115"/>
      <c r="M283" s="763">
        <f>J274-SUM(M280:M282)</f>
        <v>787743.05790419993</v>
      </c>
      <c r="N283" s="71"/>
      <c r="O283" s="87"/>
    </row>
    <row r="284" spans="1:15" ht="12.75">
      <c r="A284" s="118"/>
      <c r="B284" s="118"/>
      <c r="C284" s="119"/>
      <c r="D284" s="120"/>
      <c r="E284" s="121">
        <f>SUM(E280:E283)</f>
        <v>64528299.079999998</v>
      </c>
      <c r="G284" s="87"/>
      <c r="H284" s="71"/>
      <c r="I284" s="546"/>
      <c r="J284" s="546"/>
      <c r="K284" s="547"/>
      <c r="L284" s="120"/>
      <c r="M284" s="121">
        <f>SUM(M280:M283)</f>
        <v>972858.67999999993</v>
      </c>
      <c r="N284" s="71"/>
      <c r="O284" s="87"/>
    </row>
    <row r="285" spans="1:15" ht="12.75">
      <c r="B285" s="123"/>
      <c r="C285" s="119"/>
      <c r="D285" s="124"/>
      <c r="E285" s="124">
        <f>+B274-E284</f>
        <v>0</v>
      </c>
      <c r="G285" s="87"/>
      <c r="H285" s="71"/>
      <c r="I285" s="71"/>
      <c r="J285" s="548"/>
      <c r="K285" s="547"/>
      <c r="L285" s="124"/>
      <c r="M285" s="124">
        <f>+J274-M284</f>
        <v>0</v>
      </c>
      <c r="N285" s="71"/>
      <c r="O285" s="87"/>
    </row>
    <row r="286" spans="1:15" ht="12.75">
      <c r="B286" s="118"/>
      <c r="C286" s="119"/>
      <c r="D286" s="545">
        <v>2112</v>
      </c>
      <c r="E286" s="80"/>
      <c r="G286" s="87"/>
      <c r="H286" s="71"/>
      <c r="I286" s="71"/>
      <c r="J286" s="546"/>
      <c r="K286" s="547"/>
      <c r="L286" s="545">
        <v>2122</v>
      </c>
      <c r="M286" s="80"/>
      <c r="N286" s="71"/>
      <c r="O286" s="87"/>
    </row>
    <row r="287" spans="1:15" ht="12.75">
      <c r="A287" s="122"/>
      <c r="B287" s="123"/>
      <c r="C287" s="125"/>
      <c r="D287" s="123"/>
      <c r="E287" s="124"/>
      <c r="G287" s="87"/>
      <c r="H287" s="71"/>
      <c r="I287" s="548"/>
      <c r="J287" s="123"/>
      <c r="K287" s="125"/>
      <c r="L287" s="123"/>
      <c r="M287" s="124"/>
      <c r="N287" s="71"/>
      <c r="O287" s="87"/>
    </row>
    <row r="288" spans="1:15">
      <c r="A288" s="85"/>
      <c r="G288" s="87"/>
      <c r="H288" s="71"/>
      <c r="I288" s="71"/>
    </row>
    <row r="289" spans="1:16">
      <c r="A289" s="85"/>
      <c r="G289" s="87"/>
      <c r="H289" s="71"/>
      <c r="I289" s="71"/>
    </row>
    <row r="290" spans="1:16">
      <c r="A290" s="88"/>
      <c r="B290" s="89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</row>
    <row r="291" spans="1:16" hidden="1">
      <c r="A291" s="90" t="s">
        <v>186</v>
      </c>
      <c r="C291" s="86" t="s">
        <v>187</v>
      </c>
      <c r="D291" s="89" t="s">
        <v>188</v>
      </c>
      <c r="E291" s="89"/>
    </row>
    <row r="292" spans="1:16" hidden="1">
      <c r="A292" s="91" t="s">
        <v>189</v>
      </c>
      <c r="C292" s="83">
        <f>$C$277*$B$277</f>
        <v>0.11200957661273882</v>
      </c>
      <c r="D292" s="92">
        <f>C292*$B$274</f>
        <v>7227787.4594909837</v>
      </c>
      <c r="E292" s="79">
        <f>D292</f>
        <v>7227787.4594909837</v>
      </c>
      <c r="F292" s="93"/>
    </row>
    <row r="293" spans="1:16" hidden="1">
      <c r="A293" s="82" t="s">
        <v>190</v>
      </c>
      <c r="C293" s="83">
        <f>$C$277*$B$277*SQRT(3)</f>
        <v>0.1940062776275423</v>
      </c>
      <c r="D293" s="92">
        <f>C293*$B$274</f>
        <v>12518895.106147561</v>
      </c>
      <c r="E293" s="79">
        <f>D293-D292</f>
        <v>5291107.6466565775</v>
      </c>
      <c r="G293" s="80"/>
    </row>
    <row r="294" spans="1:16" hidden="1">
      <c r="A294" s="82" t="s">
        <v>191</v>
      </c>
      <c r="C294" s="83"/>
      <c r="D294" s="92"/>
      <c r="E294" s="79">
        <f>+B274-SUM(E292:E293)</f>
        <v>52009403.973852441</v>
      </c>
      <c r="F294" s="93"/>
    </row>
    <row r="295" spans="1:16" hidden="1">
      <c r="C295" s="83"/>
      <c r="D295" s="92"/>
      <c r="E295" s="94">
        <f>SUM(E292:E294)</f>
        <v>64528299.079999998</v>
      </c>
    </row>
    <row r="296" spans="1:16">
      <c r="C296" s="83"/>
      <c r="D296" s="92"/>
      <c r="E296" s="9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90"/>
  <sheetViews>
    <sheetView showGridLines="0" topLeftCell="A250" zoomScale="80" zoomScaleNormal="80" workbookViewId="0">
      <selection activeCell="E257" sqref="E257"/>
    </sheetView>
  </sheetViews>
  <sheetFormatPr baseColWidth="10" defaultRowHeight="15"/>
  <cols>
    <col min="1" max="1" width="25.5703125" style="82" customWidth="1"/>
    <col min="2" max="2" width="17" bestFit="1" customWidth="1"/>
    <col min="3" max="3" width="19.5703125" style="86" customWidth="1"/>
    <col min="4" max="4" width="19.42578125" bestFit="1" customWidth="1"/>
    <col min="5" max="5" width="29.28515625" bestFit="1" customWidth="1"/>
    <col min="6" max="6" width="3.85546875" customWidth="1"/>
    <col min="7" max="7" width="4.28515625" style="126" customWidth="1"/>
    <col min="8" max="8" width="23.85546875" style="126" customWidth="1"/>
    <col min="9" max="9" width="22.5703125" customWidth="1"/>
    <col min="10" max="10" width="16.28515625" customWidth="1"/>
    <col min="11" max="11" width="13.85546875" customWidth="1"/>
    <col min="12" max="12" width="20.140625" customWidth="1"/>
    <col min="13" max="13" width="19.85546875" customWidth="1"/>
  </cols>
  <sheetData>
    <row r="1" spans="1:16" ht="17.25" customHeight="1">
      <c r="A1" s="298" t="s">
        <v>181</v>
      </c>
      <c r="B1" s="299" t="s">
        <v>182</v>
      </c>
      <c r="C1" s="300" t="s">
        <v>426</v>
      </c>
      <c r="D1" s="551" t="s">
        <v>427</v>
      </c>
      <c r="F1" s="71"/>
      <c r="G1" s="300"/>
      <c r="I1" s="550" t="s">
        <v>181</v>
      </c>
      <c r="J1" s="299" t="s">
        <v>182</v>
      </c>
      <c r="K1" s="300" t="s">
        <v>426</v>
      </c>
      <c r="L1" s="551" t="s">
        <v>428</v>
      </c>
      <c r="N1" s="71"/>
      <c r="P1" s="126"/>
    </row>
    <row r="2" spans="1:16" ht="12.75">
      <c r="A2" s="72">
        <v>43906</v>
      </c>
      <c r="B2" s="73">
        <v>71301786.159999996</v>
      </c>
      <c r="C2" s="74"/>
      <c r="D2">
        <v>273</v>
      </c>
      <c r="F2" s="71"/>
      <c r="H2" s="127"/>
      <c r="I2" s="72">
        <v>43906</v>
      </c>
      <c r="J2" s="73">
        <v>1116876.92</v>
      </c>
      <c r="K2" s="74"/>
      <c r="L2">
        <v>273</v>
      </c>
      <c r="M2" s="75"/>
      <c r="N2" s="71"/>
      <c r="P2" s="127"/>
    </row>
    <row r="3" spans="1:16" ht="12.75">
      <c r="A3" s="72">
        <v>43907</v>
      </c>
      <c r="B3" s="73">
        <v>71266724.400000006</v>
      </c>
      <c r="C3" s="74"/>
      <c r="D3">
        <v>272</v>
      </c>
      <c r="F3" s="71"/>
      <c r="H3" s="127"/>
      <c r="I3" s="72">
        <v>43907</v>
      </c>
      <c r="J3" s="73">
        <v>1116579.7</v>
      </c>
      <c r="K3" s="74"/>
      <c r="L3">
        <v>272</v>
      </c>
      <c r="M3" s="74"/>
      <c r="N3" s="71"/>
      <c r="P3" s="127"/>
    </row>
    <row r="4" spans="1:16" ht="12.75">
      <c r="A4" s="72">
        <v>43908</v>
      </c>
      <c r="B4" s="73">
        <v>71207239.469999999</v>
      </c>
      <c r="C4" s="74"/>
      <c r="D4">
        <v>271</v>
      </c>
      <c r="F4" s="71"/>
      <c r="H4" s="127"/>
      <c r="I4" s="72">
        <v>43908</v>
      </c>
      <c r="J4" s="73">
        <v>1116439.7</v>
      </c>
      <c r="K4" s="74"/>
      <c r="L4">
        <v>271</v>
      </c>
      <c r="M4" s="74"/>
      <c r="N4" s="71"/>
      <c r="P4" s="127"/>
    </row>
    <row r="5" spans="1:16" ht="12.75">
      <c r="A5" s="72">
        <v>43909</v>
      </c>
      <c r="B5" s="73">
        <v>71173353.310000002</v>
      </c>
      <c r="C5" s="74"/>
      <c r="D5">
        <v>270</v>
      </c>
      <c r="F5" s="71"/>
      <c r="H5" s="127"/>
      <c r="I5" s="72">
        <v>43909</v>
      </c>
      <c r="J5" s="73">
        <v>1116439.7</v>
      </c>
      <c r="K5" s="74"/>
      <c r="L5">
        <v>270</v>
      </c>
      <c r="M5" s="74"/>
      <c r="N5" s="71"/>
      <c r="P5" s="127"/>
    </row>
    <row r="6" spans="1:16" ht="12.75">
      <c r="A6" s="72">
        <v>43910</v>
      </c>
      <c r="B6" s="73">
        <v>71157117.579999998</v>
      </c>
      <c r="C6" s="74"/>
      <c r="D6">
        <v>269</v>
      </c>
      <c r="F6" s="71"/>
      <c r="H6" s="127"/>
      <c r="I6" s="72">
        <v>43910</v>
      </c>
      <c r="J6" s="73">
        <v>1116439.7</v>
      </c>
      <c r="K6" s="74"/>
      <c r="L6">
        <v>269</v>
      </c>
      <c r="M6" s="74"/>
      <c r="N6" s="71"/>
      <c r="P6" s="127"/>
    </row>
    <row r="7" spans="1:16" ht="12.75">
      <c r="A7" s="72">
        <v>43913</v>
      </c>
      <c r="B7" s="73">
        <v>71148138.180000007</v>
      </c>
      <c r="C7" s="74"/>
      <c r="D7">
        <v>268</v>
      </c>
      <c r="F7" s="71"/>
      <c r="H7" s="127"/>
      <c r="I7" s="72">
        <v>43913</v>
      </c>
      <c r="J7" s="73">
        <v>1116439.7</v>
      </c>
      <c r="K7" s="74"/>
      <c r="L7">
        <v>268</v>
      </c>
      <c r="M7" s="74"/>
      <c r="N7" s="71"/>
      <c r="P7" s="127"/>
    </row>
    <row r="8" spans="1:16" ht="12.75">
      <c r="A8" s="72">
        <v>43914</v>
      </c>
      <c r="B8" s="73">
        <v>71145183.760000005</v>
      </c>
      <c r="C8" s="74"/>
      <c r="D8">
        <v>267</v>
      </c>
      <c r="F8" s="71"/>
      <c r="H8" s="127"/>
      <c r="I8" s="72">
        <v>43914</v>
      </c>
      <c r="J8" s="73">
        <v>1116379.7</v>
      </c>
      <c r="K8" s="74"/>
      <c r="L8">
        <v>267</v>
      </c>
      <c r="M8" s="74"/>
      <c r="N8" s="71"/>
      <c r="P8" s="127"/>
    </row>
    <row r="9" spans="1:16" ht="12.75">
      <c r="A9" s="72">
        <v>43915</v>
      </c>
      <c r="B9" s="73">
        <v>71142379.030000001</v>
      </c>
      <c r="C9" s="74"/>
      <c r="D9">
        <v>266</v>
      </c>
      <c r="F9" s="71"/>
      <c r="H9" s="127"/>
      <c r="I9" s="72">
        <v>43915</v>
      </c>
      <c r="J9" s="73">
        <v>1116379.7</v>
      </c>
      <c r="K9" s="74"/>
      <c r="L9">
        <v>266</v>
      </c>
      <c r="M9" s="74"/>
      <c r="N9" s="71"/>
      <c r="P9" s="127"/>
    </row>
    <row r="10" spans="1:16" ht="12.75">
      <c r="A10" s="72">
        <v>43916</v>
      </c>
      <c r="B10" s="73">
        <v>71141792.129999995</v>
      </c>
      <c r="C10" s="74"/>
      <c r="D10">
        <v>265</v>
      </c>
      <c r="F10" s="71"/>
      <c r="H10" s="127"/>
      <c r="I10" s="72">
        <v>43916</v>
      </c>
      <c r="J10" s="73">
        <v>1114910.8400000001</v>
      </c>
      <c r="K10" s="74"/>
      <c r="L10">
        <v>265</v>
      </c>
      <c r="M10" s="74"/>
      <c r="N10" s="71"/>
      <c r="P10" s="127"/>
    </row>
    <row r="11" spans="1:16" ht="12.75">
      <c r="A11" s="72">
        <v>43917</v>
      </c>
      <c r="B11" s="73">
        <v>71122007.239999995</v>
      </c>
      <c r="C11" s="74"/>
      <c r="D11">
        <v>264</v>
      </c>
      <c r="F11" s="71"/>
      <c r="H11" s="127"/>
      <c r="I11" s="72">
        <v>43917</v>
      </c>
      <c r="J11" s="73">
        <v>1114908.95</v>
      </c>
      <c r="K11" s="74"/>
      <c r="L11">
        <v>264</v>
      </c>
      <c r="M11" s="74"/>
      <c r="N11" s="71"/>
      <c r="P11" s="127"/>
    </row>
    <row r="12" spans="1:16" ht="12.75">
      <c r="A12" s="72">
        <v>43920</v>
      </c>
      <c r="B12" s="73">
        <v>70090026.209999993</v>
      </c>
      <c r="C12" s="74"/>
      <c r="D12">
        <v>263</v>
      </c>
      <c r="F12" s="71"/>
      <c r="H12" s="127"/>
      <c r="I12" s="72">
        <v>43920</v>
      </c>
      <c r="J12" s="73">
        <v>1107963.8500000001</v>
      </c>
      <c r="K12" s="74"/>
      <c r="L12">
        <v>263</v>
      </c>
      <c r="M12" s="74"/>
      <c r="N12" s="71"/>
      <c r="P12" s="127"/>
    </row>
    <row r="13" spans="1:16" ht="12.75">
      <c r="A13" s="72">
        <v>43921</v>
      </c>
      <c r="B13" s="73">
        <v>69626589.180000007</v>
      </c>
      <c r="C13" s="74"/>
      <c r="D13">
        <v>262</v>
      </c>
      <c r="F13" s="71"/>
      <c r="H13" s="127"/>
      <c r="I13" s="72">
        <v>43921</v>
      </c>
      <c r="J13" s="73">
        <v>1098778.93</v>
      </c>
      <c r="K13" s="74"/>
      <c r="L13">
        <v>262</v>
      </c>
      <c r="M13" s="74"/>
      <c r="N13" s="71"/>
      <c r="P13" s="127"/>
    </row>
    <row r="14" spans="1:16" ht="12.75">
      <c r="A14" s="72">
        <v>43922</v>
      </c>
      <c r="B14" s="73">
        <v>68073377.569999993</v>
      </c>
      <c r="C14" s="74"/>
      <c r="D14">
        <v>261</v>
      </c>
      <c r="F14" s="71"/>
      <c r="H14" s="127"/>
      <c r="I14" s="72">
        <v>43922</v>
      </c>
      <c r="J14" s="73">
        <v>1085728.21</v>
      </c>
      <c r="K14" s="74"/>
      <c r="L14">
        <v>261</v>
      </c>
      <c r="M14" s="74"/>
      <c r="N14" s="71"/>
      <c r="P14" s="127"/>
    </row>
    <row r="15" spans="1:16" ht="12.75">
      <c r="A15" s="72">
        <v>43923</v>
      </c>
      <c r="B15" s="73">
        <v>67417135.810000002</v>
      </c>
      <c r="C15" s="74"/>
      <c r="D15">
        <v>260</v>
      </c>
      <c r="F15" s="71"/>
      <c r="H15" s="127"/>
      <c r="I15" s="72">
        <v>43923</v>
      </c>
      <c r="J15" s="73">
        <v>1079332.69</v>
      </c>
      <c r="K15" s="74"/>
      <c r="L15">
        <v>260</v>
      </c>
      <c r="M15" s="74"/>
      <c r="N15" s="71"/>
      <c r="P15" s="127"/>
    </row>
    <row r="16" spans="1:16" ht="12.75">
      <c r="A16" s="72">
        <v>43924</v>
      </c>
      <c r="B16" s="73">
        <v>67056725.710000001</v>
      </c>
      <c r="C16" s="74"/>
      <c r="D16">
        <v>259</v>
      </c>
      <c r="F16" s="71"/>
      <c r="H16" s="127"/>
      <c r="I16" s="72">
        <v>43924</v>
      </c>
      <c r="J16" s="73">
        <v>1076624.69</v>
      </c>
      <c r="K16" s="74"/>
      <c r="L16">
        <v>259</v>
      </c>
      <c r="M16" s="74"/>
      <c r="N16" s="71"/>
      <c r="P16" s="127"/>
    </row>
    <row r="17" spans="1:16" ht="12.75">
      <c r="A17" s="72">
        <v>43927</v>
      </c>
      <c r="B17" s="76">
        <v>66676269.609999999</v>
      </c>
      <c r="C17" s="74"/>
      <c r="D17">
        <v>258</v>
      </c>
      <c r="F17" s="71"/>
      <c r="H17" s="127"/>
      <c r="I17" s="72">
        <v>43927</v>
      </c>
      <c r="J17" s="76">
        <v>1071516.53</v>
      </c>
      <c r="K17" s="74"/>
      <c r="L17">
        <v>258</v>
      </c>
      <c r="M17" s="74"/>
      <c r="N17" s="71"/>
      <c r="P17" s="127"/>
    </row>
    <row r="18" spans="1:16" ht="12.75">
      <c r="A18" s="72">
        <v>43928</v>
      </c>
      <c r="B18" s="73">
        <v>66486426.539999999</v>
      </c>
      <c r="C18" s="74"/>
      <c r="D18">
        <v>257</v>
      </c>
      <c r="F18" s="71"/>
      <c r="H18" s="127"/>
      <c r="I18" s="72">
        <v>43928</v>
      </c>
      <c r="J18" s="73">
        <v>1070571.1399999999</v>
      </c>
      <c r="K18" s="74"/>
      <c r="L18">
        <v>257</v>
      </c>
      <c r="M18" s="74"/>
      <c r="N18" s="71"/>
      <c r="P18" s="127"/>
    </row>
    <row r="19" spans="1:16" ht="12.75">
      <c r="A19" s="72">
        <v>43929</v>
      </c>
      <c r="B19" s="73">
        <v>66286030.719999999</v>
      </c>
      <c r="C19" s="74"/>
      <c r="D19">
        <v>256</v>
      </c>
      <c r="F19" s="71"/>
      <c r="H19" s="127"/>
      <c r="I19" s="72">
        <v>43929</v>
      </c>
      <c r="J19" s="73">
        <v>1069736.1399999999</v>
      </c>
      <c r="K19" s="74"/>
      <c r="L19">
        <v>256</v>
      </c>
      <c r="M19" s="74"/>
      <c r="N19" s="71"/>
      <c r="P19" s="127"/>
    </row>
    <row r="20" spans="1:16" ht="12.75">
      <c r="A20" s="72">
        <v>43930</v>
      </c>
      <c r="B20" s="73">
        <v>66286030.719999999</v>
      </c>
      <c r="C20" s="74"/>
      <c r="D20">
        <v>255</v>
      </c>
      <c r="F20" s="71"/>
      <c r="H20" s="127"/>
      <c r="I20" s="72">
        <v>43930</v>
      </c>
      <c r="J20" s="73">
        <v>1069736.1399999999</v>
      </c>
      <c r="K20" s="74"/>
      <c r="L20">
        <v>255</v>
      </c>
      <c r="M20" s="74"/>
      <c r="N20" s="71"/>
      <c r="P20" s="127"/>
    </row>
    <row r="21" spans="1:16" ht="12.75">
      <c r="A21" s="72">
        <v>43931</v>
      </c>
      <c r="B21" s="73">
        <v>66286028.219999999</v>
      </c>
      <c r="C21" s="74"/>
      <c r="D21">
        <v>254</v>
      </c>
      <c r="F21" s="71"/>
      <c r="H21" s="127"/>
      <c r="I21" s="72">
        <v>43931</v>
      </c>
      <c r="J21" s="73">
        <v>1069736.1399999999</v>
      </c>
      <c r="K21" s="74"/>
      <c r="L21">
        <v>254</v>
      </c>
      <c r="M21" s="74"/>
      <c r="N21" s="71"/>
      <c r="P21" s="127"/>
    </row>
    <row r="22" spans="1:16" ht="12.75">
      <c r="A22" s="72">
        <v>43934</v>
      </c>
      <c r="B22" s="73">
        <v>66034920.310000002</v>
      </c>
      <c r="C22" s="74"/>
      <c r="D22">
        <v>253</v>
      </c>
      <c r="F22" s="71"/>
      <c r="H22" s="127"/>
      <c r="I22" s="72">
        <v>43934</v>
      </c>
      <c r="J22" s="73">
        <v>1064460.4099999999</v>
      </c>
      <c r="K22" s="74"/>
      <c r="L22">
        <v>253</v>
      </c>
      <c r="M22" s="74"/>
      <c r="N22" s="71"/>
      <c r="P22" s="127"/>
    </row>
    <row r="23" spans="1:16" ht="12.75">
      <c r="A23" s="72">
        <v>43935</v>
      </c>
      <c r="B23" s="73">
        <v>65820776.189999998</v>
      </c>
      <c r="C23" s="78">
        <f t="shared" ref="C23:C86" si="0">(B23-B2)/B2</f>
        <v>-7.6870584387615556E-2</v>
      </c>
      <c r="D23">
        <v>252</v>
      </c>
      <c r="F23" s="71"/>
      <c r="H23" s="127"/>
      <c r="I23" s="72">
        <v>43935</v>
      </c>
      <c r="J23" s="73">
        <v>1062142.05</v>
      </c>
      <c r="K23" s="78">
        <f t="shared" ref="K23:K86" si="1">(J23-J2)/J2</f>
        <v>-4.9007074118784619E-2</v>
      </c>
      <c r="L23">
        <v>252</v>
      </c>
      <c r="M23" s="74"/>
      <c r="N23" s="71"/>
      <c r="P23" s="127"/>
    </row>
    <row r="24" spans="1:16" ht="12.75">
      <c r="A24" s="72">
        <v>43936</v>
      </c>
      <c r="B24" s="73">
        <v>65629968.289999999</v>
      </c>
      <c r="C24" s="78">
        <f t="shared" si="0"/>
        <v>-7.9093800893141747E-2</v>
      </c>
      <c r="D24">
        <v>251</v>
      </c>
      <c r="F24" s="71"/>
      <c r="H24" s="127"/>
      <c r="I24" s="72">
        <v>43936</v>
      </c>
      <c r="J24" s="73">
        <v>1061335.96</v>
      </c>
      <c r="K24" s="78">
        <f t="shared" si="1"/>
        <v>-4.9475859179599978E-2</v>
      </c>
      <c r="L24">
        <v>251</v>
      </c>
      <c r="M24" s="74"/>
      <c r="N24" s="71"/>
      <c r="P24" s="127"/>
    </row>
    <row r="25" spans="1:16" ht="12.75">
      <c r="A25" s="72">
        <v>43937</v>
      </c>
      <c r="B25" s="73">
        <v>65514032.93</v>
      </c>
      <c r="C25" s="78">
        <f t="shared" si="0"/>
        <v>-7.995263659109518E-2</v>
      </c>
      <c r="D25">
        <v>250</v>
      </c>
      <c r="F25" s="71"/>
      <c r="H25" s="127"/>
      <c r="I25" s="72">
        <v>43937</v>
      </c>
      <c r="J25" s="73">
        <v>1061157.1200000001</v>
      </c>
      <c r="K25" s="78">
        <f t="shared" si="1"/>
        <v>-4.951685254474545E-2</v>
      </c>
      <c r="L25">
        <v>250</v>
      </c>
      <c r="M25" s="74"/>
      <c r="N25" s="71"/>
      <c r="P25" s="127"/>
    </row>
    <row r="26" spans="1:16" ht="12.75">
      <c r="A26" s="72">
        <v>43938</v>
      </c>
      <c r="B26" s="73">
        <v>65401599.560000002</v>
      </c>
      <c r="C26" s="78">
        <f t="shared" si="0"/>
        <v>-8.1094306809751743E-2</v>
      </c>
      <c r="D26">
        <v>249</v>
      </c>
      <c r="F26" s="71"/>
      <c r="H26" s="127"/>
      <c r="I26" s="72">
        <v>43938</v>
      </c>
      <c r="J26" s="73">
        <v>1058716.22</v>
      </c>
      <c r="K26" s="78">
        <f t="shared" si="1"/>
        <v>-5.170317752046974E-2</v>
      </c>
      <c r="L26">
        <v>249</v>
      </c>
      <c r="M26" s="74"/>
      <c r="N26" s="71"/>
      <c r="P26" s="127"/>
    </row>
    <row r="27" spans="1:16" ht="12.75">
      <c r="A27" s="72">
        <v>43941</v>
      </c>
      <c r="B27" s="73">
        <v>65284957.609999999</v>
      </c>
      <c r="C27" s="78">
        <f t="shared" si="0"/>
        <v>-8.2523859449451287E-2</v>
      </c>
      <c r="D27">
        <v>248</v>
      </c>
      <c r="F27" s="71"/>
      <c r="H27" s="127"/>
      <c r="I27" s="72">
        <v>43941</v>
      </c>
      <c r="J27" s="73">
        <v>1057671.22</v>
      </c>
      <c r="K27" s="78">
        <f t="shared" si="1"/>
        <v>-5.263918866374958E-2</v>
      </c>
      <c r="L27">
        <v>248</v>
      </c>
      <c r="M27" s="74"/>
      <c r="N27" s="71"/>
      <c r="P27" s="127"/>
    </row>
    <row r="28" spans="1:16" ht="12.75">
      <c r="A28" s="72">
        <v>43942</v>
      </c>
      <c r="B28" s="73">
        <v>65182398.729999997</v>
      </c>
      <c r="C28" s="78">
        <f t="shared" si="0"/>
        <v>-8.3849551128198058E-2</v>
      </c>
      <c r="D28">
        <v>247</v>
      </c>
      <c r="F28" s="71"/>
      <c r="H28" s="127"/>
      <c r="I28" s="72">
        <v>43942</v>
      </c>
      <c r="J28" s="73">
        <v>1057142.19</v>
      </c>
      <c r="K28" s="78">
        <f t="shared" si="1"/>
        <v>-5.3113043185404468E-2</v>
      </c>
      <c r="L28">
        <v>247</v>
      </c>
      <c r="M28" s="74"/>
      <c r="N28" s="71"/>
      <c r="P28" s="127"/>
    </row>
    <row r="29" spans="1:16" ht="12.75">
      <c r="A29" s="72">
        <v>43943</v>
      </c>
      <c r="B29" s="73">
        <v>65091339.210000001</v>
      </c>
      <c r="C29" s="78">
        <f t="shared" si="0"/>
        <v>-8.5091417718758652E-2</v>
      </c>
      <c r="D29">
        <v>246</v>
      </c>
      <c r="F29" s="71"/>
      <c r="H29" s="127"/>
      <c r="I29" s="72">
        <v>43943</v>
      </c>
      <c r="J29" s="73">
        <v>1054611.82</v>
      </c>
      <c r="K29" s="78">
        <f t="shared" si="1"/>
        <v>-5.532873806286507E-2</v>
      </c>
      <c r="L29">
        <v>246</v>
      </c>
      <c r="M29" s="74"/>
      <c r="N29" s="71"/>
      <c r="P29" s="127"/>
    </row>
    <row r="30" spans="1:16" ht="12.75">
      <c r="A30" s="72">
        <v>43944</v>
      </c>
      <c r="B30" s="73">
        <v>65009394.590000004</v>
      </c>
      <c r="C30" s="78">
        <f t="shared" si="0"/>
        <v>-8.620718794649504E-2</v>
      </c>
      <c r="D30">
        <v>245</v>
      </c>
      <c r="F30" s="71"/>
      <c r="H30" s="127"/>
      <c r="I30" s="72">
        <v>43944</v>
      </c>
      <c r="J30" s="73">
        <v>1052841.54</v>
      </c>
      <c r="K30" s="78">
        <f t="shared" si="1"/>
        <v>-5.6914470945682652E-2</v>
      </c>
      <c r="L30">
        <v>245</v>
      </c>
      <c r="M30" s="74"/>
      <c r="N30" s="71"/>
      <c r="P30" s="127"/>
    </row>
    <row r="31" spans="1:16" ht="12.75">
      <c r="A31" s="72">
        <v>43945</v>
      </c>
      <c r="B31" s="73">
        <v>64757708.369999997</v>
      </c>
      <c r="C31" s="78">
        <f t="shared" si="0"/>
        <v>-8.9737460483623022E-2</v>
      </c>
      <c r="D31">
        <v>244</v>
      </c>
      <c r="F31" s="71"/>
      <c r="H31" s="127"/>
      <c r="I31" s="72">
        <v>43945</v>
      </c>
      <c r="J31" s="73">
        <v>1051098.44</v>
      </c>
      <c r="K31" s="78">
        <f t="shared" si="1"/>
        <v>-5.7235428798952333E-2</v>
      </c>
      <c r="L31">
        <v>244</v>
      </c>
      <c r="M31" s="74"/>
      <c r="N31" s="71"/>
      <c r="P31" s="127"/>
    </row>
    <row r="32" spans="1:16" ht="12.75">
      <c r="A32" s="72">
        <v>43948</v>
      </c>
      <c r="B32" s="73">
        <v>64687355.670000002</v>
      </c>
      <c r="C32" s="78">
        <f t="shared" si="0"/>
        <v>-9.047342474863472E-2</v>
      </c>
      <c r="D32">
        <v>243</v>
      </c>
      <c r="F32" s="71"/>
      <c r="H32" s="127"/>
      <c r="I32" s="72">
        <v>43948</v>
      </c>
      <c r="J32" s="73">
        <v>1050298.44</v>
      </c>
      <c r="K32" s="78">
        <f t="shared" si="1"/>
        <v>-5.7951378002661126E-2</v>
      </c>
      <c r="L32">
        <v>243</v>
      </c>
      <c r="M32" s="74"/>
      <c r="N32" s="71"/>
      <c r="P32" s="127"/>
    </row>
    <row r="33" spans="1:16" ht="12.75">
      <c r="A33" s="72">
        <v>43949</v>
      </c>
      <c r="B33" s="73">
        <v>64609636.810000002</v>
      </c>
      <c r="C33" s="78">
        <f t="shared" si="0"/>
        <v>-7.819071694423313E-2</v>
      </c>
      <c r="D33">
        <v>242</v>
      </c>
      <c r="F33" s="71"/>
      <c r="H33" s="127"/>
      <c r="I33" s="72">
        <v>43949</v>
      </c>
      <c r="J33" s="73">
        <v>1050248.44</v>
      </c>
      <c r="K33" s="78">
        <f t="shared" si="1"/>
        <v>-5.2091419769697493E-2</v>
      </c>
      <c r="L33">
        <v>242</v>
      </c>
      <c r="M33" s="74"/>
      <c r="N33" s="71"/>
      <c r="P33" s="127"/>
    </row>
    <row r="34" spans="1:16" ht="12.75">
      <c r="A34" s="72">
        <v>43950</v>
      </c>
      <c r="B34" s="73">
        <v>64549851.780000001</v>
      </c>
      <c r="C34" s="78">
        <f t="shared" si="0"/>
        <v>-7.2913774174339141E-2</v>
      </c>
      <c r="D34">
        <v>241</v>
      </c>
      <c r="F34" s="71"/>
      <c r="H34" s="127"/>
      <c r="I34" s="72">
        <v>43950</v>
      </c>
      <c r="J34" s="73">
        <v>1050248.44</v>
      </c>
      <c r="K34" s="78">
        <f t="shared" si="1"/>
        <v>-4.4167656181758046E-2</v>
      </c>
      <c r="L34">
        <v>241</v>
      </c>
      <c r="M34" s="74"/>
      <c r="N34" s="71"/>
      <c r="P34" s="127"/>
    </row>
    <row r="35" spans="1:16" ht="12.75">
      <c r="A35" s="72">
        <v>43951</v>
      </c>
      <c r="B35" s="73">
        <v>64838794.880000003</v>
      </c>
      <c r="C35" s="78">
        <f t="shared" si="0"/>
        <v>-4.75161187157764E-2</v>
      </c>
      <c r="D35">
        <v>240</v>
      </c>
      <c r="F35" s="71"/>
      <c r="H35" s="127"/>
      <c r="I35" s="72">
        <v>43951</v>
      </c>
      <c r="J35" s="73">
        <v>1048965.8400000001</v>
      </c>
      <c r="K35" s="78">
        <f t="shared" si="1"/>
        <v>-3.3859643381652468E-2</v>
      </c>
      <c r="L35">
        <v>240</v>
      </c>
      <c r="M35" s="74"/>
      <c r="N35" s="71"/>
      <c r="P35" s="127"/>
    </row>
    <row r="36" spans="1:16" ht="12.75">
      <c r="A36" s="72">
        <v>43952</v>
      </c>
      <c r="B36" s="73">
        <v>64838249.880000003</v>
      </c>
      <c r="C36" s="78">
        <f t="shared" si="0"/>
        <v>-3.8252677142321924E-2</v>
      </c>
      <c r="D36">
        <v>239</v>
      </c>
      <c r="F36" s="71"/>
      <c r="H36" s="127"/>
      <c r="I36" s="72">
        <v>43952</v>
      </c>
      <c r="J36" s="73">
        <v>1048965.8400000001</v>
      </c>
      <c r="K36" s="78">
        <f t="shared" si="1"/>
        <v>-2.8134837646768451E-2</v>
      </c>
      <c r="L36">
        <v>239</v>
      </c>
      <c r="M36" s="74"/>
      <c r="N36" s="71"/>
      <c r="P36" s="127"/>
    </row>
    <row r="37" spans="1:16" ht="12.75">
      <c r="A37" s="72">
        <v>43955</v>
      </c>
      <c r="B37" s="73">
        <v>64743526.130000003</v>
      </c>
      <c r="C37" s="78">
        <f t="shared" si="0"/>
        <v>-3.4496160608913189E-2</v>
      </c>
      <c r="D37">
        <v>238</v>
      </c>
      <c r="F37" s="71"/>
      <c r="H37" s="127"/>
      <c r="I37" s="72">
        <v>43955</v>
      </c>
      <c r="J37" s="73">
        <v>1046644.82</v>
      </c>
      <c r="K37" s="78">
        <f t="shared" si="1"/>
        <v>-2.7846166150991759E-2</v>
      </c>
      <c r="L37">
        <v>238</v>
      </c>
      <c r="M37" s="74"/>
      <c r="N37" s="71"/>
      <c r="P37" s="127"/>
    </row>
    <row r="38" spans="1:16" ht="12.75">
      <c r="A38" s="72">
        <v>43956</v>
      </c>
      <c r="B38" s="76">
        <v>64653414.670000002</v>
      </c>
      <c r="C38" s="78">
        <f t="shared" si="0"/>
        <v>-3.0338454023177881E-2</v>
      </c>
      <c r="D38">
        <v>237</v>
      </c>
      <c r="F38" s="71"/>
      <c r="H38" s="127"/>
      <c r="I38" s="72">
        <v>43956</v>
      </c>
      <c r="J38" s="76">
        <v>1046119.82</v>
      </c>
      <c r="K38" s="78">
        <f t="shared" si="1"/>
        <v>-2.3701650220925737E-2</v>
      </c>
      <c r="L38">
        <v>237</v>
      </c>
      <c r="M38" s="74"/>
      <c r="N38" s="71"/>
      <c r="P38" s="127"/>
    </row>
    <row r="39" spans="1:16" ht="12.75">
      <c r="A39" s="72">
        <v>43957</v>
      </c>
      <c r="B39" s="76">
        <v>65509906.340000004</v>
      </c>
      <c r="C39" s="78">
        <f t="shared" si="0"/>
        <v>-1.4687512185851875E-2</v>
      </c>
      <c r="D39">
        <v>236</v>
      </c>
      <c r="F39" s="71"/>
      <c r="H39" s="127"/>
      <c r="I39" s="72">
        <v>43957</v>
      </c>
      <c r="J39" s="76">
        <v>1049484.33</v>
      </c>
      <c r="K39" s="78">
        <f t="shared" si="1"/>
        <v>-1.9696785399987361E-2</v>
      </c>
      <c r="L39">
        <v>236</v>
      </c>
      <c r="M39" s="74"/>
      <c r="N39" s="71"/>
      <c r="P39" s="127"/>
    </row>
    <row r="40" spans="1:16" ht="12.75">
      <c r="A40" s="72">
        <v>43958</v>
      </c>
      <c r="B40" s="76">
        <v>65422191.659999996</v>
      </c>
      <c r="C40" s="78">
        <f t="shared" si="0"/>
        <v>-1.3031992572446529E-2</v>
      </c>
      <c r="D40">
        <v>235</v>
      </c>
      <c r="F40" s="71"/>
      <c r="H40" s="127"/>
      <c r="I40" s="72">
        <v>43958</v>
      </c>
      <c r="J40" s="76">
        <v>1047940.64</v>
      </c>
      <c r="K40" s="78">
        <f t="shared" si="1"/>
        <v>-2.0374650518958707E-2</v>
      </c>
      <c r="L40">
        <v>235</v>
      </c>
      <c r="M40" s="74"/>
      <c r="N40" s="71"/>
      <c r="P40" s="127"/>
    </row>
    <row r="41" spans="1:16" ht="12.75">
      <c r="A41" s="72">
        <v>43959</v>
      </c>
      <c r="B41" s="73">
        <v>65300041.93</v>
      </c>
      <c r="C41" s="78">
        <f t="shared" si="0"/>
        <v>-1.4874759874594572E-2</v>
      </c>
      <c r="D41">
        <v>234</v>
      </c>
      <c r="F41" s="71"/>
      <c r="H41" s="127"/>
      <c r="I41" s="72">
        <v>43959</v>
      </c>
      <c r="J41" s="73">
        <v>1047940.64</v>
      </c>
      <c r="K41" s="78">
        <f t="shared" si="1"/>
        <v>-2.0374650518958707E-2</v>
      </c>
      <c r="L41">
        <v>234</v>
      </c>
      <c r="M41" s="74"/>
      <c r="N41" s="71"/>
      <c r="P41" s="127"/>
    </row>
    <row r="42" spans="1:16" ht="12.75">
      <c r="A42" s="72">
        <v>43962</v>
      </c>
      <c r="B42" s="73">
        <v>65224023.75</v>
      </c>
      <c r="C42" s="78">
        <f t="shared" si="0"/>
        <v>-1.6021543280210715E-2</v>
      </c>
      <c r="D42">
        <v>233</v>
      </c>
      <c r="F42" s="71"/>
      <c r="H42" s="127"/>
      <c r="I42" s="72">
        <v>43962</v>
      </c>
      <c r="J42" s="73">
        <v>1047563.74</v>
      </c>
      <c r="K42" s="78">
        <f t="shared" si="1"/>
        <v>-2.0726980393501439E-2</v>
      </c>
      <c r="L42">
        <v>233</v>
      </c>
      <c r="M42" s="74"/>
      <c r="N42" s="71"/>
      <c r="P42" s="127"/>
    </row>
    <row r="43" spans="1:16" ht="12.75">
      <c r="A43" s="72">
        <v>43963</v>
      </c>
      <c r="B43" s="73">
        <v>65240398.850000001</v>
      </c>
      <c r="C43" s="78">
        <f t="shared" si="0"/>
        <v>-1.2031837946803466E-2</v>
      </c>
      <c r="D43">
        <v>232</v>
      </c>
      <c r="F43" s="71"/>
      <c r="H43" s="127"/>
      <c r="I43" s="72">
        <v>43963</v>
      </c>
      <c r="J43" s="73">
        <v>1046051.25</v>
      </c>
      <c r="K43" s="78">
        <f t="shared" si="1"/>
        <v>-1.7294358556745118E-2</v>
      </c>
      <c r="L43">
        <v>232</v>
      </c>
      <c r="M43" s="74"/>
      <c r="N43" s="71"/>
      <c r="P43" s="127"/>
    </row>
    <row r="44" spans="1:16" ht="12.75">
      <c r="A44" s="72">
        <v>43964</v>
      </c>
      <c r="B44" s="73">
        <v>65605185.460000001</v>
      </c>
      <c r="C44" s="78">
        <f t="shared" si="0"/>
        <v>-3.2754206571139E-3</v>
      </c>
      <c r="D44">
        <v>231</v>
      </c>
      <c r="F44" s="71"/>
      <c r="H44" s="127"/>
      <c r="I44" s="72">
        <v>43964</v>
      </c>
      <c r="J44" s="73">
        <v>1057841.8999999999</v>
      </c>
      <c r="K44" s="78">
        <f t="shared" si="1"/>
        <v>-4.0485639373755511E-3</v>
      </c>
      <c r="L44">
        <v>231</v>
      </c>
      <c r="M44" s="74"/>
      <c r="N44" s="71"/>
      <c r="P44" s="127"/>
    </row>
    <row r="45" spans="1:16" ht="12.75">
      <c r="A45" s="72">
        <v>43965</v>
      </c>
      <c r="B45" s="73">
        <v>66279478.359999999</v>
      </c>
      <c r="C45" s="78">
        <f t="shared" si="0"/>
        <v>9.8965470641399923E-3</v>
      </c>
      <c r="D45">
        <v>230</v>
      </c>
      <c r="F45" s="71"/>
      <c r="H45" s="127"/>
      <c r="I45" s="72">
        <v>43965</v>
      </c>
      <c r="J45" s="73">
        <v>1067872.3999999999</v>
      </c>
      <c r="K45" s="78">
        <f t="shared" si="1"/>
        <v>6.1586907881647059E-3</v>
      </c>
      <c r="L45">
        <v>230</v>
      </c>
      <c r="M45" s="74"/>
      <c r="N45" s="71"/>
      <c r="P45" s="127"/>
    </row>
    <row r="46" spans="1:16" ht="12.75">
      <c r="A46" s="72">
        <v>43966</v>
      </c>
      <c r="B46" s="73">
        <v>68332387.310000002</v>
      </c>
      <c r="C46" s="78">
        <f t="shared" si="0"/>
        <v>4.3019094596288082E-2</v>
      </c>
      <c r="D46">
        <v>229</v>
      </c>
      <c r="F46" s="71"/>
      <c r="H46" s="127"/>
      <c r="I46" s="72">
        <v>43966</v>
      </c>
      <c r="J46" s="73">
        <v>1090128.8400000001</v>
      </c>
      <c r="K46" s="78">
        <f t="shared" si="1"/>
        <v>2.7302007830847866E-2</v>
      </c>
      <c r="L46">
        <v>229</v>
      </c>
      <c r="M46" s="74"/>
      <c r="N46" s="71"/>
      <c r="P46" s="127"/>
    </row>
    <row r="47" spans="1:16" ht="12.75">
      <c r="A47" s="72">
        <v>43969</v>
      </c>
      <c r="B47" s="73">
        <v>69447130.950000003</v>
      </c>
      <c r="C47" s="78">
        <f t="shared" si="0"/>
        <v>6.1856765235360864E-2</v>
      </c>
      <c r="D47">
        <v>228</v>
      </c>
      <c r="F47" s="71"/>
      <c r="H47" s="127"/>
      <c r="I47" s="72">
        <v>43969</v>
      </c>
      <c r="J47" s="73">
        <v>1091761.26</v>
      </c>
      <c r="K47" s="78">
        <f t="shared" si="1"/>
        <v>3.121236774855498E-2</v>
      </c>
      <c r="L47">
        <v>228</v>
      </c>
      <c r="M47" s="74"/>
      <c r="N47" s="71"/>
      <c r="P47" s="127"/>
    </row>
    <row r="48" spans="1:16" ht="12.75">
      <c r="A48" s="72">
        <v>43970</v>
      </c>
      <c r="B48" s="73">
        <v>69959456.430000007</v>
      </c>
      <c r="C48" s="78">
        <f t="shared" si="0"/>
        <v>7.1601468257428927E-2</v>
      </c>
      <c r="D48">
        <v>227</v>
      </c>
      <c r="F48" s="71"/>
      <c r="H48" s="127"/>
      <c r="I48" s="72">
        <v>43970</v>
      </c>
      <c r="J48" s="73">
        <v>1095022.52</v>
      </c>
      <c r="K48" s="78">
        <f t="shared" si="1"/>
        <v>3.5314660448073881E-2</v>
      </c>
      <c r="L48">
        <v>227</v>
      </c>
      <c r="M48" s="74"/>
      <c r="N48" s="71"/>
      <c r="P48" s="127"/>
    </row>
    <row r="49" spans="1:16" ht="12.75">
      <c r="A49" s="72">
        <v>43971</v>
      </c>
      <c r="B49" s="73">
        <v>70444838.890000001</v>
      </c>
      <c r="C49" s="78">
        <f t="shared" si="0"/>
        <v>8.0734067210355392E-2</v>
      </c>
      <c r="D49">
        <v>226</v>
      </c>
      <c r="F49" s="71"/>
      <c r="H49" s="127"/>
      <c r="I49" s="72">
        <v>43971</v>
      </c>
      <c r="J49" s="73">
        <v>1103422.52</v>
      </c>
      <c r="K49" s="78">
        <f t="shared" si="1"/>
        <v>4.3778718168461406E-2</v>
      </c>
      <c r="L49">
        <v>226</v>
      </c>
      <c r="M49" s="74"/>
      <c r="N49" s="71"/>
      <c r="P49" s="127"/>
    </row>
    <row r="50" spans="1:16" ht="12.75">
      <c r="A50" s="72">
        <v>43972</v>
      </c>
      <c r="B50" s="73">
        <v>70836698.799999997</v>
      </c>
      <c r="C50" s="78">
        <f t="shared" si="0"/>
        <v>8.8266114351467126E-2</v>
      </c>
      <c r="D50">
        <v>225</v>
      </c>
      <c r="F50" s="71"/>
      <c r="H50" s="127"/>
      <c r="I50" s="72">
        <v>43972</v>
      </c>
      <c r="J50" s="73">
        <v>1124273.02</v>
      </c>
      <c r="K50" s="78">
        <f t="shared" si="1"/>
        <v>6.6053877530028018E-2</v>
      </c>
      <c r="L50">
        <v>225</v>
      </c>
      <c r="M50" s="74"/>
      <c r="N50" s="71"/>
      <c r="P50" s="127"/>
    </row>
    <row r="51" spans="1:16" ht="12.75">
      <c r="A51" s="72">
        <v>43973</v>
      </c>
      <c r="B51" s="73">
        <v>70803661.140000001</v>
      </c>
      <c r="C51" s="78">
        <f t="shared" si="0"/>
        <v>8.9129680203040892E-2</v>
      </c>
      <c r="D51">
        <v>224</v>
      </c>
      <c r="F51" s="71"/>
      <c r="H51" s="127"/>
      <c r="I51" s="72">
        <v>43973</v>
      </c>
      <c r="J51" s="73">
        <v>1121496.27</v>
      </c>
      <c r="K51" s="78">
        <f t="shared" si="1"/>
        <v>6.5208986719881873E-2</v>
      </c>
      <c r="L51">
        <v>224</v>
      </c>
      <c r="M51" s="74"/>
      <c r="N51" s="71"/>
      <c r="P51" s="127"/>
    </row>
    <row r="52" spans="1:16" ht="12.75">
      <c r="A52" s="72">
        <v>43976</v>
      </c>
      <c r="B52" s="73">
        <v>70820869.920000002</v>
      </c>
      <c r="C52" s="78">
        <f t="shared" si="0"/>
        <v>9.3628414324940151E-2</v>
      </c>
      <c r="D52">
        <v>223</v>
      </c>
      <c r="F52" s="71"/>
      <c r="H52" s="127"/>
      <c r="I52" s="72">
        <v>43976</v>
      </c>
      <c r="J52" s="73">
        <v>1120977.8</v>
      </c>
      <c r="K52" s="78">
        <f t="shared" si="1"/>
        <v>6.6482222159895993E-2</v>
      </c>
      <c r="L52">
        <v>223</v>
      </c>
      <c r="M52" s="74"/>
      <c r="N52" s="71"/>
      <c r="P52" s="127"/>
    </row>
    <row r="53" spans="1:16" ht="12.75">
      <c r="A53" s="72">
        <v>43977</v>
      </c>
      <c r="B53" s="73">
        <v>70784079.290000007</v>
      </c>
      <c r="C53" s="78">
        <f t="shared" si="0"/>
        <v>9.4249077843005361E-2</v>
      </c>
      <c r="D53">
        <v>222</v>
      </c>
      <c r="F53" s="71"/>
      <c r="H53" s="127"/>
      <c r="I53" s="72">
        <v>43977</v>
      </c>
      <c r="J53" s="73">
        <v>1116916.83</v>
      </c>
      <c r="K53" s="78">
        <f t="shared" si="1"/>
        <v>6.3428057648072037E-2</v>
      </c>
      <c r="L53">
        <v>222</v>
      </c>
      <c r="M53" s="74"/>
      <c r="N53" s="71"/>
      <c r="P53" s="127"/>
    </row>
    <row r="54" spans="1:16" ht="12.75">
      <c r="A54" s="72">
        <v>43978</v>
      </c>
      <c r="B54" s="73">
        <v>70791919.629999995</v>
      </c>
      <c r="C54" s="78">
        <f t="shared" si="0"/>
        <v>9.568669822708438E-2</v>
      </c>
      <c r="D54">
        <v>221</v>
      </c>
      <c r="F54" s="71"/>
      <c r="H54" s="127"/>
      <c r="I54" s="72">
        <v>43978</v>
      </c>
      <c r="J54" s="73">
        <v>1118462.4099999999</v>
      </c>
      <c r="K54" s="78">
        <f t="shared" si="1"/>
        <v>6.495031785050781E-2</v>
      </c>
      <c r="L54">
        <v>221</v>
      </c>
      <c r="M54" s="74"/>
      <c r="N54" s="71"/>
      <c r="P54" s="127"/>
    </row>
    <row r="55" spans="1:16" ht="12.75">
      <c r="A55" s="72">
        <v>43979</v>
      </c>
      <c r="B55" s="73">
        <v>70725070.260000005</v>
      </c>
      <c r="C55" s="78">
        <f t="shared" si="0"/>
        <v>9.5665881635894345E-2</v>
      </c>
      <c r="D55">
        <v>220</v>
      </c>
      <c r="F55" s="71"/>
      <c r="H55" s="127"/>
      <c r="I55" s="72">
        <v>43979</v>
      </c>
      <c r="J55" s="73">
        <v>1118025.81</v>
      </c>
      <c r="K55" s="78">
        <f t="shared" si="1"/>
        <v>6.4534606687918633E-2</v>
      </c>
      <c r="L55">
        <v>220</v>
      </c>
      <c r="M55" s="74"/>
      <c r="N55" s="71"/>
      <c r="P55" s="127"/>
    </row>
    <row r="56" spans="1:16" ht="12.75">
      <c r="A56" s="72">
        <v>43980</v>
      </c>
      <c r="B56" s="73">
        <v>70974992.260000005</v>
      </c>
      <c r="C56" s="78">
        <f t="shared" si="0"/>
        <v>9.463774567921153E-2</v>
      </c>
      <c r="D56">
        <v>219</v>
      </c>
      <c r="F56" s="71"/>
      <c r="H56" s="127"/>
      <c r="I56" s="72">
        <v>43980</v>
      </c>
      <c r="J56" s="73">
        <v>1118985.74</v>
      </c>
      <c r="K56" s="78">
        <f t="shared" si="1"/>
        <v>6.6751363419041268E-2</v>
      </c>
      <c r="L56">
        <v>219</v>
      </c>
      <c r="M56" s="74"/>
      <c r="N56" s="71"/>
      <c r="P56" s="127"/>
    </row>
    <row r="57" spans="1:16" ht="12.75">
      <c r="A57" s="72">
        <v>43983</v>
      </c>
      <c r="B57" s="73">
        <v>71130048.579999998</v>
      </c>
      <c r="C57" s="78">
        <f t="shared" si="0"/>
        <v>9.7038379531289035E-2</v>
      </c>
      <c r="D57">
        <v>218</v>
      </c>
      <c r="F57" s="71"/>
      <c r="H57" s="127"/>
      <c r="I57" s="72">
        <v>43983</v>
      </c>
      <c r="J57" s="73">
        <v>1115545.51</v>
      </c>
      <c r="K57" s="78">
        <f t="shared" si="1"/>
        <v>6.3471723731251262E-2</v>
      </c>
      <c r="L57">
        <v>218</v>
      </c>
      <c r="M57" s="74"/>
      <c r="N57" s="71"/>
      <c r="P57" s="127"/>
    </row>
    <row r="58" spans="1:16" ht="12.75">
      <c r="A58" s="72">
        <v>43984</v>
      </c>
      <c r="B58" s="73">
        <v>71126382.670000002</v>
      </c>
      <c r="C58" s="78">
        <f t="shared" si="0"/>
        <v>9.8586791939378096E-2</v>
      </c>
      <c r="D58">
        <v>217</v>
      </c>
      <c r="F58" s="71"/>
      <c r="H58" s="127"/>
      <c r="I58" s="72">
        <v>43984</v>
      </c>
      <c r="J58" s="73">
        <v>1113973.6200000001</v>
      </c>
      <c r="K58" s="78">
        <f t="shared" si="1"/>
        <v>6.4328221678869216E-2</v>
      </c>
      <c r="L58">
        <v>217</v>
      </c>
      <c r="M58" s="74"/>
      <c r="N58" s="71"/>
      <c r="P58" s="127"/>
    </row>
    <row r="59" spans="1:16" ht="12.75">
      <c r="A59" s="72">
        <v>43985</v>
      </c>
      <c r="B59" s="73">
        <v>70952919.120000005</v>
      </c>
      <c r="C59" s="78">
        <f t="shared" si="0"/>
        <v>9.743498440343093E-2</v>
      </c>
      <c r="D59">
        <v>216</v>
      </c>
      <c r="F59" s="71"/>
      <c r="H59" s="127"/>
      <c r="I59" s="72">
        <v>43985</v>
      </c>
      <c r="J59" s="73">
        <v>1115618.1299999999</v>
      </c>
      <c r="K59" s="78">
        <f t="shared" si="1"/>
        <v>6.6434368866082602E-2</v>
      </c>
      <c r="L59">
        <v>216</v>
      </c>
      <c r="M59" s="74"/>
      <c r="N59" s="71"/>
      <c r="P59" s="127"/>
    </row>
    <row r="60" spans="1:16" ht="12.75">
      <c r="A60" s="72">
        <v>43986</v>
      </c>
      <c r="B60" s="73">
        <v>70862053.510000005</v>
      </c>
      <c r="C60" s="78">
        <f t="shared" si="0"/>
        <v>8.1699814104786911E-2</v>
      </c>
      <c r="D60">
        <v>215</v>
      </c>
      <c r="F60" s="71"/>
      <c r="H60" s="127"/>
      <c r="I60" s="72">
        <v>43986</v>
      </c>
      <c r="J60" s="73">
        <v>1113267.03</v>
      </c>
      <c r="K60" s="78">
        <f t="shared" si="1"/>
        <v>6.0775276177777664E-2</v>
      </c>
      <c r="L60">
        <v>215</v>
      </c>
      <c r="M60" s="74"/>
      <c r="N60" s="71"/>
      <c r="P60" s="127"/>
    </row>
    <row r="61" spans="1:16" ht="12.75">
      <c r="A61" s="72">
        <v>43987</v>
      </c>
      <c r="B61" s="76">
        <v>70793214.659999996</v>
      </c>
      <c r="C61" s="78">
        <f t="shared" si="0"/>
        <v>8.2097876327856423E-2</v>
      </c>
      <c r="D61">
        <v>214</v>
      </c>
      <c r="F61" s="71"/>
      <c r="H61" s="127"/>
      <c r="I61" s="72">
        <v>43987</v>
      </c>
      <c r="J61" s="76">
        <v>1113261.03</v>
      </c>
      <c r="K61" s="78">
        <f t="shared" si="1"/>
        <v>6.2332146981149632E-2</v>
      </c>
      <c r="L61">
        <v>214</v>
      </c>
      <c r="M61" s="74"/>
      <c r="N61" s="71"/>
      <c r="P61" s="127"/>
    </row>
    <row r="62" spans="1:16" ht="12.75">
      <c r="A62" s="72">
        <v>43990</v>
      </c>
      <c r="B62" s="73">
        <v>70696004.849999994</v>
      </c>
      <c r="C62" s="78">
        <f t="shared" si="0"/>
        <v>8.2633376036486017E-2</v>
      </c>
      <c r="D62">
        <v>213</v>
      </c>
      <c r="F62" s="71"/>
      <c r="H62" s="127"/>
      <c r="I62" s="72">
        <v>43990</v>
      </c>
      <c r="J62" s="73">
        <v>1112708.98</v>
      </c>
      <c r="K62" s="78">
        <f t="shared" si="1"/>
        <v>6.1805351875655827E-2</v>
      </c>
      <c r="L62">
        <v>213</v>
      </c>
      <c r="M62" s="74"/>
      <c r="N62" s="71"/>
      <c r="P62" s="127"/>
    </row>
    <row r="63" spans="1:16" ht="12.75">
      <c r="A63" s="72">
        <v>43991</v>
      </c>
      <c r="B63" s="73">
        <v>70589156.019999996</v>
      </c>
      <c r="C63" s="78">
        <f t="shared" si="0"/>
        <v>8.2256996142468064E-2</v>
      </c>
      <c r="D63">
        <v>212</v>
      </c>
      <c r="F63" s="71"/>
      <c r="H63" s="127"/>
      <c r="I63" s="72">
        <v>43991</v>
      </c>
      <c r="J63" s="73">
        <v>1112328.98</v>
      </c>
      <c r="K63" s="78">
        <f t="shared" si="1"/>
        <v>6.1824629401548391E-2</v>
      </c>
      <c r="L63">
        <v>212</v>
      </c>
      <c r="M63" s="74"/>
      <c r="N63" s="71"/>
      <c r="P63" s="127"/>
    </row>
    <row r="64" spans="1:16" ht="12.75">
      <c r="A64" s="72">
        <v>43992</v>
      </c>
      <c r="B64" s="73">
        <v>70539316.120000005</v>
      </c>
      <c r="C64" s="78">
        <f t="shared" si="0"/>
        <v>8.1221411324955486E-2</v>
      </c>
      <c r="D64">
        <v>211</v>
      </c>
      <c r="F64" s="71"/>
      <c r="H64" s="127"/>
      <c r="I64" s="72">
        <v>43992</v>
      </c>
      <c r="J64" s="73">
        <v>1111444.6100000001</v>
      </c>
      <c r="K64" s="78">
        <f t="shared" si="1"/>
        <v>6.2514489610332291E-2</v>
      </c>
      <c r="L64">
        <v>211</v>
      </c>
      <c r="M64" s="74"/>
      <c r="N64" s="71"/>
      <c r="P64" s="127"/>
    </row>
    <row r="65" spans="1:16" ht="12.75">
      <c r="A65" s="72">
        <v>43993</v>
      </c>
      <c r="B65" s="73">
        <v>70438787.079999998</v>
      </c>
      <c r="C65" s="78">
        <f t="shared" si="0"/>
        <v>7.3677127594541786E-2</v>
      </c>
      <c r="D65">
        <v>210</v>
      </c>
      <c r="F65" s="71"/>
      <c r="H65" s="127"/>
      <c r="I65" s="72">
        <v>43993</v>
      </c>
      <c r="J65" s="73">
        <v>1110749.6100000001</v>
      </c>
      <c r="K65" s="78">
        <f t="shared" si="1"/>
        <v>5.0014761185012808E-2</v>
      </c>
      <c r="L65">
        <v>210</v>
      </c>
      <c r="M65" s="74"/>
      <c r="N65" s="71"/>
      <c r="P65" s="127"/>
    </row>
    <row r="66" spans="1:16" ht="12.75">
      <c r="A66" s="72">
        <v>43994</v>
      </c>
      <c r="B66" s="73">
        <v>70410905.5</v>
      </c>
      <c r="C66" s="78">
        <f t="shared" si="0"/>
        <v>6.2333428720726593E-2</v>
      </c>
      <c r="D66">
        <v>209</v>
      </c>
      <c r="F66" s="71"/>
      <c r="H66" s="127"/>
      <c r="I66" s="72">
        <v>43994</v>
      </c>
      <c r="J66" s="73">
        <v>1110749.6100000001</v>
      </c>
      <c r="K66" s="78">
        <f t="shared" si="1"/>
        <v>4.0151997560757442E-2</v>
      </c>
      <c r="L66">
        <v>209</v>
      </c>
      <c r="M66" s="74"/>
      <c r="N66" s="71"/>
      <c r="P66" s="127"/>
    </row>
    <row r="67" spans="1:16" ht="12.75">
      <c r="A67" s="72">
        <v>43997</v>
      </c>
      <c r="B67" s="73">
        <v>70346967.109999999</v>
      </c>
      <c r="C67" s="78">
        <f t="shared" si="0"/>
        <v>2.9482063766637586E-2</v>
      </c>
      <c r="D67">
        <v>208</v>
      </c>
      <c r="F67" s="71"/>
      <c r="H67" s="127"/>
      <c r="I67" s="72">
        <v>43997</v>
      </c>
      <c r="J67" s="73">
        <v>1108433.75</v>
      </c>
      <c r="K67" s="78">
        <f t="shared" si="1"/>
        <v>1.6791510625477915E-2</v>
      </c>
      <c r="L67">
        <v>208</v>
      </c>
      <c r="M67" s="74"/>
      <c r="N67" s="71"/>
      <c r="P67" s="127"/>
    </row>
    <row r="68" spans="1:16" ht="12.75">
      <c r="A68" s="72">
        <v>43998</v>
      </c>
      <c r="B68" s="73">
        <v>70256336.790000007</v>
      </c>
      <c r="C68" s="78">
        <f t="shared" si="0"/>
        <v>1.1652113326072595E-2</v>
      </c>
      <c r="D68">
        <v>207</v>
      </c>
      <c r="F68" s="71"/>
      <c r="H68" s="127"/>
      <c r="I68" s="72">
        <v>43998</v>
      </c>
      <c r="J68" s="73">
        <v>1108308.75</v>
      </c>
      <c r="K68" s="78">
        <f t="shared" si="1"/>
        <v>1.5156692773656387E-2</v>
      </c>
      <c r="L68">
        <v>207</v>
      </c>
      <c r="M68" s="74"/>
      <c r="N68" s="71"/>
      <c r="P68" s="127"/>
    </row>
    <row r="69" spans="1:16" ht="12.75">
      <c r="A69" s="72">
        <v>43999</v>
      </c>
      <c r="B69" s="73">
        <v>70141956.299999997</v>
      </c>
      <c r="C69" s="78">
        <f t="shared" si="0"/>
        <v>2.6086519151645423E-3</v>
      </c>
      <c r="D69">
        <v>206</v>
      </c>
      <c r="F69" s="71"/>
      <c r="H69" s="127"/>
      <c r="I69" s="72">
        <v>43999</v>
      </c>
      <c r="J69" s="73">
        <v>1105282.75</v>
      </c>
      <c r="K69" s="78">
        <f t="shared" si="1"/>
        <v>9.3698803564331995E-3</v>
      </c>
      <c r="L69">
        <v>206</v>
      </c>
      <c r="M69" s="74"/>
      <c r="N69" s="71"/>
      <c r="P69" s="127"/>
    </row>
    <row r="70" spans="1:16" ht="12.75">
      <c r="A70" s="72">
        <v>44000</v>
      </c>
      <c r="B70" s="73">
        <v>70073234.260000005</v>
      </c>
      <c r="C70" s="78">
        <f t="shared" si="0"/>
        <v>-5.2751150525059453E-3</v>
      </c>
      <c r="D70">
        <v>205</v>
      </c>
      <c r="F70" s="71"/>
      <c r="H70" s="127"/>
      <c r="I70" s="72">
        <v>44000</v>
      </c>
      <c r="J70" s="73">
        <v>1105282.75</v>
      </c>
      <c r="K70" s="78">
        <f t="shared" si="1"/>
        <v>1.6858727878781932E-3</v>
      </c>
      <c r="L70">
        <v>205</v>
      </c>
      <c r="M70" s="74"/>
      <c r="N70" s="71"/>
      <c r="P70" s="127"/>
    </row>
    <row r="71" spans="1:16" ht="12.75">
      <c r="A71" s="72">
        <v>44001</v>
      </c>
      <c r="B71" s="73">
        <v>69840359.640000001</v>
      </c>
      <c r="C71" s="78">
        <f t="shared" si="0"/>
        <v>-1.4065296334786235E-2</v>
      </c>
      <c r="D71">
        <v>204</v>
      </c>
      <c r="F71" s="71"/>
      <c r="H71" s="127"/>
      <c r="I71" s="72">
        <v>44001</v>
      </c>
      <c r="J71" s="73">
        <v>1105282.75</v>
      </c>
      <c r="K71" s="78">
        <f t="shared" si="1"/>
        <v>-1.6891155139522978E-2</v>
      </c>
      <c r="L71">
        <v>204</v>
      </c>
      <c r="M71" s="74"/>
      <c r="N71" s="71"/>
      <c r="P71" s="127"/>
    </row>
    <row r="72" spans="1:16" ht="12.75">
      <c r="A72" s="72">
        <v>44004</v>
      </c>
      <c r="B72" s="73">
        <v>69392008.299999997</v>
      </c>
      <c r="C72" s="78">
        <f t="shared" si="0"/>
        <v>-1.9937568443088614E-2</v>
      </c>
      <c r="D72">
        <v>203</v>
      </c>
      <c r="F72" s="71"/>
      <c r="H72" s="127"/>
      <c r="I72" s="72">
        <v>44004</v>
      </c>
      <c r="J72" s="73">
        <v>1104542.75</v>
      </c>
      <c r="K72" s="78">
        <f t="shared" si="1"/>
        <v>-1.5116875957153221E-2</v>
      </c>
      <c r="L72">
        <v>203</v>
      </c>
      <c r="M72" s="74"/>
      <c r="N72" s="71"/>
      <c r="P72" s="127"/>
    </row>
    <row r="73" spans="1:16" ht="12.75">
      <c r="A73" s="72">
        <v>44005</v>
      </c>
      <c r="B73" s="73">
        <v>69367297.209999993</v>
      </c>
      <c r="C73" s="78">
        <f t="shared" si="0"/>
        <v>-2.0524637887701456E-2</v>
      </c>
      <c r="D73">
        <v>202</v>
      </c>
      <c r="F73" s="71"/>
      <c r="H73" s="127"/>
      <c r="I73" s="72">
        <v>44005</v>
      </c>
      <c r="J73" s="73">
        <v>1103844.76</v>
      </c>
      <c r="K73" s="78">
        <f t="shared" si="1"/>
        <v>-1.5284013653080407E-2</v>
      </c>
      <c r="L73">
        <v>202</v>
      </c>
      <c r="M73" s="74"/>
      <c r="N73" s="71"/>
      <c r="P73" s="127"/>
    </row>
    <row r="74" spans="1:16" ht="12.75">
      <c r="A74" s="72">
        <v>44006</v>
      </c>
      <c r="B74" s="73">
        <v>69358974.349999994</v>
      </c>
      <c r="C74" s="78">
        <f t="shared" si="0"/>
        <v>-2.0133128159531541E-2</v>
      </c>
      <c r="D74">
        <v>201</v>
      </c>
      <c r="F74" s="71"/>
      <c r="H74" s="127"/>
      <c r="I74" s="72">
        <v>44006</v>
      </c>
      <c r="J74" s="73">
        <v>1103844.76</v>
      </c>
      <c r="K74" s="78">
        <f t="shared" si="1"/>
        <v>-1.1703709397950485E-2</v>
      </c>
      <c r="L74">
        <v>201</v>
      </c>
      <c r="M74" s="74"/>
      <c r="N74" s="71"/>
      <c r="P74" s="127"/>
    </row>
    <row r="75" spans="1:16" ht="12.75">
      <c r="A75" s="72">
        <v>44007</v>
      </c>
      <c r="B75" s="73">
        <v>69324069.450000003</v>
      </c>
      <c r="C75" s="78">
        <f t="shared" si="0"/>
        <v>-2.0734713618049013E-2</v>
      </c>
      <c r="D75">
        <v>200</v>
      </c>
      <c r="F75" s="71"/>
      <c r="H75" s="127"/>
      <c r="I75" s="72">
        <v>44007</v>
      </c>
      <c r="J75" s="73">
        <v>1102322.8700000001</v>
      </c>
      <c r="K75" s="78">
        <f t="shared" si="1"/>
        <v>-1.4430113927565796E-2</v>
      </c>
      <c r="L75">
        <v>200</v>
      </c>
      <c r="M75" s="74"/>
      <c r="N75" s="71"/>
      <c r="P75" s="127"/>
    </row>
    <row r="76" spans="1:16" ht="12.75">
      <c r="A76" s="72">
        <v>44008</v>
      </c>
      <c r="B76" s="73">
        <v>69287221.180000007</v>
      </c>
      <c r="C76" s="78">
        <f t="shared" si="0"/>
        <v>-2.0330118792588926E-2</v>
      </c>
      <c r="D76">
        <v>199</v>
      </c>
      <c r="F76" s="71"/>
      <c r="H76" s="127"/>
      <c r="I76" s="72">
        <v>44008</v>
      </c>
      <c r="J76" s="73">
        <v>1099728.02</v>
      </c>
      <c r="K76" s="78">
        <f t="shared" si="1"/>
        <v>-1.6366160634520625E-2</v>
      </c>
      <c r="L76">
        <v>199</v>
      </c>
      <c r="M76" s="74"/>
      <c r="N76" s="71"/>
      <c r="P76" s="127"/>
    </row>
    <row r="77" spans="1:16" ht="12.75">
      <c r="A77" s="72">
        <v>44011</v>
      </c>
      <c r="B77" s="73">
        <v>69259972.200000003</v>
      </c>
      <c r="C77" s="78">
        <f t="shared" si="0"/>
        <v>-2.4163723100066488E-2</v>
      </c>
      <c r="D77">
        <v>198</v>
      </c>
      <c r="F77" s="71"/>
      <c r="H77" s="127"/>
      <c r="I77" s="72">
        <v>44011</v>
      </c>
      <c r="J77" s="73">
        <v>1099728.02</v>
      </c>
      <c r="K77" s="78">
        <f t="shared" si="1"/>
        <v>-1.7209978028853139E-2</v>
      </c>
      <c r="L77">
        <v>198</v>
      </c>
      <c r="M77" s="74"/>
      <c r="N77" s="71"/>
      <c r="P77" s="127"/>
    </row>
    <row r="78" spans="1:16" ht="12.75">
      <c r="A78" s="72">
        <v>44012</v>
      </c>
      <c r="B78" s="73">
        <v>69543051.069999993</v>
      </c>
      <c r="C78" s="78">
        <f t="shared" si="0"/>
        <v>-2.2311210826956043E-2</v>
      </c>
      <c r="D78">
        <v>197</v>
      </c>
      <c r="F78" s="71"/>
      <c r="H78" s="127"/>
      <c r="I78" s="72">
        <v>44012</v>
      </c>
      <c r="J78" s="73">
        <v>1095009.6599999999</v>
      </c>
      <c r="K78" s="78">
        <f t="shared" si="1"/>
        <v>-1.8408796248931245E-2</v>
      </c>
      <c r="L78">
        <v>197</v>
      </c>
      <c r="M78" s="74"/>
      <c r="N78" s="71"/>
      <c r="P78" s="127"/>
    </row>
    <row r="79" spans="1:16" ht="12.75">
      <c r="A79" s="72">
        <v>44013</v>
      </c>
      <c r="B79" s="73">
        <v>69036900.480000004</v>
      </c>
      <c r="C79" s="78">
        <f t="shared" si="0"/>
        <v>-2.9377034393755393E-2</v>
      </c>
      <c r="D79">
        <v>196</v>
      </c>
      <c r="F79" s="71"/>
      <c r="H79" s="127"/>
      <c r="I79" s="72">
        <v>44013</v>
      </c>
      <c r="J79" s="73">
        <v>1092664.83</v>
      </c>
      <c r="K79" s="78">
        <f t="shared" si="1"/>
        <v>-1.9128630712098939E-2</v>
      </c>
      <c r="L79">
        <v>196</v>
      </c>
      <c r="M79" s="74"/>
      <c r="N79" s="71"/>
      <c r="P79" s="127"/>
    </row>
    <row r="80" spans="1:16" ht="12.75">
      <c r="A80" s="72">
        <v>44014</v>
      </c>
      <c r="B80" s="73">
        <v>68960126.560000002</v>
      </c>
      <c r="C80" s="78">
        <f t="shared" si="0"/>
        <v>-2.8086125063151626E-2</v>
      </c>
      <c r="D80">
        <v>195</v>
      </c>
      <c r="F80" s="71"/>
      <c r="H80" s="127"/>
      <c r="I80" s="72">
        <v>44014</v>
      </c>
      <c r="J80" s="73">
        <v>1090542.8700000001</v>
      </c>
      <c r="K80" s="78">
        <f t="shared" si="1"/>
        <v>-2.2476561939702235E-2</v>
      </c>
      <c r="L80">
        <v>195</v>
      </c>
      <c r="M80" s="74"/>
      <c r="N80" s="71"/>
      <c r="P80" s="127"/>
    </row>
    <row r="81" spans="1:16" ht="12.75">
      <c r="A81" s="72">
        <v>44015</v>
      </c>
      <c r="B81" s="76">
        <v>68865764.069999993</v>
      </c>
      <c r="C81" s="78">
        <f t="shared" si="0"/>
        <v>-2.817148729281882E-2</v>
      </c>
      <c r="D81">
        <v>194</v>
      </c>
      <c r="F81" s="71"/>
      <c r="H81" s="127"/>
      <c r="I81" s="72">
        <v>44015</v>
      </c>
      <c r="J81" s="76">
        <v>1087377.8</v>
      </c>
      <c r="K81" s="78">
        <f t="shared" si="1"/>
        <v>-2.3255184337939102E-2</v>
      </c>
      <c r="L81">
        <v>194</v>
      </c>
      <c r="M81" s="74"/>
      <c r="N81" s="71"/>
      <c r="P81" s="127"/>
    </row>
    <row r="82" spans="1:16" ht="12.75">
      <c r="A82" s="72">
        <v>44018</v>
      </c>
      <c r="B82" s="73">
        <v>68640791.930000007</v>
      </c>
      <c r="C82" s="78">
        <f t="shared" si="0"/>
        <v>-3.0404364886345018E-2</v>
      </c>
      <c r="D82">
        <v>193</v>
      </c>
      <c r="F82" s="71"/>
      <c r="H82" s="127"/>
      <c r="I82" s="72">
        <v>44018</v>
      </c>
      <c r="J82" s="73">
        <v>1085687.04</v>
      </c>
      <c r="K82" s="78">
        <f t="shared" si="1"/>
        <v>-2.476866544048523E-2</v>
      </c>
      <c r="L82">
        <v>193</v>
      </c>
      <c r="M82" s="74"/>
      <c r="N82" s="71"/>
      <c r="P82" s="127"/>
    </row>
    <row r="83" spans="1:16" ht="12.75">
      <c r="A83" s="72">
        <v>44019</v>
      </c>
      <c r="B83" s="73">
        <v>68564605.299999997</v>
      </c>
      <c r="C83" s="78">
        <f t="shared" si="0"/>
        <v>-3.0148797722336883E-2</v>
      </c>
      <c r="D83">
        <v>192</v>
      </c>
      <c r="F83" s="71"/>
      <c r="H83" s="127"/>
      <c r="I83" s="72">
        <v>44019</v>
      </c>
      <c r="J83" s="73">
        <v>1084618.8600000001</v>
      </c>
      <c r="K83" s="78">
        <f t="shared" si="1"/>
        <v>-2.5244803901915018E-2</v>
      </c>
      <c r="L83">
        <v>192</v>
      </c>
      <c r="M83" s="74"/>
      <c r="N83" s="71"/>
      <c r="P83" s="127"/>
    </row>
    <row r="84" spans="1:16" ht="12.75">
      <c r="A84" s="72">
        <v>44020</v>
      </c>
      <c r="B84" s="73">
        <v>68499479.640000001</v>
      </c>
      <c r="C84" s="78">
        <f t="shared" si="0"/>
        <v>-2.9603362581753039E-2</v>
      </c>
      <c r="D84">
        <v>191</v>
      </c>
      <c r="F84" s="71"/>
      <c r="H84" s="127"/>
      <c r="I84" s="72">
        <v>44020</v>
      </c>
      <c r="J84" s="73">
        <v>1083123.75</v>
      </c>
      <c r="K84" s="78">
        <f t="shared" si="1"/>
        <v>-2.6255928349542761E-2</v>
      </c>
      <c r="L84">
        <v>191</v>
      </c>
      <c r="M84" s="74"/>
      <c r="N84" s="71"/>
      <c r="P84" s="127"/>
    </row>
    <row r="85" spans="1:16" ht="12.75">
      <c r="A85" s="72">
        <v>44021</v>
      </c>
      <c r="B85" s="73">
        <v>68453775.359999999</v>
      </c>
      <c r="C85" s="78">
        <f t="shared" si="0"/>
        <v>-2.9565650401998895E-2</v>
      </c>
      <c r="D85">
        <v>190</v>
      </c>
      <c r="F85" s="71"/>
      <c r="H85" s="127"/>
      <c r="I85" s="72">
        <v>44021</v>
      </c>
      <c r="J85" s="73">
        <v>1083123.75</v>
      </c>
      <c r="K85" s="78">
        <f t="shared" si="1"/>
        <v>-2.5481125865552672E-2</v>
      </c>
      <c r="L85">
        <v>190</v>
      </c>
      <c r="M85" s="74"/>
      <c r="N85" s="71"/>
      <c r="P85" s="127"/>
    </row>
    <row r="86" spans="1:16" ht="12.75">
      <c r="A86" s="72">
        <v>44022</v>
      </c>
      <c r="B86" s="73">
        <v>68396262.609999999</v>
      </c>
      <c r="C86" s="78">
        <f t="shared" si="0"/>
        <v>-2.8997155610874254E-2</v>
      </c>
      <c r="D86">
        <v>189</v>
      </c>
      <c r="F86" s="71"/>
      <c r="H86" s="127"/>
      <c r="I86" s="72">
        <v>44022</v>
      </c>
      <c r="J86" s="73">
        <v>1083425.52</v>
      </c>
      <c r="K86" s="78">
        <f t="shared" si="1"/>
        <v>-2.4599684531962231E-2</v>
      </c>
      <c r="L86">
        <v>189</v>
      </c>
      <c r="M86" s="74"/>
      <c r="N86" s="71"/>
      <c r="P86" s="127"/>
    </row>
    <row r="87" spans="1:16" ht="12.75">
      <c r="A87" s="72">
        <v>44025</v>
      </c>
      <c r="B87" s="73">
        <v>68347074.409999996</v>
      </c>
      <c r="C87" s="78">
        <f t="shared" ref="C87:C150" si="2">(B87-B66)/B66</f>
        <v>-2.9311241992194002E-2</v>
      </c>
      <c r="D87">
        <v>188</v>
      </c>
      <c r="F87" s="71"/>
      <c r="H87" s="127"/>
      <c r="I87" s="72">
        <v>44025</v>
      </c>
      <c r="J87" s="73">
        <v>1083411.52</v>
      </c>
      <c r="K87" s="78">
        <f t="shared" ref="K87:K150" si="3">(J87-J66)/J66</f>
        <v>-2.4612288632719016E-2</v>
      </c>
      <c r="L87">
        <v>188</v>
      </c>
      <c r="M87" s="74"/>
      <c r="N87" s="71"/>
      <c r="P87" s="127"/>
    </row>
    <row r="88" spans="1:16" ht="12.75">
      <c r="A88" s="72">
        <v>44026</v>
      </c>
      <c r="B88" s="73">
        <v>68203761.120000005</v>
      </c>
      <c r="C88" s="78">
        <f t="shared" si="2"/>
        <v>-3.0466217351612482E-2</v>
      </c>
      <c r="D88">
        <v>187</v>
      </c>
      <c r="F88" s="71"/>
      <c r="H88" s="127"/>
      <c r="I88" s="72">
        <v>44026</v>
      </c>
      <c r="J88" s="73">
        <v>1083382.74</v>
      </c>
      <c r="K88" s="78">
        <f t="shared" si="3"/>
        <v>-2.2600367410321103E-2</v>
      </c>
      <c r="L88">
        <v>187</v>
      </c>
      <c r="M88" s="74"/>
      <c r="N88" s="71"/>
      <c r="P88" s="127"/>
    </row>
    <row r="89" spans="1:16" ht="12.75">
      <c r="A89" s="72">
        <v>44027</v>
      </c>
      <c r="B89" s="73">
        <v>67999145.640000001</v>
      </c>
      <c r="C89" s="78">
        <f t="shared" si="2"/>
        <v>-3.2127936825782313E-2</v>
      </c>
      <c r="D89">
        <v>186</v>
      </c>
      <c r="F89" s="71"/>
      <c r="H89" s="127"/>
      <c r="I89" s="72">
        <v>44027</v>
      </c>
      <c r="J89" s="73">
        <v>1083382.74</v>
      </c>
      <c r="K89" s="78">
        <f t="shared" si="3"/>
        <v>-2.2490131923978772E-2</v>
      </c>
      <c r="L89">
        <v>186</v>
      </c>
      <c r="M89" s="74"/>
      <c r="N89" s="71"/>
      <c r="P89" s="127"/>
    </row>
    <row r="90" spans="1:16" ht="12.75">
      <c r="A90" s="72">
        <v>44028</v>
      </c>
      <c r="B90" s="73">
        <v>67911860.140000001</v>
      </c>
      <c r="C90" s="78">
        <f t="shared" si="2"/>
        <v>-3.1794039938974394E-2</v>
      </c>
      <c r="D90">
        <v>185</v>
      </c>
      <c r="F90" s="71"/>
      <c r="H90" s="127"/>
      <c r="I90" s="72">
        <v>44028</v>
      </c>
      <c r="J90" s="73">
        <v>1082888.77</v>
      </c>
      <c r="K90" s="78">
        <f t="shared" si="3"/>
        <v>-2.0260860852121306E-2</v>
      </c>
      <c r="L90">
        <v>185</v>
      </c>
      <c r="M90" s="74"/>
      <c r="N90" s="71"/>
      <c r="P90" s="127"/>
    </row>
    <row r="91" spans="1:16" ht="12.75">
      <c r="A91" s="72">
        <v>44029</v>
      </c>
      <c r="B91" s="73">
        <v>67867669.25</v>
      </c>
      <c r="C91" s="78">
        <f t="shared" si="2"/>
        <v>-3.1475142160792356E-2</v>
      </c>
      <c r="D91">
        <v>184</v>
      </c>
      <c r="F91" s="71"/>
      <c r="H91" s="127"/>
      <c r="I91" s="72">
        <v>44029</v>
      </c>
      <c r="J91" s="73">
        <v>1082888.77</v>
      </c>
      <c r="K91" s="78">
        <f t="shared" si="3"/>
        <v>-2.0260860852121306E-2</v>
      </c>
      <c r="L91">
        <v>184</v>
      </c>
      <c r="M91" s="74"/>
      <c r="N91" s="71"/>
      <c r="P91" s="127"/>
    </row>
    <row r="92" spans="1:16" ht="12.75">
      <c r="A92" s="72">
        <v>44032</v>
      </c>
      <c r="B92" s="73">
        <v>67827351.930000007</v>
      </c>
      <c r="C92" s="78">
        <f t="shared" si="2"/>
        <v>-2.8822986026650899E-2</v>
      </c>
      <c r="D92">
        <v>183</v>
      </c>
      <c r="F92" s="71"/>
      <c r="H92" s="127"/>
      <c r="I92" s="72">
        <v>44032</v>
      </c>
      <c r="J92" s="73">
        <v>1082385.3999999999</v>
      </c>
      <c r="K92" s="78">
        <f t="shared" si="3"/>
        <v>-2.0716282779225582E-2</v>
      </c>
      <c r="L92">
        <v>183</v>
      </c>
      <c r="M92" s="74"/>
      <c r="N92" s="71"/>
      <c r="P92" s="127"/>
    </row>
    <row r="93" spans="1:16" ht="12.75">
      <c r="A93" s="72">
        <v>44033</v>
      </c>
      <c r="B93" s="73">
        <v>67773053.280000001</v>
      </c>
      <c r="C93" s="78">
        <f t="shared" si="2"/>
        <v>-2.3330568745046625E-2</v>
      </c>
      <c r="D93">
        <v>182</v>
      </c>
      <c r="F93" s="71"/>
      <c r="H93" s="127"/>
      <c r="I93" s="72">
        <v>44033</v>
      </c>
      <c r="J93" s="73">
        <v>1082621.82</v>
      </c>
      <c r="K93" s="78">
        <f t="shared" si="3"/>
        <v>-1.9846158059522761E-2</v>
      </c>
      <c r="L93">
        <v>182</v>
      </c>
      <c r="M93" s="74"/>
      <c r="N93" s="71"/>
      <c r="P93" s="127"/>
    </row>
    <row r="94" spans="1:16" ht="12.75">
      <c r="A94" s="72">
        <v>44034</v>
      </c>
      <c r="B94" s="73">
        <v>67731384.510000005</v>
      </c>
      <c r="C94" s="78">
        <f t="shared" si="2"/>
        <v>-2.3583342090545727E-2</v>
      </c>
      <c r="D94">
        <v>181</v>
      </c>
      <c r="F94" s="71"/>
      <c r="H94" s="127"/>
      <c r="I94" s="72">
        <v>44034</v>
      </c>
      <c r="J94" s="73">
        <v>1082621.82</v>
      </c>
      <c r="K94" s="78">
        <f t="shared" si="3"/>
        <v>-1.9226381071918069E-2</v>
      </c>
      <c r="L94">
        <v>181</v>
      </c>
      <c r="M94" s="74"/>
      <c r="N94" s="71"/>
      <c r="P94" s="127"/>
    </row>
    <row r="95" spans="1:16" ht="12.75">
      <c r="A95" s="72">
        <v>44035</v>
      </c>
      <c r="B95" s="73">
        <v>67709208.409999996</v>
      </c>
      <c r="C95" s="78">
        <f t="shared" si="2"/>
        <v>-2.3785904498456554E-2</v>
      </c>
      <c r="D95">
        <v>180</v>
      </c>
      <c r="F95" s="71"/>
      <c r="H95" s="127"/>
      <c r="I95" s="72">
        <v>44035</v>
      </c>
      <c r="J95" s="73">
        <v>1082571.82</v>
      </c>
      <c r="K95" s="78">
        <f t="shared" si="3"/>
        <v>-1.9271677296361804E-2</v>
      </c>
      <c r="L95">
        <v>180</v>
      </c>
      <c r="M95" s="74"/>
      <c r="N95" s="71"/>
      <c r="P95" s="127"/>
    </row>
    <row r="96" spans="1:16" ht="12.75">
      <c r="A96" s="72">
        <v>44036</v>
      </c>
      <c r="B96" s="73">
        <v>67707079.560000002</v>
      </c>
      <c r="C96" s="78">
        <f t="shared" si="2"/>
        <v>-2.3325086118411654E-2</v>
      </c>
      <c r="D96">
        <v>179</v>
      </c>
      <c r="F96" s="71"/>
      <c r="H96" s="127"/>
      <c r="I96" s="72">
        <v>44036</v>
      </c>
      <c r="J96" s="73">
        <v>1082571.82</v>
      </c>
      <c r="K96" s="78">
        <f t="shared" si="3"/>
        <v>-1.7917663270471784E-2</v>
      </c>
      <c r="L96">
        <v>179</v>
      </c>
      <c r="M96" s="74"/>
      <c r="N96" s="71"/>
      <c r="P96" s="127"/>
    </row>
    <row r="97" spans="1:16" ht="12.75">
      <c r="A97" s="72">
        <v>44039</v>
      </c>
      <c r="B97" s="73">
        <v>67640929.120000005</v>
      </c>
      <c r="C97" s="78">
        <f t="shared" si="2"/>
        <v>-2.3760399565211747E-2</v>
      </c>
      <c r="D97">
        <v>178</v>
      </c>
      <c r="F97" s="71"/>
      <c r="H97" s="127"/>
      <c r="I97" s="72">
        <v>44039</v>
      </c>
      <c r="J97" s="73">
        <v>1082571.82</v>
      </c>
      <c r="K97" s="78">
        <f t="shared" si="3"/>
        <v>-1.5600402725030098E-2</v>
      </c>
      <c r="L97">
        <v>178</v>
      </c>
      <c r="M97" s="74"/>
      <c r="N97" s="71"/>
      <c r="P97" s="127"/>
    </row>
    <row r="98" spans="1:16" ht="12.75">
      <c r="A98" s="72">
        <v>44040</v>
      </c>
      <c r="B98" s="73">
        <v>67640929.120000005</v>
      </c>
      <c r="C98" s="78">
        <f t="shared" si="2"/>
        <v>-2.3376317208513089E-2</v>
      </c>
      <c r="D98">
        <v>177</v>
      </c>
      <c r="F98" s="71"/>
      <c r="H98" s="127"/>
      <c r="I98" s="72">
        <v>44040</v>
      </c>
      <c r="J98" s="73">
        <v>1082571.82</v>
      </c>
      <c r="K98" s="78">
        <f t="shared" si="3"/>
        <v>-1.5600402725030098E-2</v>
      </c>
      <c r="L98">
        <v>177</v>
      </c>
      <c r="M98" s="74"/>
      <c r="N98" s="71"/>
      <c r="P98" s="127"/>
    </row>
    <row r="99" spans="1:16" ht="12.75">
      <c r="A99" s="72">
        <v>44041</v>
      </c>
      <c r="B99" s="73">
        <v>67601315.25</v>
      </c>
      <c r="C99" s="78">
        <f t="shared" si="2"/>
        <v>-2.7921349295496087E-2</v>
      </c>
      <c r="D99">
        <v>176</v>
      </c>
      <c r="F99" s="71"/>
      <c r="H99" s="127"/>
      <c r="I99" s="72">
        <v>44041</v>
      </c>
      <c r="J99" s="73">
        <v>1081356.82</v>
      </c>
      <c r="K99" s="78">
        <f t="shared" si="3"/>
        <v>-1.246823703820097E-2</v>
      </c>
      <c r="L99">
        <v>176</v>
      </c>
      <c r="M99" s="74"/>
      <c r="N99" s="71"/>
      <c r="P99" s="127"/>
    </row>
    <row r="100" spans="1:16" ht="12.75">
      <c r="A100" s="72">
        <v>44042</v>
      </c>
      <c r="B100" s="73">
        <v>67549708.25</v>
      </c>
      <c r="C100" s="78">
        <f t="shared" si="2"/>
        <v>-2.154199014816495E-2</v>
      </c>
      <c r="D100">
        <v>175</v>
      </c>
      <c r="F100" s="71"/>
      <c r="H100" s="127"/>
      <c r="I100" s="72">
        <v>44042</v>
      </c>
      <c r="J100" s="73">
        <v>1081356.82</v>
      </c>
      <c r="K100" s="78">
        <f t="shared" si="3"/>
        <v>-1.0349019836210898E-2</v>
      </c>
      <c r="L100">
        <v>175</v>
      </c>
      <c r="M100" s="74"/>
      <c r="N100" s="71"/>
      <c r="P100" s="127"/>
    </row>
    <row r="101" spans="1:16" ht="12.75">
      <c r="A101" s="72">
        <v>44043</v>
      </c>
      <c r="B101" s="73">
        <v>67839996.519999996</v>
      </c>
      <c r="C101" s="78">
        <f t="shared" si="2"/>
        <v>-1.6243155224279021E-2</v>
      </c>
      <c r="D101">
        <v>174</v>
      </c>
      <c r="F101" s="71"/>
      <c r="H101" s="127"/>
      <c r="I101" s="72">
        <v>44043</v>
      </c>
      <c r="J101" s="73">
        <v>1081623.96</v>
      </c>
      <c r="K101" s="78">
        <f t="shared" si="3"/>
        <v>-8.1784130136948654E-3</v>
      </c>
      <c r="L101">
        <v>174</v>
      </c>
      <c r="M101" s="74"/>
      <c r="N101" s="71"/>
      <c r="P101" s="127"/>
    </row>
    <row r="102" spans="1:16" ht="12.75">
      <c r="A102" s="72">
        <v>44046</v>
      </c>
      <c r="B102" s="76">
        <v>67809828.310000002</v>
      </c>
      <c r="C102" s="78">
        <f t="shared" si="2"/>
        <v>-1.5333246850011906E-2</v>
      </c>
      <c r="D102">
        <v>173</v>
      </c>
      <c r="F102" s="71"/>
      <c r="H102" s="127"/>
      <c r="I102" s="72">
        <v>44046</v>
      </c>
      <c r="J102" s="76">
        <v>1081623.96</v>
      </c>
      <c r="K102" s="78">
        <f t="shared" si="3"/>
        <v>-5.2914819485923694E-3</v>
      </c>
      <c r="L102">
        <v>173</v>
      </c>
      <c r="M102" s="74"/>
      <c r="N102" s="71"/>
      <c r="P102" s="127"/>
    </row>
    <row r="103" spans="1:16" ht="12.75">
      <c r="A103" s="72">
        <v>44047</v>
      </c>
      <c r="B103" s="76">
        <v>67772884.189999998</v>
      </c>
      <c r="C103" s="78">
        <f t="shared" si="2"/>
        <v>-1.2644197649775125E-2</v>
      </c>
      <c r="D103">
        <v>172</v>
      </c>
      <c r="F103" s="71"/>
      <c r="H103" s="127"/>
      <c r="I103" s="72">
        <v>44047</v>
      </c>
      <c r="J103" s="76">
        <v>1081563.96</v>
      </c>
      <c r="K103" s="78">
        <f t="shared" si="3"/>
        <v>-3.7976689857144048E-3</v>
      </c>
      <c r="L103">
        <v>172</v>
      </c>
      <c r="M103" s="74"/>
      <c r="N103" s="71"/>
      <c r="P103" s="127"/>
    </row>
    <row r="104" spans="1:16" ht="12.75">
      <c r="A104" s="72">
        <v>44048</v>
      </c>
      <c r="B104" s="76">
        <v>67737256.180000007</v>
      </c>
      <c r="C104" s="78">
        <f t="shared" si="2"/>
        <v>-1.2066708710419571E-2</v>
      </c>
      <c r="D104">
        <v>171</v>
      </c>
      <c r="F104" s="71"/>
      <c r="H104" s="127"/>
      <c r="I104" s="72">
        <v>44048</v>
      </c>
      <c r="J104" s="76">
        <v>1081563.96</v>
      </c>
      <c r="K104" s="78">
        <f t="shared" si="3"/>
        <v>-2.816565443090432E-3</v>
      </c>
      <c r="L104">
        <v>171</v>
      </c>
      <c r="M104" s="74"/>
      <c r="N104" s="71"/>
      <c r="P104" s="127"/>
    </row>
    <row r="105" spans="1:16" ht="12.75">
      <c r="A105" s="72">
        <v>44049</v>
      </c>
      <c r="B105" s="73">
        <v>67790249.760000005</v>
      </c>
      <c r="C105" s="78">
        <f t="shared" si="2"/>
        <v>-1.035379952851267E-2</v>
      </c>
      <c r="D105">
        <v>170</v>
      </c>
      <c r="F105" s="71"/>
      <c r="H105" s="127"/>
      <c r="I105" s="72">
        <v>44049</v>
      </c>
      <c r="J105" s="73">
        <v>1081563.96</v>
      </c>
      <c r="K105" s="78">
        <f t="shared" si="3"/>
        <v>-1.4400847548583782E-3</v>
      </c>
      <c r="L105">
        <v>170</v>
      </c>
      <c r="M105" s="74"/>
      <c r="N105" s="71"/>
      <c r="P105" s="127"/>
    </row>
    <row r="106" spans="1:16" ht="12.75">
      <c r="A106" s="72">
        <v>44050</v>
      </c>
      <c r="B106" s="73">
        <v>67781755.650000006</v>
      </c>
      <c r="C106" s="78">
        <f t="shared" si="2"/>
        <v>-9.8171314360066507E-3</v>
      </c>
      <c r="D106">
        <v>169</v>
      </c>
      <c r="F106" s="71"/>
      <c r="H106" s="127"/>
      <c r="I106" s="72">
        <v>44050</v>
      </c>
      <c r="J106" s="73">
        <v>1084899.8899999999</v>
      </c>
      <c r="K106" s="78">
        <f t="shared" si="3"/>
        <v>1.6398310903993174E-3</v>
      </c>
      <c r="L106">
        <v>169</v>
      </c>
      <c r="M106" s="74"/>
      <c r="N106" s="71"/>
      <c r="P106" s="127"/>
    </row>
    <row r="107" spans="1:16" ht="12.75">
      <c r="A107" s="72">
        <v>44053</v>
      </c>
      <c r="B107" s="73">
        <v>67712366.909999996</v>
      </c>
      <c r="C107" s="78">
        <f t="shared" si="2"/>
        <v>-9.9990214947799326E-3</v>
      </c>
      <c r="D107">
        <v>168</v>
      </c>
      <c r="F107" s="71"/>
      <c r="H107" s="127"/>
      <c r="I107" s="72">
        <v>44053</v>
      </c>
      <c r="J107" s="73">
        <v>1082830.52</v>
      </c>
      <c r="K107" s="78">
        <f t="shared" si="3"/>
        <v>-5.491840362039838E-4</v>
      </c>
      <c r="L107">
        <v>168</v>
      </c>
      <c r="M107" s="74"/>
      <c r="N107" s="71"/>
      <c r="P107" s="127"/>
    </row>
    <row r="108" spans="1:16" ht="12.75">
      <c r="A108" s="72">
        <v>44054</v>
      </c>
      <c r="B108" s="73">
        <v>67530922.819999993</v>
      </c>
      <c r="C108" s="78">
        <f t="shared" si="2"/>
        <v>-1.1941280545588222E-2</v>
      </c>
      <c r="D108">
        <v>167</v>
      </c>
      <c r="F108" s="71"/>
      <c r="H108" s="127"/>
      <c r="I108" s="72">
        <v>44054</v>
      </c>
      <c r="J108" s="73">
        <v>1082801.74</v>
      </c>
      <c r="K108" s="78">
        <f t="shared" si="3"/>
        <v>-5.6283322518116473E-4</v>
      </c>
      <c r="L108">
        <v>167</v>
      </c>
      <c r="M108" s="74"/>
      <c r="N108" s="71"/>
      <c r="P108" s="127"/>
    </row>
    <row r="109" spans="1:16" ht="12.75">
      <c r="A109" s="72">
        <v>44055</v>
      </c>
      <c r="B109" s="73">
        <v>67507449.069999993</v>
      </c>
      <c r="C109" s="78">
        <f t="shared" si="2"/>
        <v>-1.0209291079635578E-2</v>
      </c>
      <c r="D109">
        <v>166</v>
      </c>
      <c r="F109" s="71"/>
      <c r="H109" s="127"/>
      <c r="I109" s="72">
        <v>44055</v>
      </c>
      <c r="J109" s="73">
        <v>1082701.74</v>
      </c>
      <c r="K109" s="78">
        <f t="shared" si="3"/>
        <v>-6.2858671719285468E-4</v>
      </c>
      <c r="L109">
        <v>166</v>
      </c>
      <c r="M109" s="74"/>
      <c r="N109" s="71"/>
      <c r="P109" s="127"/>
    </row>
    <row r="110" spans="1:16" ht="12.75">
      <c r="A110" s="72">
        <v>44056</v>
      </c>
      <c r="B110" s="73">
        <v>67439007.739999995</v>
      </c>
      <c r="C110" s="78">
        <f t="shared" si="2"/>
        <v>-8.2374255548073958E-3</v>
      </c>
      <c r="D110">
        <v>165</v>
      </c>
      <c r="F110" s="71"/>
      <c r="H110" s="127"/>
      <c r="I110" s="72">
        <v>44056</v>
      </c>
      <c r="J110" s="73">
        <v>1082601.74</v>
      </c>
      <c r="K110" s="78">
        <f t="shared" si="3"/>
        <v>-7.2089019989371439E-4</v>
      </c>
      <c r="L110">
        <v>165</v>
      </c>
      <c r="M110" s="74"/>
      <c r="N110" s="71"/>
      <c r="P110" s="127"/>
    </row>
    <row r="111" spans="1:16" ht="12.75">
      <c r="A111" s="72">
        <v>44057</v>
      </c>
      <c r="B111" s="73">
        <v>67128141.459999993</v>
      </c>
      <c r="C111" s="78">
        <f t="shared" si="2"/>
        <v>-1.1540232860421943E-2</v>
      </c>
      <c r="D111">
        <v>164</v>
      </c>
      <c r="F111" s="71"/>
      <c r="H111" s="127"/>
      <c r="I111" s="72">
        <v>44057</v>
      </c>
      <c r="J111" s="73">
        <v>1079901.68</v>
      </c>
      <c r="K111" s="78">
        <f t="shared" si="3"/>
        <v>-2.7584458189552413E-3</v>
      </c>
      <c r="L111">
        <v>164</v>
      </c>
      <c r="M111" s="74"/>
      <c r="N111" s="71"/>
      <c r="P111" s="127"/>
    </row>
    <row r="112" spans="1:16" ht="12.75">
      <c r="A112" s="72">
        <v>44060</v>
      </c>
      <c r="B112" s="73">
        <v>67049629.609999999</v>
      </c>
      <c r="C112" s="78">
        <f t="shared" si="2"/>
        <v>-1.2053451209391585E-2</v>
      </c>
      <c r="D112">
        <v>163</v>
      </c>
      <c r="F112" s="71"/>
      <c r="H112" s="127"/>
      <c r="I112" s="72">
        <v>44060</v>
      </c>
      <c r="J112" s="73">
        <v>1079901.68</v>
      </c>
      <c r="K112" s="78">
        <f t="shared" si="3"/>
        <v>-2.7584458189552413E-3</v>
      </c>
      <c r="L112">
        <v>163</v>
      </c>
      <c r="M112" s="74"/>
      <c r="N112" s="71"/>
      <c r="P112" s="127"/>
    </row>
    <row r="113" spans="1:16" ht="12.75">
      <c r="A113" s="72">
        <v>44061</v>
      </c>
      <c r="B113" s="73">
        <v>67004570.329999998</v>
      </c>
      <c r="C113" s="78">
        <f t="shared" si="2"/>
        <v>-1.213052812159239E-2</v>
      </c>
      <c r="D113">
        <v>162</v>
      </c>
      <c r="F113" s="71"/>
      <c r="H113" s="127"/>
      <c r="I113" s="72">
        <v>44061</v>
      </c>
      <c r="J113" s="73">
        <v>1079738.6200000001</v>
      </c>
      <c r="K113" s="78">
        <f t="shared" si="3"/>
        <v>-2.445321232159816E-3</v>
      </c>
      <c r="L113">
        <v>162</v>
      </c>
      <c r="M113" s="74"/>
      <c r="N113" s="71"/>
      <c r="P113" s="127"/>
    </row>
    <row r="114" spans="1:16" ht="12.75">
      <c r="A114" s="72">
        <v>44062</v>
      </c>
      <c r="B114" s="73">
        <v>66996894.619999997</v>
      </c>
      <c r="C114" s="78">
        <f t="shared" si="2"/>
        <v>-1.1452319505118862E-2</v>
      </c>
      <c r="D114">
        <v>161</v>
      </c>
      <c r="F114" s="71"/>
      <c r="H114" s="127"/>
      <c r="I114" s="72">
        <v>44062</v>
      </c>
      <c r="J114" s="73">
        <v>1079681.6200000001</v>
      </c>
      <c r="K114" s="78">
        <f t="shared" si="3"/>
        <v>-2.7158144660339037E-3</v>
      </c>
      <c r="L114">
        <v>161</v>
      </c>
      <c r="M114" s="74"/>
      <c r="N114" s="71"/>
      <c r="P114" s="127"/>
    </row>
    <row r="115" spans="1:16" ht="12.75">
      <c r="A115" s="72">
        <v>44063</v>
      </c>
      <c r="B115" s="73">
        <v>66872922.579999998</v>
      </c>
      <c r="C115" s="78">
        <f t="shared" si="2"/>
        <v>-1.2674507338223125E-2</v>
      </c>
      <c r="D115">
        <v>160</v>
      </c>
      <c r="F115" s="71"/>
      <c r="H115" s="127"/>
      <c r="I115" s="72">
        <v>44063</v>
      </c>
      <c r="J115" s="73">
        <v>1079585.6200000001</v>
      </c>
      <c r="K115" s="78">
        <f t="shared" si="3"/>
        <v>-2.8044880898483583E-3</v>
      </c>
      <c r="L115">
        <v>160</v>
      </c>
      <c r="M115" s="74"/>
      <c r="N115" s="71"/>
      <c r="P115" s="127"/>
    </row>
    <row r="116" spans="1:16" ht="12.75">
      <c r="A116" s="72">
        <v>44064</v>
      </c>
      <c r="B116" s="73">
        <v>66865796.890000001</v>
      </c>
      <c r="C116" s="78">
        <f t="shared" si="2"/>
        <v>-1.2456378383467146E-2</v>
      </c>
      <c r="D116">
        <v>159</v>
      </c>
      <c r="F116" s="71"/>
      <c r="H116" s="127"/>
      <c r="I116" s="72">
        <v>44064</v>
      </c>
      <c r="J116" s="73">
        <v>1079579.8999999999</v>
      </c>
      <c r="K116" s="78">
        <f t="shared" si="3"/>
        <v>-2.7637150207735486E-3</v>
      </c>
      <c r="L116">
        <v>159</v>
      </c>
      <c r="M116" s="74"/>
      <c r="N116" s="71"/>
      <c r="P116" s="127"/>
    </row>
    <row r="117" spans="1:16" ht="12.75">
      <c r="A117" s="72">
        <v>44067</v>
      </c>
      <c r="B117" s="73">
        <v>66812202.390000001</v>
      </c>
      <c r="C117" s="78">
        <f t="shared" si="2"/>
        <v>-1.3216892174576637E-2</v>
      </c>
      <c r="D117">
        <v>158</v>
      </c>
      <c r="F117" s="71"/>
      <c r="H117" s="127"/>
      <c r="I117" s="72">
        <v>44067</v>
      </c>
      <c r="J117" s="73">
        <v>1079579.8999999999</v>
      </c>
      <c r="K117" s="78">
        <f t="shared" si="3"/>
        <v>-2.7637150207735486E-3</v>
      </c>
      <c r="L117">
        <v>158</v>
      </c>
      <c r="M117" s="74"/>
      <c r="N117" s="71"/>
      <c r="P117" s="127"/>
    </row>
    <row r="118" spans="1:16" ht="12.75">
      <c r="A118" s="72">
        <v>44068</v>
      </c>
      <c r="B118" s="73">
        <v>66635632.25</v>
      </c>
      <c r="C118" s="78">
        <f t="shared" si="2"/>
        <v>-1.486225696599368E-2</v>
      </c>
      <c r="D118">
        <v>157</v>
      </c>
      <c r="F118" s="71"/>
      <c r="H118" s="127"/>
      <c r="I118" s="72">
        <v>44068</v>
      </c>
      <c r="J118" s="73">
        <v>1078884.05</v>
      </c>
      <c r="K118" s="78">
        <f t="shared" si="3"/>
        <v>-3.4064899269223713E-3</v>
      </c>
      <c r="L118">
        <v>157</v>
      </c>
      <c r="M118" s="74"/>
      <c r="N118" s="71"/>
      <c r="P118" s="127"/>
    </row>
    <row r="119" spans="1:16" ht="12.75">
      <c r="A119" s="72">
        <v>44069</v>
      </c>
      <c r="B119" s="73">
        <v>66591535.049999997</v>
      </c>
      <c r="C119" s="78">
        <f t="shared" si="2"/>
        <v>-1.5514187691572142E-2</v>
      </c>
      <c r="D119">
        <v>156</v>
      </c>
      <c r="F119" s="71"/>
      <c r="H119" s="127"/>
      <c r="I119" s="72">
        <v>44069</v>
      </c>
      <c r="J119" s="73">
        <v>1078884.05</v>
      </c>
      <c r="K119" s="78">
        <f t="shared" si="3"/>
        <v>-3.4064899269223713E-3</v>
      </c>
      <c r="L119">
        <v>156</v>
      </c>
      <c r="M119" s="74"/>
      <c r="N119" s="71"/>
      <c r="P119" s="127"/>
    </row>
    <row r="120" spans="1:16" ht="12.75">
      <c r="A120" s="72">
        <v>44070</v>
      </c>
      <c r="B120" s="73">
        <v>66557595.780000001</v>
      </c>
      <c r="C120" s="78">
        <f t="shared" si="2"/>
        <v>-1.5439336736869166E-2</v>
      </c>
      <c r="D120">
        <v>155</v>
      </c>
      <c r="F120" s="71"/>
      <c r="H120" s="127"/>
      <c r="I120" s="72">
        <v>44070</v>
      </c>
      <c r="J120" s="73">
        <v>1078484.05</v>
      </c>
      <c r="K120" s="78">
        <f t="shared" si="3"/>
        <v>-2.6566346527504385E-3</v>
      </c>
      <c r="L120">
        <v>155</v>
      </c>
      <c r="M120" s="74"/>
      <c r="N120" s="71"/>
      <c r="P120" s="127"/>
    </row>
    <row r="121" spans="1:16" ht="12.75">
      <c r="A121" s="72">
        <v>44071</v>
      </c>
      <c r="B121" s="73">
        <v>66523405.909999996</v>
      </c>
      <c r="C121" s="78">
        <f t="shared" si="2"/>
        <v>-1.5193290490636628E-2</v>
      </c>
      <c r="D121">
        <v>154</v>
      </c>
      <c r="F121" s="71"/>
      <c r="H121" s="127"/>
      <c r="I121" s="72">
        <v>44071</v>
      </c>
      <c r="J121" s="73">
        <v>1073259.05</v>
      </c>
      <c r="K121" s="78">
        <f t="shared" si="3"/>
        <v>-7.4885272374756173E-3</v>
      </c>
      <c r="L121">
        <v>154</v>
      </c>
      <c r="M121" s="74"/>
      <c r="N121" s="71"/>
      <c r="P121" s="127"/>
    </row>
    <row r="122" spans="1:16" ht="12.75">
      <c r="A122" s="72">
        <v>44074</v>
      </c>
      <c r="B122" s="73">
        <v>66788538.619999997</v>
      </c>
      <c r="C122" s="78">
        <f t="shared" si="2"/>
        <v>-1.5499085405908252E-2</v>
      </c>
      <c r="D122">
        <v>153</v>
      </c>
      <c r="F122" s="71"/>
      <c r="H122" s="127"/>
      <c r="I122" s="72">
        <v>44074</v>
      </c>
      <c r="J122" s="73">
        <v>1068494.05</v>
      </c>
      <c r="K122" s="78">
        <f t="shared" si="3"/>
        <v>-1.2139070957710586E-2</v>
      </c>
      <c r="L122">
        <v>153</v>
      </c>
      <c r="M122" s="74"/>
      <c r="N122" s="71"/>
      <c r="P122" s="127"/>
    </row>
    <row r="123" spans="1:16" ht="12.75">
      <c r="A123" s="72">
        <v>44075</v>
      </c>
      <c r="B123" s="73">
        <v>66745807.219999999</v>
      </c>
      <c r="C123" s="78">
        <f t="shared" si="2"/>
        <v>-1.5691251792228637E-2</v>
      </c>
      <c r="D123">
        <v>152</v>
      </c>
      <c r="F123" s="71"/>
      <c r="H123" s="127"/>
      <c r="I123" s="72">
        <v>44075</v>
      </c>
      <c r="J123" s="73">
        <v>1068453.05</v>
      </c>
      <c r="K123" s="78">
        <f t="shared" si="3"/>
        <v>-1.2176976922737471E-2</v>
      </c>
      <c r="L123">
        <v>152</v>
      </c>
      <c r="M123" s="74"/>
      <c r="N123" s="71"/>
      <c r="P123" s="127"/>
    </row>
    <row r="124" spans="1:16" ht="12.75">
      <c r="A124" s="72">
        <v>44076</v>
      </c>
      <c r="B124" s="76">
        <v>66839309.899999999</v>
      </c>
      <c r="C124" s="78">
        <f t="shared" si="2"/>
        <v>-1.377504146618198E-2</v>
      </c>
      <c r="D124">
        <v>151</v>
      </c>
      <c r="F124" s="71"/>
      <c r="H124" s="127"/>
      <c r="I124" s="72">
        <v>44076</v>
      </c>
      <c r="J124" s="76">
        <v>1068453.05</v>
      </c>
      <c r="K124" s="78">
        <f t="shared" si="3"/>
        <v>-1.2122177221955433E-2</v>
      </c>
      <c r="L124">
        <v>151</v>
      </c>
      <c r="M124" s="74"/>
      <c r="N124" s="71"/>
      <c r="P124" s="127"/>
    </row>
    <row r="125" spans="1:16" ht="12.75">
      <c r="A125" s="72">
        <v>44077</v>
      </c>
      <c r="B125" s="76">
        <v>66751334.590000004</v>
      </c>
      <c r="C125" s="78">
        <f t="shared" si="2"/>
        <v>-1.4555086013228644E-2</v>
      </c>
      <c r="D125">
        <v>150</v>
      </c>
      <c r="F125" s="71"/>
      <c r="H125" s="127"/>
      <c r="I125" s="72">
        <v>44077</v>
      </c>
      <c r="J125" s="76">
        <v>1068453.05</v>
      </c>
      <c r="K125" s="78">
        <f t="shared" si="3"/>
        <v>-1.2122177221955433E-2</v>
      </c>
      <c r="L125">
        <v>150</v>
      </c>
      <c r="M125" s="74"/>
      <c r="N125" s="71"/>
      <c r="P125" s="127"/>
    </row>
    <row r="126" spans="1:16" ht="12.75">
      <c r="A126" s="72">
        <v>44078</v>
      </c>
      <c r="B126" s="76">
        <v>66700584.130000003</v>
      </c>
      <c r="C126" s="78">
        <f t="shared" si="2"/>
        <v>-1.6074076048661581E-2</v>
      </c>
      <c r="D126">
        <v>149</v>
      </c>
      <c r="F126" s="71"/>
      <c r="H126" s="127"/>
      <c r="I126" s="72">
        <v>44078</v>
      </c>
      <c r="J126" s="76">
        <v>1067888.28</v>
      </c>
      <c r="K126" s="78">
        <f t="shared" si="3"/>
        <v>-1.2644356233911433E-2</v>
      </c>
      <c r="L126">
        <v>149</v>
      </c>
      <c r="M126" s="74"/>
      <c r="N126" s="71"/>
      <c r="P126" s="127"/>
    </row>
    <row r="127" spans="1:16" ht="12.75">
      <c r="A127" s="72">
        <v>44081</v>
      </c>
      <c r="B127" s="73">
        <v>66517470.789999999</v>
      </c>
      <c r="C127" s="78">
        <f t="shared" si="2"/>
        <v>-1.8652288479046011E-2</v>
      </c>
      <c r="D127">
        <v>148</v>
      </c>
      <c r="F127" s="71"/>
      <c r="H127" s="127"/>
      <c r="I127" s="72">
        <v>44081</v>
      </c>
      <c r="J127" s="73">
        <v>1067888.28</v>
      </c>
      <c r="K127" s="78">
        <f t="shared" si="3"/>
        <v>-1.568035000906846E-2</v>
      </c>
      <c r="L127">
        <v>148</v>
      </c>
      <c r="M127" s="74"/>
      <c r="N127" s="71"/>
      <c r="P127" s="127"/>
    </row>
    <row r="128" spans="1:16" ht="12.75">
      <c r="A128" s="72">
        <v>44082</v>
      </c>
      <c r="B128" s="73">
        <v>66470260.640000001</v>
      </c>
      <c r="C128" s="78">
        <f t="shared" si="2"/>
        <v>-1.8343861345903673E-2</v>
      </c>
      <c r="D128">
        <v>147</v>
      </c>
      <c r="F128" s="71"/>
      <c r="H128" s="127"/>
      <c r="I128" s="72">
        <v>44082</v>
      </c>
      <c r="J128" s="73">
        <v>1067888.28</v>
      </c>
      <c r="K128" s="78">
        <f t="shared" si="3"/>
        <v>-1.379924163940262E-2</v>
      </c>
      <c r="L128">
        <v>147</v>
      </c>
      <c r="M128" s="74"/>
      <c r="N128" s="71"/>
      <c r="P128" s="127"/>
    </row>
    <row r="129" spans="1:16" ht="12.75">
      <c r="A129" s="72">
        <v>44083</v>
      </c>
      <c r="B129" s="73">
        <v>66474097.509999998</v>
      </c>
      <c r="C129" s="78">
        <f t="shared" si="2"/>
        <v>-1.5649501974331157E-2</v>
      </c>
      <c r="D129">
        <v>146</v>
      </c>
      <c r="F129" s="71"/>
      <c r="H129" s="127"/>
      <c r="I129" s="72">
        <v>44083</v>
      </c>
      <c r="J129" s="73">
        <v>1067729.1599999999</v>
      </c>
      <c r="K129" s="78">
        <f t="shared" si="3"/>
        <v>-1.3919981325482608E-2</v>
      </c>
      <c r="L129">
        <v>146</v>
      </c>
      <c r="M129" s="74"/>
      <c r="N129" s="71"/>
      <c r="P129" s="127"/>
    </row>
    <row r="130" spans="1:16" ht="12.75">
      <c r="A130" s="72">
        <v>44084</v>
      </c>
      <c r="B130" s="73">
        <v>66465265.380000003</v>
      </c>
      <c r="C130" s="78">
        <f t="shared" si="2"/>
        <v>-1.5438054679259565E-2</v>
      </c>
      <c r="D130">
        <v>145</v>
      </c>
      <c r="F130" s="71"/>
      <c r="H130" s="127"/>
      <c r="I130" s="72">
        <v>44084</v>
      </c>
      <c r="J130" s="73">
        <v>1067697.68</v>
      </c>
      <c r="K130" s="78">
        <f t="shared" si="3"/>
        <v>-1.3857980869228174E-2</v>
      </c>
      <c r="L130">
        <v>145</v>
      </c>
      <c r="M130" s="74"/>
      <c r="N130" s="71"/>
      <c r="P130" s="127"/>
    </row>
    <row r="131" spans="1:16" ht="12.75">
      <c r="A131" s="72">
        <v>44085</v>
      </c>
      <c r="B131" s="73">
        <v>66342149.359999999</v>
      </c>
      <c r="C131" s="78">
        <f t="shared" si="2"/>
        <v>-1.6264450156632675E-2</v>
      </c>
      <c r="D131">
        <v>144</v>
      </c>
      <c r="F131" s="71"/>
      <c r="H131" s="127"/>
      <c r="I131" s="72">
        <v>44085</v>
      </c>
      <c r="J131" s="73">
        <v>1067697.68</v>
      </c>
      <c r="K131" s="78">
        <f t="shared" si="3"/>
        <v>-1.3766890860530167E-2</v>
      </c>
      <c r="L131">
        <v>144</v>
      </c>
      <c r="M131" s="74"/>
      <c r="N131" s="71"/>
      <c r="P131" s="127"/>
    </row>
    <row r="132" spans="1:16" ht="12.75">
      <c r="A132" s="72">
        <v>44088</v>
      </c>
      <c r="B132" s="73">
        <v>66287898.32</v>
      </c>
      <c r="C132" s="78">
        <f t="shared" si="2"/>
        <v>-1.2517002880240224E-2</v>
      </c>
      <c r="D132">
        <v>143</v>
      </c>
      <c r="F132" s="71"/>
      <c r="H132" s="127"/>
      <c r="I132" s="72">
        <v>44088</v>
      </c>
      <c r="J132" s="73">
        <v>1067002.68</v>
      </c>
      <c r="K132" s="78">
        <f t="shared" si="3"/>
        <v>-1.1944605920050056E-2</v>
      </c>
      <c r="L132">
        <v>143</v>
      </c>
      <c r="M132" s="74"/>
      <c r="N132" s="71"/>
      <c r="P132" s="127"/>
    </row>
    <row r="133" spans="1:16" ht="12.75">
      <c r="A133" s="72">
        <v>44089</v>
      </c>
      <c r="B133" s="73">
        <v>66234688.159999996</v>
      </c>
      <c r="C133" s="78">
        <f t="shared" si="2"/>
        <v>-1.2154302040744755E-2</v>
      </c>
      <c r="D133">
        <v>142</v>
      </c>
      <c r="F133" s="71"/>
      <c r="H133" s="127"/>
      <c r="I133" s="72">
        <v>44089</v>
      </c>
      <c r="J133" s="73">
        <v>1066149.18</v>
      </c>
      <c r="K133" s="78">
        <f t="shared" si="3"/>
        <v>-1.2734955648925373E-2</v>
      </c>
      <c r="L133">
        <v>142</v>
      </c>
      <c r="M133" s="74"/>
      <c r="N133" s="71"/>
      <c r="P133" s="127"/>
    </row>
    <row r="134" spans="1:16" ht="12.75">
      <c r="A134" s="72">
        <v>44090</v>
      </c>
      <c r="B134" s="73">
        <v>66199185.049999997</v>
      </c>
      <c r="C134" s="78">
        <f t="shared" si="2"/>
        <v>-1.2019855899880394E-2</v>
      </c>
      <c r="D134">
        <v>141</v>
      </c>
      <c r="F134" s="71"/>
      <c r="H134" s="127"/>
      <c r="I134" s="72">
        <v>44090</v>
      </c>
      <c r="J134" s="73">
        <v>1066149.18</v>
      </c>
      <c r="K134" s="78">
        <f t="shared" si="3"/>
        <v>-1.2585860826206417E-2</v>
      </c>
      <c r="L134">
        <v>141</v>
      </c>
      <c r="M134" s="74"/>
      <c r="N134" s="71"/>
      <c r="P134" s="127"/>
    </row>
    <row r="135" spans="1:16" ht="12.75">
      <c r="A135" s="72">
        <v>44091</v>
      </c>
      <c r="B135" s="73">
        <v>66139988.939999998</v>
      </c>
      <c r="C135" s="78">
        <f t="shared" si="2"/>
        <v>-1.2790229828715003E-2</v>
      </c>
      <c r="D135">
        <v>140</v>
      </c>
      <c r="F135" s="71"/>
      <c r="H135" s="127"/>
      <c r="I135" s="72">
        <v>44091</v>
      </c>
      <c r="J135" s="73">
        <v>1066105.95</v>
      </c>
      <c r="K135" s="78">
        <f t="shared" si="3"/>
        <v>-1.257377151608838E-2</v>
      </c>
      <c r="L135">
        <v>140</v>
      </c>
      <c r="M135" s="74"/>
      <c r="N135" s="71"/>
      <c r="P135" s="127"/>
    </row>
    <row r="136" spans="1:16" ht="12.75">
      <c r="A136" s="72">
        <v>44092</v>
      </c>
      <c r="B136" s="73">
        <v>65965105.119999997</v>
      </c>
      <c r="C136" s="78">
        <f t="shared" si="2"/>
        <v>-1.357526222835528E-2</v>
      </c>
      <c r="D136">
        <v>139</v>
      </c>
      <c r="F136" s="71"/>
      <c r="H136" s="127"/>
      <c r="I136" s="72">
        <v>44092</v>
      </c>
      <c r="J136" s="73">
        <v>1066752.05</v>
      </c>
      <c r="K136" s="78">
        <f t="shared" si="3"/>
        <v>-1.1887496241382007E-2</v>
      </c>
      <c r="L136">
        <v>139</v>
      </c>
      <c r="M136" s="74"/>
      <c r="N136" s="71"/>
      <c r="P136" s="127"/>
    </row>
    <row r="137" spans="1:16" ht="12.75">
      <c r="A137" s="72">
        <v>44095</v>
      </c>
      <c r="B137" s="73">
        <v>65583466.5</v>
      </c>
      <c r="C137" s="78">
        <f t="shared" si="2"/>
        <v>-1.9177673035282068E-2</v>
      </c>
      <c r="D137">
        <v>138</v>
      </c>
      <c r="F137" s="71"/>
      <c r="H137" s="127"/>
      <c r="I137" s="72">
        <v>44095</v>
      </c>
      <c r="J137" s="73">
        <v>1066752.05</v>
      </c>
      <c r="K137" s="78">
        <f t="shared" si="3"/>
        <v>-1.1882260868324671E-2</v>
      </c>
      <c r="L137">
        <v>138</v>
      </c>
      <c r="M137" s="74"/>
      <c r="N137" s="71"/>
      <c r="P137" s="127"/>
    </row>
    <row r="138" spans="1:16" ht="12.75">
      <c r="A138" s="72">
        <v>44096</v>
      </c>
      <c r="B138" s="73">
        <v>65532314.119999997</v>
      </c>
      <c r="C138" s="78">
        <f t="shared" si="2"/>
        <v>-1.9156504713449894E-2</v>
      </c>
      <c r="D138">
        <v>137</v>
      </c>
      <c r="F138" s="71"/>
      <c r="H138" s="127"/>
      <c r="I138" s="72">
        <v>44096</v>
      </c>
      <c r="J138" s="73">
        <v>1066752.05</v>
      </c>
      <c r="K138" s="78">
        <f t="shared" si="3"/>
        <v>-1.1882260868324671E-2</v>
      </c>
      <c r="L138">
        <v>137</v>
      </c>
      <c r="M138" s="74"/>
      <c r="N138" s="71"/>
      <c r="P138" s="127"/>
    </row>
    <row r="139" spans="1:16" ht="12.75">
      <c r="A139" s="72">
        <v>44097</v>
      </c>
      <c r="B139" s="73">
        <v>65516885.079999998</v>
      </c>
      <c r="C139" s="78">
        <f t="shared" si="2"/>
        <v>-1.6789023113080791E-2</v>
      </c>
      <c r="D139">
        <v>136</v>
      </c>
      <c r="F139" s="71"/>
      <c r="H139" s="127"/>
      <c r="I139" s="72">
        <v>44097</v>
      </c>
      <c r="J139" s="73">
        <v>1066752.05</v>
      </c>
      <c r="K139" s="78">
        <f t="shared" si="3"/>
        <v>-1.1244952597083996E-2</v>
      </c>
      <c r="L139">
        <v>136</v>
      </c>
      <c r="M139" s="74"/>
      <c r="N139" s="71"/>
      <c r="P139" s="127"/>
    </row>
    <row r="140" spans="1:16" ht="12.75">
      <c r="A140" s="72">
        <v>44098</v>
      </c>
      <c r="B140" s="73">
        <v>65486410.060000002</v>
      </c>
      <c r="C140" s="78">
        <f t="shared" si="2"/>
        <v>-1.6595577638662568E-2</v>
      </c>
      <c r="D140">
        <v>135</v>
      </c>
      <c r="F140" s="71"/>
      <c r="H140" s="127"/>
      <c r="I140" s="72">
        <v>44098</v>
      </c>
      <c r="J140" s="73">
        <v>1064589.51</v>
      </c>
      <c r="K140" s="78">
        <f t="shared" si="3"/>
        <v>-1.3249375593234544E-2</v>
      </c>
      <c r="L140">
        <v>135</v>
      </c>
      <c r="M140" s="74"/>
      <c r="N140" s="71"/>
      <c r="P140" s="127"/>
    </row>
    <row r="141" spans="1:16" ht="12.75">
      <c r="A141" s="72">
        <v>44099</v>
      </c>
      <c r="B141" s="73">
        <v>65463360.140000001</v>
      </c>
      <c r="C141" s="78">
        <f t="shared" si="2"/>
        <v>-1.6440432187738507E-2</v>
      </c>
      <c r="D141">
        <v>134</v>
      </c>
      <c r="F141" s="71"/>
      <c r="H141" s="127"/>
      <c r="I141" s="72">
        <v>44099</v>
      </c>
      <c r="J141" s="73">
        <v>1064589.51</v>
      </c>
      <c r="K141" s="78">
        <f t="shared" si="3"/>
        <v>-1.2883398692822613E-2</v>
      </c>
      <c r="L141">
        <v>134</v>
      </c>
      <c r="M141" s="74"/>
      <c r="N141" s="71"/>
      <c r="P141" s="127"/>
    </row>
    <row r="142" spans="1:16" ht="12.75">
      <c r="A142" s="72">
        <v>44102</v>
      </c>
      <c r="B142" s="73">
        <v>65396374.57</v>
      </c>
      <c r="C142" s="78">
        <f t="shared" si="2"/>
        <v>-1.6941876691111774E-2</v>
      </c>
      <c r="D142">
        <v>133</v>
      </c>
      <c r="F142" s="71"/>
      <c r="H142" s="127"/>
      <c r="I142" s="72">
        <v>44102</v>
      </c>
      <c r="J142" s="73">
        <v>1063532.6499999999</v>
      </c>
      <c r="K142" s="78">
        <f t="shared" si="3"/>
        <v>-9.0624905515589542E-3</v>
      </c>
      <c r="L142">
        <v>133</v>
      </c>
      <c r="M142" s="74"/>
      <c r="N142" s="71"/>
      <c r="P142" s="127"/>
    </row>
    <row r="143" spans="1:16" ht="12.75">
      <c r="A143" s="72">
        <v>44103</v>
      </c>
      <c r="B143" s="73">
        <v>65330190.520000003</v>
      </c>
      <c r="C143" s="78">
        <f t="shared" si="2"/>
        <v>-2.1835304831228752E-2</v>
      </c>
      <c r="D143">
        <v>132</v>
      </c>
      <c r="F143" s="71"/>
      <c r="H143" s="127"/>
      <c r="I143" s="72">
        <v>44103</v>
      </c>
      <c r="J143" s="73">
        <v>1062938.3799999999</v>
      </c>
      <c r="K143" s="78">
        <f t="shared" si="3"/>
        <v>-5.1995329314189053E-3</v>
      </c>
      <c r="L143">
        <v>132</v>
      </c>
      <c r="M143" s="74"/>
      <c r="N143" s="71"/>
      <c r="P143" s="127"/>
    </row>
    <row r="144" spans="1:16" ht="12.75">
      <c r="A144" s="72">
        <v>44104</v>
      </c>
      <c r="B144" s="73">
        <v>65627065.130000003</v>
      </c>
      <c r="C144" s="78">
        <f t="shared" si="2"/>
        <v>-1.6761233950059583E-2</v>
      </c>
      <c r="D144">
        <v>131</v>
      </c>
      <c r="F144" s="71"/>
      <c r="H144" s="127"/>
      <c r="I144" s="72">
        <v>44104</v>
      </c>
      <c r="J144" s="73">
        <v>1063188.8600000001</v>
      </c>
      <c r="K144" s="78">
        <f t="shared" si="3"/>
        <v>-4.9269268312725056E-3</v>
      </c>
      <c r="L144">
        <v>131</v>
      </c>
      <c r="M144" s="74"/>
      <c r="N144" s="71"/>
      <c r="P144" s="127"/>
    </row>
    <row r="145" spans="1:16" ht="12.75">
      <c r="A145" s="72">
        <v>44105</v>
      </c>
      <c r="B145" s="73">
        <v>65596228.979999997</v>
      </c>
      <c r="C145" s="78">
        <f t="shared" si="2"/>
        <v>-1.859805138413019E-2</v>
      </c>
      <c r="D145">
        <v>130</v>
      </c>
      <c r="F145" s="71"/>
      <c r="H145" s="127"/>
      <c r="I145" s="72">
        <v>44105</v>
      </c>
      <c r="J145" s="73">
        <v>1063188.8600000001</v>
      </c>
      <c r="K145" s="78">
        <f t="shared" si="3"/>
        <v>-4.9269268312725056E-3</v>
      </c>
      <c r="L145">
        <v>130</v>
      </c>
      <c r="M145" s="74"/>
      <c r="N145" s="71"/>
      <c r="P145" s="127"/>
    </row>
    <row r="146" spans="1:16" ht="12.75">
      <c r="A146" s="72">
        <v>44106</v>
      </c>
      <c r="B146" s="73">
        <v>65200683.159999996</v>
      </c>
      <c r="C146" s="78">
        <f t="shared" si="2"/>
        <v>-2.3230268571024344E-2</v>
      </c>
      <c r="D146">
        <v>129</v>
      </c>
      <c r="F146" s="71"/>
      <c r="H146" s="127"/>
      <c r="I146" s="72">
        <v>44106</v>
      </c>
      <c r="J146" s="73">
        <v>1063168.8600000001</v>
      </c>
      <c r="K146" s="78">
        <f t="shared" si="3"/>
        <v>-4.9456454825038349E-3</v>
      </c>
      <c r="L146">
        <v>129</v>
      </c>
      <c r="M146" s="74"/>
      <c r="N146" s="71"/>
      <c r="P146" s="127"/>
    </row>
    <row r="147" spans="1:16" ht="12.75">
      <c r="A147" s="72">
        <v>44109</v>
      </c>
      <c r="B147" s="76">
        <v>65132444.25</v>
      </c>
      <c r="C147" s="78">
        <f t="shared" si="2"/>
        <v>-2.3510137136785562E-2</v>
      </c>
      <c r="D147">
        <v>128</v>
      </c>
      <c r="F147" s="71"/>
      <c r="H147" s="127"/>
      <c r="I147" s="72">
        <v>44109</v>
      </c>
      <c r="J147" s="76">
        <v>1062462.8600000001</v>
      </c>
      <c r="K147" s="78">
        <f t="shared" si="3"/>
        <v>-5.0805127292903015E-3</v>
      </c>
      <c r="L147">
        <v>128</v>
      </c>
      <c r="M147" s="74"/>
      <c r="N147" s="71"/>
      <c r="P147" s="127"/>
    </row>
    <row r="148" spans="1:16" ht="12.75">
      <c r="A148" s="72">
        <v>44110</v>
      </c>
      <c r="B148" s="73">
        <v>64999117.960000001</v>
      </c>
      <c r="C148" s="78">
        <f t="shared" si="2"/>
        <v>-2.2826376468725595E-2</v>
      </c>
      <c r="D148">
        <v>127</v>
      </c>
      <c r="F148" s="71"/>
      <c r="H148" s="127"/>
      <c r="I148" s="72">
        <v>44110</v>
      </c>
      <c r="J148" s="73">
        <v>1062342.8600000001</v>
      </c>
      <c r="K148" s="78">
        <f t="shared" si="3"/>
        <v>-5.1928840346481984E-3</v>
      </c>
      <c r="L148">
        <v>127</v>
      </c>
      <c r="M148" s="74"/>
      <c r="N148" s="71"/>
      <c r="P148" s="127"/>
    </row>
    <row r="149" spans="1:16" ht="12.75">
      <c r="A149" s="72">
        <v>44111</v>
      </c>
      <c r="B149" s="73">
        <v>64933323.369999997</v>
      </c>
      <c r="C149" s="78">
        <f t="shared" si="2"/>
        <v>-2.3122179079814169E-2</v>
      </c>
      <c r="D149">
        <v>126</v>
      </c>
      <c r="F149" s="71"/>
      <c r="H149" s="127"/>
      <c r="I149" s="72">
        <v>44111</v>
      </c>
      <c r="J149" s="73">
        <v>1056833.04</v>
      </c>
      <c r="K149" s="78">
        <f t="shared" si="3"/>
        <v>-1.0352431248707019E-2</v>
      </c>
      <c r="L149">
        <v>126</v>
      </c>
      <c r="M149" s="74"/>
      <c r="N149" s="71"/>
      <c r="P149" s="127"/>
    </row>
    <row r="150" spans="1:16" ht="12.75">
      <c r="A150" s="72">
        <v>44112</v>
      </c>
      <c r="B150" s="73">
        <v>64890612.25</v>
      </c>
      <c r="C150" s="78">
        <f t="shared" si="2"/>
        <v>-2.382108699951567E-2</v>
      </c>
      <c r="D150">
        <v>125</v>
      </c>
      <c r="F150" s="71"/>
      <c r="H150" s="127"/>
      <c r="I150" s="72">
        <v>44112</v>
      </c>
      <c r="J150" s="73">
        <v>1056833.04</v>
      </c>
      <c r="K150" s="78">
        <f t="shared" si="3"/>
        <v>-1.0204947479377523E-2</v>
      </c>
      <c r="L150">
        <v>125</v>
      </c>
      <c r="M150" s="74"/>
      <c r="N150" s="71"/>
      <c r="P150" s="127"/>
    </row>
    <row r="151" spans="1:16" ht="12.75">
      <c r="A151" s="72">
        <v>44113</v>
      </c>
      <c r="B151" s="73">
        <v>64864627.689999998</v>
      </c>
      <c r="C151" s="78">
        <f t="shared" ref="C151:C214" si="4">(B151-B130)/B130</f>
        <v>-2.4082318498974225E-2</v>
      </c>
      <c r="D151">
        <v>124</v>
      </c>
      <c r="F151" s="71"/>
      <c r="H151" s="127"/>
      <c r="I151" s="72">
        <v>44113</v>
      </c>
      <c r="J151" s="73">
        <v>1056760.04</v>
      </c>
      <c r="K151" s="78">
        <f t="shared" ref="K151:K214" si="5">(J151-J130)/J130</f>
        <v>-1.0244135774463703E-2</v>
      </c>
      <c r="L151">
        <v>124</v>
      </c>
      <c r="M151" s="74"/>
      <c r="N151" s="71"/>
      <c r="P151" s="127"/>
    </row>
    <row r="152" spans="1:16" ht="12.75">
      <c r="A152" s="72">
        <v>44116</v>
      </c>
      <c r="B152" s="73">
        <v>64826534.759999998</v>
      </c>
      <c r="C152" s="78">
        <f t="shared" si="4"/>
        <v>-2.2845425037040155E-2</v>
      </c>
      <c r="D152">
        <v>123</v>
      </c>
      <c r="F152" s="71"/>
      <c r="H152" s="127"/>
      <c r="I152" s="72">
        <v>44116</v>
      </c>
      <c r="J152" s="73">
        <v>1056712.04</v>
      </c>
      <c r="K152" s="78">
        <f t="shared" si="5"/>
        <v>-1.0289092320590131E-2</v>
      </c>
      <c r="L152">
        <v>123</v>
      </c>
      <c r="M152" s="74"/>
      <c r="N152" s="71"/>
      <c r="P152" s="127"/>
    </row>
    <row r="153" spans="1:16" ht="12.75">
      <c r="A153" s="72">
        <v>44117</v>
      </c>
      <c r="B153" s="73">
        <v>64787055.93</v>
      </c>
      <c r="C153" s="78">
        <f t="shared" si="4"/>
        <v>-2.2641272812041698E-2</v>
      </c>
      <c r="D153">
        <v>122</v>
      </c>
      <c r="F153" s="71"/>
      <c r="H153" s="127"/>
      <c r="I153" s="72">
        <v>44117</v>
      </c>
      <c r="J153" s="73">
        <v>1056712.04</v>
      </c>
      <c r="K153" s="78">
        <f t="shared" si="5"/>
        <v>-9.6444368818266683E-3</v>
      </c>
      <c r="L153">
        <v>122</v>
      </c>
      <c r="M153" s="74"/>
      <c r="N153" s="71"/>
      <c r="P153" s="127"/>
    </row>
    <row r="154" spans="1:16" ht="12.75">
      <c r="A154" s="72">
        <v>44118</v>
      </c>
      <c r="B154" s="73">
        <v>64704265.479999997</v>
      </c>
      <c r="C154" s="78">
        <f t="shared" si="4"/>
        <v>-2.3106060019532818E-2</v>
      </c>
      <c r="D154">
        <v>121</v>
      </c>
      <c r="F154" s="71"/>
      <c r="H154" s="127"/>
      <c r="I154" s="72">
        <v>44118</v>
      </c>
      <c r="J154" s="73">
        <v>1056692.04</v>
      </c>
      <c r="K154" s="78">
        <f t="shared" si="5"/>
        <v>-8.8703721556113741E-3</v>
      </c>
      <c r="L154">
        <v>121</v>
      </c>
      <c r="M154" s="74"/>
      <c r="N154" s="71"/>
      <c r="P154" s="127"/>
    </row>
    <row r="155" spans="1:16" ht="12.75">
      <c r="A155" s="72">
        <v>44119</v>
      </c>
      <c r="B155" s="73">
        <v>64672238.079999998</v>
      </c>
      <c r="C155" s="78">
        <f t="shared" si="4"/>
        <v>-2.3065948150973483E-2</v>
      </c>
      <c r="D155">
        <v>120</v>
      </c>
      <c r="F155" s="71"/>
      <c r="H155" s="127"/>
      <c r="I155" s="72">
        <v>44119</v>
      </c>
      <c r="J155" s="73">
        <v>1056692.04</v>
      </c>
      <c r="K155" s="78">
        <f t="shared" si="5"/>
        <v>-8.8703721556113741E-3</v>
      </c>
      <c r="L155">
        <v>120</v>
      </c>
      <c r="M155" s="74"/>
      <c r="N155" s="71"/>
      <c r="P155" s="127"/>
    </row>
    <row r="156" spans="1:16" ht="12.75">
      <c r="A156" s="72">
        <v>44120</v>
      </c>
      <c r="B156" s="73">
        <v>64593404.350000001</v>
      </c>
      <c r="C156" s="78">
        <f t="shared" si="4"/>
        <v>-2.3383502398269317E-2</v>
      </c>
      <c r="D156">
        <v>119</v>
      </c>
      <c r="F156" s="71"/>
      <c r="H156" s="127"/>
      <c r="I156" s="72">
        <v>44120</v>
      </c>
      <c r="J156" s="73">
        <v>1056342.04</v>
      </c>
      <c r="K156" s="78">
        <f t="shared" si="5"/>
        <v>-9.1584799803433384E-3</v>
      </c>
      <c r="L156">
        <v>119</v>
      </c>
      <c r="M156" s="74"/>
      <c r="N156" s="71"/>
      <c r="P156" s="127"/>
    </row>
    <row r="157" spans="1:16" ht="12.75">
      <c r="A157" s="72">
        <v>44123</v>
      </c>
      <c r="B157" s="73">
        <v>64481613.310000002</v>
      </c>
      <c r="C157" s="78">
        <f t="shared" si="4"/>
        <v>-2.2489038822894474E-2</v>
      </c>
      <c r="D157">
        <v>118</v>
      </c>
      <c r="F157" s="71"/>
      <c r="H157" s="127"/>
      <c r="I157" s="72">
        <v>44123</v>
      </c>
      <c r="J157" s="73">
        <v>1056292.04</v>
      </c>
      <c r="K157" s="78">
        <f t="shared" si="5"/>
        <v>-9.8054744774101997E-3</v>
      </c>
      <c r="L157">
        <v>118</v>
      </c>
      <c r="M157" s="74"/>
      <c r="N157" s="71"/>
      <c r="P157" s="127"/>
    </row>
    <row r="158" spans="1:16" ht="12.75">
      <c r="A158" s="72">
        <v>44124</v>
      </c>
      <c r="B158" s="73">
        <v>64428724.609999999</v>
      </c>
      <c r="C158" s="78">
        <f t="shared" si="4"/>
        <v>-1.7607210347748248E-2</v>
      </c>
      <c r="D158">
        <v>117</v>
      </c>
      <c r="F158" s="71"/>
      <c r="H158" s="127"/>
      <c r="I158" s="72">
        <v>44124</v>
      </c>
      <c r="J158" s="73">
        <v>1056292.04</v>
      </c>
      <c r="K158" s="78">
        <f t="shared" si="5"/>
        <v>-9.8054744774101997E-3</v>
      </c>
      <c r="L158">
        <v>117</v>
      </c>
      <c r="M158" s="74"/>
      <c r="N158" s="71"/>
      <c r="P158" s="127"/>
    </row>
    <row r="159" spans="1:16" ht="12.75">
      <c r="A159" s="72">
        <v>44125</v>
      </c>
      <c r="B159" s="73">
        <v>64414067.310000002</v>
      </c>
      <c r="C159" s="78">
        <f t="shared" si="4"/>
        <v>-1.7064051911127521E-2</v>
      </c>
      <c r="D159">
        <v>116</v>
      </c>
      <c r="F159" s="71"/>
      <c r="H159" s="127"/>
      <c r="I159" s="72">
        <v>44125</v>
      </c>
      <c r="J159" s="73">
        <v>1055440.04</v>
      </c>
      <c r="K159" s="78">
        <f t="shared" si="5"/>
        <v>-1.0604160545086375E-2</v>
      </c>
      <c r="L159">
        <v>116</v>
      </c>
      <c r="M159" s="74"/>
      <c r="N159" s="71"/>
      <c r="P159" s="127"/>
    </row>
    <row r="160" spans="1:16" ht="12.75">
      <c r="A160" s="72">
        <v>44126</v>
      </c>
      <c r="B160" s="73">
        <v>64395963.039999999</v>
      </c>
      <c r="C160" s="78">
        <f t="shared" si="4"/>
        <v>-1.7108903126747965E-2</v>
      </c>
      <c r="D160">
        <v>115</v>
      </c>
      <c r="F160" s="71"/>
      <c r="H160" s="127"/>
      <c r="I160" s="72">
        <v>44126</v>
      </c>
      <c r="J160" s="73">
        <v>1055380.04</v>
      </c>
      <c r="K160" s="78">
        <f t="shared" si="5"/>
        <v>-1.066040604281005E-2</v>
      </c>
      <c r="L160">
        <v>115</v>
      </c>
      <c r="M160" s="74"/>
      <c r="N160" s="71"/>
      <c r="P160" s="127"/>
    </row>
    <row r="161" spans="1:16" ht="12.75">
      <c r="A161" s="72">
        <v>44127</v>
      </c>
      <c r="B161" s="73">
        <v>64362418.920000002</v>
      </c>
      <c r="C161" s="78">
        <f t="shared" si="4"/>
        <v>-1.7163731207286773E-2</v>
      </c>
      <c r="D161">
        <v>114</v>
      </c>
      <c r="F161" s="71"/>
      <c r="H161" s="127"/>
      <c r="I161" s="72">
        <v>44127</v>
      </c>
      <c r="J161" s="73">
        <v>1055380.04</v>
      </c>
      <c r="K161" s="78">
        <f t="shared" si="5"/>
        <v>-8.6507239771693532E-3</v>
      </c>
      <c r="L161">
        <v>114</v>
      </c>
      <c r="M161" s="74"/>
      <c r="N161" s="71"/>
      <c r="P161" s="127"/>
    </row>
    <row r="162" spans="1:16" ht="12.75">
      <c r="A162" s="72">
        <v>44130</v>
      </c>
      <c r="B162" s="73">
        <v>64298839.619999997</v>
      </c>
      <c r="C162" s="78">
        <f t="shared" si="4"/>
        <v>-1.778889011363851E-2</v>
      </c>
      <c r="D162">
        <v>113</v>
      </c>
      <c r="F162" s="71"/>
      <c r="H162" s="127"/>
      <c r="I162" s="72">
        <v>44130</v>
      </c>
      <c r="J162" s="73">
        <v>1055374.3999999999</v>
      </c>
      <c r="K162" s="78">
        <f t="shared" si="5"/>
        <v>-8.656021793789893E-3</v>
      </c>
      <c r="L162">
        <v>113</v>
      </c>
      <c r="M162" s="74"/>
      <c r="N162" s="71"/>
      <c r="P162" s="127"/>
    </row>
    <row r="163" spans="1:16" ht="12.75">
      <c r="A163" s="72">
        <v>44131</v>
      </c>
      <c r="B163" s="73">
        <v>64238937.119999997</v>
      </c>
      <c r="C163" s="78">
        <f t="shared" si="4"/>
        <v>-1.7698801464308803E-2</v>
      </c>
      <c r="D163">
        <v>112</v>
      </c>
      <c r="F163" s="71"/>
      <c r="H163" s="127"/>
      <c r="I163" s="72">
        <v>44131</v>
      </c>
      <c r="J163" s="73">
        <v>1055049.3999999999</v>
      </c>
      <c r="K163" s="78">
        <f t="shared" si="5"/>
        <v>-7.9764829034632834E-3</v>
      </c>
      <c r="L163">
        <v>112</v>
      </c>
      <c r="M163" s="74"/>
      <c r="N163" s="71"/>
      <c r="P163" s="127"/>
    </row>
    <row r="164" spans="1:16" ht="12.75">
      <c r="A164" s="72">
        <v>44132</v>
      </c>
      <c r="B164" s="73">
        <v>64218736.630000003</v>
      </c>
      <c r="C164" s="78">
        <f t="shared" si="4"/>
        <v>-1.7012867728584739E-2</v>
      </c>
      <c r="D164">
        <v>111</v>
      </c>
      <c r="F164" s="71"/>
      <c r="H164" s="127"/>
      <c r="I164" s="72">
        <v>44132</v>
      </c>
      <c r="J164" s="73">
        <v>1054629.3999999999</v>
      </c>
      <c r="K164" s="78">
        <f t="shared" si="5"/>
        <v>-7.8169912351833439E-3</v>
      </c>
      <c r="L164">
        <v>111</v>
      </c>
      <c r="M164" s="74"/>
      <c r="N164" s="71"/>
      <c r="P164" s="127"/>
    </row>
    <row r="165" spans="1:16" ht="12.75">
      <c r="A165" s="72">
        <v>44133</v>
      </c>
      <c r="B165" s="73">
        <v>64182810.600000001</v>
      </c>
      <c r="C165" s="78">
        <f t="shared" si="4"/>
        <v>-2.2006995545802509E-2</v>
      </c>
      <c r="D165">
        <v>110</v>
      </c>
      <c r="F165" s="71"/>
      <c r="H165" s="127"/>
      <c r="I165" s="72">
        <v>44133</v>
      </c>
      <c r="J165" s="73">
        <v>1054629.3999999999</v>
      </c>
      <c r="K165" s="78">
        <f t="shared" si="5"/>
        <v>-8.0507427438622665E-3</v>
      </c>
      <c r="L165">
        <v>110</v>
      </c>
      <c r="M165" s="74"/>
      <c r="N165" s="71"/>
      <c r="P165" s="127"/>
    </row>
    <row r="166" spans="1:16" ht="12.75">
      <c r="A166" s="72">
        <v>44134</v>
      </c>
      <c r="B166" s="73">
        <v>64158720.399999999</v>
      </c>
      <c r="C166" s="78">
        <f t="shared" si="4"/>
        <v>-2.1914500305166753E-2</v>
      </c>
      <c r="D166">
        <v>109</v>
      </c>
      <c r="F166" s="71"/>
      <c r="H166" s="127"/>
      <c r="I166" s="72">
        <v>44134</v>
      </c>
      <c r="J166" s="73">
        <v>1054629.3999999999</v>
      </c>
      <c r="K166" s="78">
        <f t="shared" si="5"/>
        <v>-8.0507427438622665E-3</v>
      </c>
      <c r="L166">
        <v>109</v>
      </c>
      <c r="M166" s="74"/>
      <c r="N166" s="71"/>
      <c r="P166" s="127"/>
    </row>
    <row r="167" spans="1:16" ht="12.75">
      <c r="A167" s="72">
        <v>44137</v>
      </c>
      <c r="B167" s="76">
        <v>64262915.159999996</v>
      </c>
      <c r="C167" s="78">
        <f t="shared" si="4"/>
        <v>-1.4382794083594998E-2</v>
      </c>
      <c r="D167">
        <v>108</v>
      </c>
      <c r="F167" s="71"/>
      <c r="H167" s="127"/>
      <c r="I167" s="72">
        <v>44137</v>
      </c>
      <c r="J167" s="76">
        <v>1054881.3700000001</v>
      </c>
      <c r="K167" s="78">
        <f t="shared" si="5"/>
        <v>-7.7950834639757879E-3</v>
      </c>
      <c r="L167">
        <v>108</v>
      </c>
      <c r="M167" s="74"/>
      <c r="N167" s="71"/>
      <c r="P167" s="127"/>
    </row>
    <row r="168" spans="1:16" ht="12.75">
      <c r="A168" s="72">
        <v>44138</v>
      </c>
      <c r="B168" s="76">
        <v>64189671.619999997</v>
      </c>
      <c r="C168" s="78">
        <f t="shared" si="4"/>
        <v>-1.4474700602073638E-2</v>
      </c>
      <c r="D168">
        <v>107</v>
      </c>
      <c r="F168" s="71"/>
      <c r="H168" s="127"/>
      <c r="I168" s="72">
        <v>44138</v>
      </c>
      <c r="J168" s="76">
        <v>1054381.3700000001</v>
      </c>
      <c r="K168" s="78">
        <f t="shared" si="5"/>
        <v>-7.6063741183385837E-3</v>
      </c>
      <c r="L168">
        <v>107</v>
      </c>
      <c r="M168" s="74"/>
      <c r="N168" s="71"/>
      <c r="P168" s="127"/>
    </row>
    <row r="169" spans="1:16" ht="12.75">
      <c r="A169" s="72">
        <v>44139</v>
      </c>
      <c r="B169" s="76">
        <v>64314162.460000001</v>
      </c>
      <c r="C169" s="78">
        <f t="shared" si="4"/>
        <v>-1.0537919921029032E-2</v>
      </c>
      <c r="D169">
        <v>106</v>
      </c>
      <c r="F169" s="71"/>
      <c r="H169" s="127"/>
      <c r="I169" s="72">
        <v>44139</v>
      </c>
      <c r="J169" s="76">
        <v>1054385.6499999999</v>
      </c>
      <c r="K169" s="78">
        <f t="shared" si="5"/>
        <v>-7.4902466045662459E-3</v>
      </c>
      <c r="L169">
        <v>106</v>
      </c>
      <c r="M169" s="74"/>
      <c r="N169" s="71"/>
      <c r="P169" s="127"/>
    </row>
    <row r="170" spans="1:16" ht="12.75">
      <c r="A170" s="72">
        <v>44140</v>
      </c>
      <c r="B170" s="73">
        <v>64246453.100000001</v>
      </c>
      <c r="C170" s="78">
        <f t="shared" si="4"/>
        <v>-1.0578085863341755E-2</v>
      </c>
      <c r="D170">
        <v>105</v>
      </c>
      <c r="F170" s="71"/>
      <c r="H170" s="127"/>
      <c r="I170" s="72">
        <v>44140</v>
      </c>
      <c r="J170" s="73">
        <v>1054337.01</v>
      </c>
      <c r="K170" s="78">
        <f t="shared" si="5"/>
        <v>-2.3618016333024827E-3</v>
      </c>
      <c r="L170">
        <v>105</v>
      </c>
      <c r="M170" s="74"/>
      <c r="N170" s="71"/>
      <c r="P170" s="127"/>
    </row>
    <row r="171" spans="1:16" ht="12.75">
      <c r="A171" s="72">
        <v>44141</v>
      </c>
      <c r="B171" s="73">
        <v>64264224.890000001</v>
      </c>
      <c r="C171" s="78">
        <f t="shared" si="4"/>
        <v>-9.6529734930956741E-3</v>
      </c>
      <c r="D171">
        <v>104</v>
      </c>
      <c r="F171" s="71"/>
      <c r="H171" s="127"/>
      <c r="I171" s="72">
        <v>44141</v>
      </c>
      <c r="J171" s="73">
        <v>1053937.01</v>
      </c>
      <c r="K171" s="78">
        <f t="shared" si="5"/>
        <v>-2.7402909356429922E-3</v>
      </c>
      <c r="L171">
        <v>104</v>
      </c>
      <c r="M171" s="74"/>
      <c r="N171" s="71"/>
      <c r="P171" s="127"/>
    </row>
    <row r="172" spans="1:16" ht="12.75">
      <c r="A172" s="72">
        <v>44144</v>
      </c>
      <c r="B172" s="73">
        <v>65062921.039999999</v>
      </c>
      <c r="C172" s="78">
        <f t="shared" si="4"/>
        <v>3.0570336570446676E-3</v>
      </c>
      <c r="D172">
        <v>103</v>
      </c>
      <c r="F172" s="71"/>
      <c r="H172" s="127"/>
      <c r="I172" s="72">
        <v>44144</v>
      </c>
      <c r="J172" s="73">
        <v>1055722.98</v>
      </c>
      <c r="K172" s="78">
        <f t="shared" si="5"/>
        <v>-9.8135807633306779E-4</v>
      </c>
      <c r="L172">
        <v>103</v>
      </c>
      <c r="M172" s="74"/>
      <c r="N172" s="71"/>
      <c r="P172" s="127"/>
    </row>
    <row r="173" spans="1:16" ht="12.75">
      <c r="A173" s="72">
        <v>44145</v>
      </c>
      <c r="B173" s="73">
        <v>65252023.200000003</v>
      </c>
      <c r="C173" s="78">
        <f t="shared" si="4"/>
        <v>6.5634919647524449E-3</v>
      </c>
      <c r="D173">
        <v>102</v>
      </c>
      <c r="F173" s="71"/>
      <c r="H173" s="127"/>
      <c r="I173" s="72">
        <v>44145</v>
      </c>
      <c r="J173" s="73">
        <v>1067637.24</v>
      </c>
      <c r="K173" s="78">
        <f t="shared" si="5"/>
        <v>1.0338862042302418E-2</v>
      </c>
      <c r="L173">
        <v>102</v>
      </c>
      <c r="M173" s="74"/>
      <c r="N173" s="71"/>
      <c r="P173" s="127"/>
    </row>
    <row r="174" spans="1:16" ht="12.75">
      <c r="A174" s="72">
        <v>44146</v>
      </c>
      <c r="B174" s="73">
        <v>65354774.189999998</v>
      </c>
      <c r="C174" s="78">
        <f t="shared" si="4"/>
        <v>8.7628346719967696E-3</v>
      </c>
      <c r="D174">
        <v>101</v>
      </c>
      <c r="F174" s="71"/>
      <c r="H174" s="127"/>
      <c r="I174" s="72">
        <v>44146</v>
      </c>
      <c r="J174" s="73">
        <v>1069511.57</v>
      </c>
      <c r="K174" s="78">
        <f t="shared" si="5"/>
        <v>1.211259975801925E-2</v>
      </c>
      <c r="L174">
        <v>101</v>
      </c>
      <c r="M174" s="74"/>
      <c r="N174" s="71"/>
      <c r="P174" s="127"/>
    </row>
    <row r="175" spans="1:16" ht="12.75">
      <c r="A175" s="72">
        <v>44147</v>
      </c>
      <c r="B175" s="73">
        <v>65736341.899999999</v>
      </c>
      <c r="C175" s="78">
        <f t="shared" si="4"/>
        <v>1.5950670521389588E-2</v>
      </c>
      <c r="D175">
        <v>100</v>
      </c>
      <c r="F175" s="71"/>
      <c r="H175" s="127"/>
      <c r="I175" s="72">
        <v>44147</v>
      </c>
      <c r="J175" s="73">
        <v>1071647.3899999999</v>
      </c>
      <c r="K175" s="78">
        <f t="shared" si="5"/>
        <v>1.4152988225405635E-2</v>
      </c>
      <c r="L175">
        <v>100</v>
      </c>
      <c r="M175" s="74"/>
      <c r="N175" s="71"/>
      <c r="P175" s="127"/>
    </row>
    <row r="176" spans="1:16" ht="12.75">
      <c r="A176" s="72">
        <v>44148</v>
      </c>
      <c r="B176" s="73">
        <v>67217473.010000005</v>
      </c>
      <c r="C176" s="78">
        <f t="shared" si="4"/>
        <v>3.9355912298126038E-2</v>
      </c>
      <c r="D176">
        <v>99</v>
      </c>
      <c r="F176" s="71"/>
      <c r="H176" s="127"/>
      <c r="I176" s="72">
        <v>44148</v>
      </c>
      <c r="J176" s="73">
        <v>1080418.3999999999</v>
      </c>
      <c r="K176" s="78">
        <f t="shared" si="5"/>
        <v>2.2453429288631595E-2</v>
      </c>
      <c r="L176">
        <v>99</v>
      </c>
      <c r="M176" s="74"/>
      <c r="N176" s="71"/>
      <c r="P176" s="127"/>
    </row>
    <row r="177" spans="1:16" ht="12.75">
      <c r="A177" s="72">
        <v>44151</v>
      </c>
      <c r="B177" s="73">
        <v>69742240.870000005</v>
      </c>
      <c r="C177" s="78">
        <f t="shared" si="4"/>
        <v>7.9711490233600038E-2</v>
      </c>
      <c r="D177">
        <v>98</v>
      </c>
      <c r="F177" s="71"/>
      <c r="H177" s="127"/>
      <c r="I177" s="72">
        <v>44151</v>
      </c>
      <c r="J177" s="73">
        <v>1114267.93</v>
      </c>
      <c r="K177" s="78">
        <f t="shared" si="5"/>
        <v>5.483630093904044E-2</v>
      </c>
      <c r="L177">
        <v>98</v>
      </c>
      <c r="M177" s="74"/>
      <c r="N177" s="71"/>
      <c r="P177" s="127"/>
    </row>
    <row r="178" spans="1:16" ht="12.75">
      <c r="A178" s="72">
        <v>44152</v>
      </c>
      <c r="B178" s="73">
        <v>70607144.780000001</v>
      </c>
      <c r="C178" s="78">
        <f t="shared" si="4"/>
        <v>9.499656034583169E-2</v>
      </c>
      <c r="D178">
        <v>97</v>
      </c>
      <c r="F178" s="71"/>
      <c r="H178" s="127"/>
      <c r="I178" s="72">
        <v>44152</v>
      </c>
      <c r="J178" s="73">
        <v>1122207.1599999999</v>
      </c>
      <c r="K178" s="78">
        <f t="shared" si="5"/>
        <v>6.2402363649355794E-2</v>
      </c>
      <c r="L178">
        <v>97</v>
      </c>
      <c r="M178" s="74"/>
      <c r="N178" s="71"/>
      <c r="P178" s="127"/>
    </row>
    <row r="179" spans="1:16" ht="12.75">
      <c r="A179" s="72">
        <v>44153</v>
      </c>
      <c r="B179" s="73">
        <v>70900104.75</v>
      </c>
      <c r="C179" s="78">
        <f t="shared" si="4"/>
        <v>0.10044246846686107</v>
      </c>
      <c r="D179">
        <v>96</v>
      </c>
      <c r="F179" s="71"/>
      <c r="H179" s="127"/>
      <c r="I179" s="72">
        <v>44153</v>
      </c>
      <c r="J179" s="73">
        <v>1118625.22</v>
      </c>
      <c r="K179" s="78">
        <f t="shared" si="5"/>
        <v>5.9011312818375433E-2</v>
      </c>
      <c r="L179">
        <v>96</v>
      </c>
      <c r="M179" s="74"/>
      <c r="N179" s="71"/>
      <c r="P179" s="127"/>
    </row>
    <row r="180" spans="1:16" ht="12.75">
      <c r="A180" s="72">
        <v>44154</v>
      </c>
      <c r="B180" s="73">
        <v>71056660.269999996</v>
      </c>
      <c r="C180" s="78">
        <f t="shared" si="4"/>
        <v>0.10312332751837827</v>
      </c>
      <c r="D180">
        <v>95</v>
      </c>
      <c r="F180" s="71"/>
      <c r="H180" s="127"/>
      <c r="I180" s="72">
        <v>44154</v>
      </c>
      <c r="J180" s="73">
        <v>1120580.5900000001</v>
      </c>
      <c r="K180" s="78">
        <f t="shared" si="5"/>
        <v>6.1718854251540473E-2</v>
      </c>
      <c r="L180">
        <v>95</v>
      </c>
      <c r="M180" s="74"/>
      <c r="N180" s="71"/>
      <c r="P180" s="127"/>
    </row>
    <row r="181" spans="1:16" ht="12.75">
      <c r="A181" s="72">
        <v>44155</v>
      </c>
      <c r="B181" s="73">
        <v>71047638.5</v>
      </c>
      <c r="C181" s="78">
        <f t="shared" si="4"/>
        <v>0.10329336104296269</v>
      </c>
      <c r="D181">
        <v>94</v>
      </c>
      <c r="F181" s="71"/>
      <c r="H181" s="127"/>
      <c r="I181" s="72">
        <v>44155</v>
      </c>
      <c r="J181" s="73">
        <v>1118193.6299999999</v>
      </c>
      <c r="K181" s="78">
        <f t="shared" si="5"/>
        <v>5.9517508024881587E-2</v>
      </c>
      <c r="L181">
        <v>94</v>
      </c>
      <c r="M181" s="74"/>
      <c r="N181" s="71"/>
      <c r="P181" s="127"/>
    </row>
    <row r="182" spans="1:16" ht="12.75">
      <c r="A182" s="72">
        <v>44158</v>
      </c>
      <c r="B182" s="73">
        <v>70965291.450000003</v>
      </c>
      <c r="C182" s="78">
        <f t="shared" si="4"/>
        <v>0.1025889430632978</v>
      </c>
      <c r="D182">
        <v>93</v>
      </c>
      <c r="F182" s="71"/>
      <c r="H182" s="127"/>
      <c r="I182" s="72">
        <v>44158</v>
      </c>
      <c r="J182" s="73">
        <v>1117202.49</v>
      </c>
      <c r="K182" s="78">
        <f t="shared" si="5"/>
        <v>5.8578377131331717E-2</v>
      </c>
      <c r="L182">
        <v>93</v>
      </c>
      <c r="M182" s="74"/>
      <c r="N182" s="71"/>
      <c r="P182" s="127"/>
    </row>
    <row r="183" spans="1:16" ht="12.75">
      <c r="A183" s="72">
        <v>44159</v>
      </c>
      <c r="B183" s="73">
        <v>70815097.670000002</v>
      </c>
      <c r="C183" s="78">
        <f t="shared" si="4"/>
        <v>0.10134332265575036</v>
      </c>
      <c r="D183">
        <v>92</v>
      </c>
      <c r="F183" s="71"/>
      <c r="H183" s="127"/>
      <c r="I183" s="72">
        <v>44159</v>
      </c>
      <c r="J183" s="73">
        <v>1111658.8799999999</v>
      </c>
      <c r="K183" s="78">
        <f t="shared" si="5"/>
        <v>5.3331291719791563E-2</v>
      </c>
      <c r="L183">
        <v>92</v>
      </c>
      <c r="M183" s="74"/>
      <c r="N183" s="71"/>
      <c r="P183" s="127"/>
    </row>
    <row r="184" spans="1:16" ht="12.75">
      <c r="A184" s="72">
        <v>44160</v>
      </c>
      <c r="B184" s="73">
        <v>70720755.269999996</v>
      </c>
      <c r="C184" s="78">
        <f t="shared" si="4"/>
        <v>0.1009017029327835</v>
      </c>
      <c r="D184">
        <v>91</v>
      </c>
      <c r="F184" s="71"/>
      <c r="H184" s="127"/>
      <c r="I184" s="72">
        <v>44160</v>
      </c>
      <c r="J184" s="73">
        <v>1108925.8799999999</v>
      </c>
      <c r="K184" s="78">
        <f t="shared" si="5"/>
        <v>5.1065362437057435E-2</v>
      </c>
      <c r="L184">
        <v>91</v>
      </c>
      <c r="M184" s="74"/>
      <c r="N184" s="71"/>
      <c r="P184" s="127"/>
    </row>
    <row r="185" spans="1:16" ht="12.75">
      <c r="A185" s="72">
        <v>44161</v>
      </c>
      <c r="B185" s="73">
        <v>70528840.079999998</v>
      </c>
      <c r="C185" s="78">
        <f t="shared" si="4"/>
        <v>9.8259538899932344E-2</v>
      </c>
      <c r="D185">
        <v>90</v>
      </c>
      <c r="F185" s="71"/>
      <c r="H185" s="127"/>
      <c r="I185" s="72">
        <v>44161</v>
      </c>
      <c r="J185" s="73">
        <v>1106214.74</v>
      </c>
      <c r="K185" s="78">
        <f t="shared" si="5"/>
        <v>4.8913239096122378E-2</v>
      </c>
      <c r="L185">
        <v>90</v>
      </c>
      <c r="M185" s="74"/>
      <c r="N185" s="71"/>
      <c r="P185" s="127"/>
    </row>
    <row r="186" spans="1:16" ht="12.75">
      <c r="A186" s="72">
        <v>44162</v>
      </c>
      <c r="B186" s="73">
        <v>70162663.219999999</v>
      </c>
      <c r="C186" s="78">
        <f t="shared" si="4"/>
        <v>9.3169067607020581E-2</v>
      </c>
      <c r="D186">
        <v>89</v>
      </c>
      <c r="F186" s="71"/>
      <c r="H186" s="127"/>
      <c r="I186" s="72">
        <v>44162</v>
      </c>
      <c r="J186" s="73">
        <v>1105214.74</v>
      </c>
      <c r="K186" s="78">
        <f t="shared" si="5"/>
        <v>4.7965038714073482E-2</v>
      </c>
      <c r="L186">
        <v>89</v>
      </c>
      <c r="M186" s="74"/>
      <c r="N186" s="71"/>
      <c r="P186" s="127"/>
    </row>
    <row r="187" spans="1:16" ht="12.75">
      <c r="A187" s="72">
        <v>44165</v>
      </c>
      <c r="B187" s="73">
        <v>70288525.140000001</v>
      </c>
      <c r="C187" s="78">
        <f t="shared" si="4"/>
        <v>9.5541256150114898E-2</v>
      </c>
      <c r="D187">
        <v>88</v>
      </c>
      <c r="F187" s="71"/>
      <c r="H187" s="127"/>
      <c r="I187" s="72">
        <v>44165</v>
      </c>
      <c r="J187" s="73">
        <v>1100154.2</v>
      </c>
      <c r="K187" s="78">
        <f t="shared" si="5"/>
        <v>4.3166632752699718E-2</v>
      </c>
      <c r="L187">
        <v>88</v>
      </c>
      <c r="M187" s="74"/>
      <c r="N187" s="71"/>
      <c r="P187" s="127"/>
    </row>
    <row r="188" spans="1:16" ht="12.75">
      <c r="A188" s="72">
        <v>44166</v>
      </c>
      <c r="B188" s="73">
        <v>70141076.989999995</v>
      </c>
      <c r="C188" s="78">
        <f t="shared" si="4"/>
        <v>9.1470513209130286E-2</v>
      </c>
      <c r="D188">
        <v>87</v>
      </c>
      <c r="F188" s="71"/>
      <c r="H188" s="127"/>
      <c r="I188" s="72">
        <v>44166</v>
      </c>
      <c r="J188" s="73">
        <v>1100013.8899999999</v>
      </c>
      <c r="K188" s="78">
        <f t="shared" si="5"/>
        <v>4.278445072927943E-2</v>
      </c>
      <c r="L188">
        <v>87</v>
      </c>
      <c r="M188" s="74"/>
      <c r="N188" s="71"/>
      <c r="P188" s="127"/>
    </row>
    <row r="189" spans="1:16" ht="12.75">
      <c r="A189" s="72">
        <v>44167</v>
      </c>
      <c r="B189" s="73">
        <v>70126587.010000005</v>
      </c>
      <c r="C189" s="78">
        <f t="shared" si="4"/>
        <v>9.2490197257064713E-2</v>
      </c>
      <c r="D189">
        <v>86</v>
      </c>
      <c r="F189" s="71"/>
      <c r="H189" s="127"/>
      <c r="I189" s="72">
        <v>44167</v>
      </c>
      <c r="J189" s="73">
        <v>1096493.8899999999</v>
      </c>
      <c r="K189" s="78">
        <f t="shared" si="5"/>
        <v>3.9940500845533508E-2</v>
      </c>
      <c r="L189">
        <v>86</v>
      </c>
      <c r="M189" s="74"/>
      <c r="N189" s="71"/>
      <c r="P189" s="127"/>
    </row>
    <row r="190" spans="1:16" ht="12.75">
      <c r="A190" s="72">
        <v>44168</v>
      </c>
      <c r="B190" s="76">
        <v>70074958.780000001</v>
      </c>
      <c r="C190" s="78">
        <f t="shared" si="4"/>
        <v>8.9572748826246634E-2</v>
      </c>
      <c r="D190">
        <v>85</v>
      </c>
      <c r="F190" s="71"/>
      <c r="H190" s="127"/>
      <c r="I190" s="72">
        <v>44168</v>
      </c>
      <c r="J190" s="76">
        <v>1089241.05</v>
      </c>
      <c r="K190" s="78">
        <f t="shared" si="5"/>
        <v>3.3057543983076913E-2</v>
      </c>
      <c r="L190">
        <v>85</v>
      </c>
      <c r="M190" s="74"/>
      <c r="N190" s="71"/>
      <c r="P190" s="127"/>
    </row>
    <row r="191" spans="1:16" ht="12.75">
      <c r="A191" s="72">
        <v>44169</v>
      </c>
      <c r="B191" s="76">
        <v>70017119.379999995</v>
      </c>
      <c r="C191" s="78">
        <f t="shared" si="4"/>
        <v>8.9820776113786638E-2</v>
      </c>
      <c r="D191">
        <v>84</v>
      </c>
      <c r="F191" s="71"/>
      <c r="H191" s="127"/>
      <c r="I191" s="72">
        <v>44169</v>
      </c>
      <c r="J191" s="76">
        <v>1089171.31</v>
      </c>
      <c r="K191" s="78">
        <f t="shared" si="5"/>
        <v>3.3039056458807274E-2</v>
      </c>
      <c r="L191">
        <v>84</v>
      </c>
      <c r="M191" s="74"/>
      <c r="N191" s="71"/>
      <c r="P191" s="127"/>
    </row>
    <row r="192" spans="1:16" ht="12.75">
      <c r="A192" s="72">
        <v>44172</v>
      </c>
      <c r="B192" s="73">
        <v>69910599.75</v>
      </c>
      <c r="C192" s="78">
        <f t="shared" si="4"/>
        <v>8.7861868242631189E-2</v>
      </c>
      <c r="D192">
        <v>83</v>
      </c>
      <c r="F192" s="71"/>
      <c r="H192" s="127"/>
      <c r="I192" s="72">
        <v>44172</v>
      </c>
      <c r="J192" s="73">
        <v>1088171.31</v>
      </c>
      <c r="K192" s="78">
        <f t="shared" si="5"/>
        <v>3.2482301764884453E-2</v>
      </c>
      <c r="L192">
        <v>83</v>
      </c>
      <c r="M192" s="74"/>
      <c r="N192" s="71"/>
      <c r="P192" s="127"/>
    </row>
    <row r="193" spans="1:16" ht="12.75">
      <c r="A193" s="72">
        <v>44173</v>
      </c>
      <c r="B193" s="73">
        <v>69864586.930000007</v>
      </c>
      <c r="C193" s="78">
        <f t="shared" si="4"/>
        <v>7.3800343010237648E-2</v>
      </c>
      <c r="D193">
        <v>82</v>
      </c>
      <c r="F193" s="71"/>
      <c r="H193" s="127"/>
      <c r="I193" s="72">
        <v>44173</v>
      </c>
      <c r="J193" s="73">
        <v>1088171.31</v>
      </c>
      <c r="K193" s="78">
        <f t="shared" si="5"/>
        <v>3.0735648095867037E-2</v>
      </c>
      <c r="L193">
        <v>82</v>
      </c>
      <c r="M193" s="74"/>
      <c r="N193" s="71"/>
      <c r="P193" s="127"/>
    </row>
    <row r="194" spans="1:16" ht="12.75">
      <c r="A194" s="72">
        <v>44174</v>
      </c>
      <c r="B194" s="73">
        <v>69850585.299999997</v>
      </c>
      <c r="C194" s="78">
        <f t="shared" si="4"/>
        <v>7.047386233381947E-2</v>
      </c>
      <c r="D194">
        <v>81</v>
      </c>
      <c r="F194" s="71"/>
      <c r="H194" s="127"/>
      <c r="I194" s="72">
        <v>44174</v>
      </c>
      <c r="J194" s="73">
        <v>1084576.31</v>
      </c>
      <c r="K194" s="78">
        <f t="shared" si="5"/>
        <v>1.5865941506499028E-2</v>
      </c>
      <c r="L194">
        <v>81</v>
      </c>
      <c r="M194" s="74"/>
      <c r="N194" s="71"/>
      <c r="P194" s="127"/>
    </row>
    <row r="195" spans="1:16" ht="12.75">
      <c r="A195" s="72">
        <v>44175</v>
      </c>
      <c r="B195" s="73">
        <v>69744897.819999993</v>
      </c>
      <c r="C195" s="78">
        <f t="shared" si="4"/>
        <v>6.7173725017195957E-2</v>
      </c>
      <c r="D195">
        <v>80</v>
      </c>
      <c r="F195" s="71"/>
      <c r="H195" s="127"/>
      <c r="I195" s="72">
        <v>44175</v>
      </c>
      <c r="J195" s="73">
        <v>1084476.31</v>
      </c>
      <c r="K195" s="78">
        <f t="shared" si="5"/>
        <v>1.3992125396081493E-2</v>
      </c>
      <c r="L195">
        <v>80</v>
      </c>
      <c r="M195" s="74"/>
      <c r="N195" s="71"/>
      <c r="P195" s="127"/>
    </row>
    <row r="196" spans="1:16" ht="12.75">
      <c r="A196" s="72">
        <v>44176</v>
      </c>
      <c r="B196" s="73">
        <v>69683470.310000002</v>
      </c>
      <c r="C196" s="78">
        <f t="shared" si="4"/>
        <v>6.0044844235544598E-2</v>
      </c>
      <c r="D196">
        <v>79</v>
      </c>
      <c r="F196" s="71"/>
      <c r="H196" s="127"/>
      <c r="I196" s="72">
        <v>44176</v>
      </c>
      <c r="J196" s="73">
        <v>1084476.31</v>
      </c>
      <c r="K196" s="78">
        <f t="shared" si="5"/>
        <v>1.1971213777696188E-2</v>
      </c>
      <c r="L196">
        <v>79</v>
      </c>
      <c r="M196" s="74"/>
      <c r="N196" s="71"/>
      <c r="P196" s="127"/>
    </row>
    <row r="197" spans="1:16" ht="12.75">
      <c r="A197" s="72">
        <v>44179</v>
      </c>
      <c r="B197" s="73">
        <v>69571052.760000005</v>
      </c>
      <c r="C197" s="78">
        <f t="shared" si="4"/>
        <v>3.5014403913248206E-2</v>
      </c>
      <c r="D197">
        <v>78</v>
      </c>
      <c r="F197" s="71"/>
      <c r="H197" s="127"/>
      <c r="I197" s="72">
        <v>44179</v>
      </c>
      <c r="J197" s="73">
        <v>1084476.31</v>
      </c>
      <c r="K197" s="78">
        <f t="shared" si="5"/>
        <v>3.7558690225936078E-3</v>
      </c>
      <c r="L197">
        <v>78</v>
      </c>
      <c r="M197" s="74"/>
      <c r="N197" s="71"/>
      <c r="P197" s="127"/>
    </row>
    <row r="198" spans="1:16" ht="12.75">
      <c r="A198" s="72">
        <v>44180</v>
      </c>
      <c r="B198" s="73">
        <v>69517375.25</v>
      </c>
      <c r="C198" s="78">
        <f t="shared" si="4"/>
        <v>-3.2242385273962698E-3</v>
      </c>
      <c r="D198">
        <v>77</v>
      </c>
      <c r="F198" s="71"/>
      <c r="H198" s="127"/>
      <c r="I198" s="72">
        <v>44180</v>
      </c>
      <c r="J198" s="73">
        <v>1084390.31</v>
      </c>
      <c r="K198" s="78">
        <f t="shared" si="5"/>
        <v>-2.6813676671103584E-2</v>
      </c>
      <c r="L198">
        <v>77</v>
      </c>
      <c r="M198" s="74"/>
      <c r="N198" s="71"/>
      <c r="P198" s="127"/>
    </row>
    <row r="199" spans="1:16" ht="12.75">
      <c r="A199" s="72">
        <v>44181</v>
      </c>
      <c r="B199" s="73">
        <v>69469422.709999993</v>
      </c>
      <c r="C199" s="78">
        <f t="shared" si="4"/>
        <v>-1.6113412793350566E-2</v>
      </c>
      <c r="D199">
        <v>76</v>
      </c>
      <c r="F199" s="71"/>
      <c r="H199" s="127"/>
      <c r="I199" s="72">
        <v>44181</v>
      </c>
      <c r="J199" s="73">
        <v>1084370.31</v>
      </c>
      <c r="K199" s="78">
        <f t="shared" si="5"/>
        <v>-3.3716457485443121E-2</v>
      </c>
      <c r="L199">
        <v>76</v>
      </c>
      <c r="M199" s="74"/>
      <c r="N199" s="71"/>
      <c r="P199" s="127"/>
    </row>
    <row r="200" spans="1:16" ht="12.75">
      <c r="A200" s="72">
        <v>44182</v>
      </c>
      <c r="B200" s="73">
        <v>69433048.260000005</v>
      </c>
      <c r="C200" s="78">
        <f t="shared" si="4"/>
        <v>-2.0691880430543295E-2</v>
      </c>
      <c r="D200">
        <v>75</v>
      </c>
      <c r="F200" s="71"/>
      <c r="H200" s="127"/>
      <c r="I200" s="72">
        <v>44182</v>
      </c>
      <c r="J200" s="73">
        <v>1084370.31</v>
      </c>
      <c r="K200" s="78">
        <f t="shared" si="5"/>
        <v>-3.06223294339814E-2</v>
      </c>
      <c r="L200">
        <v>75</v>
      </c>
      <c r="M200" s="74"/>
      <c r="N200" s="71"/>
      <c r="P200" s="127"/>
    </row>
    <row r="201" spans="1:16" ht="12.75">
      <c r="A201" s="72">
        <v>44183</v>
      </c>
      <c r="B201" s="73">
        <v>69402884</v>
      </c>
      <c r="C201" s="78">
        <f t="shared" si="4"/>
        <v>-2.327405008504484E-2</v>
      </c>
      <c r="D201">
        <v>74</v>
      </c>
      <c r="F201" s="71"/>
      <c r="H201" s="127"/>
      <c r="I201" s="72">
        <v>44183</v>
      </c>
      <c r="J201" s="73">
        <v>1084370.31</v>
      </c>
      <c r="K201" s="78">
        <f t="shared" si="5"/>
        <v>-3.2313856159154088E-2</v>
      </c>
      <c r="L201">
        <v>74</v>
      </c>
      <c r="M201" s="74"/>
      <c r="N201" s="71"/>
      <c r="P201" s="127"/>
    </row>
    <row r="202" spans="1:16" ht="12.75">
      <c r="A202" s="72">
        <v>44186</v>
      </c>
      <c r="B202" s="73">
        <v>69368162.930000007</v>
      </c>
      <c r="C202" s="78">
        <f t="shared" si="4"/>
        <v>-2.3638724741005892E-2</v>
      </c>
      <c r="D202">
        <v>73</v>
      </c>
      <c r="F202" s="71"/>
      <c r="H202" s="127"/>
      <c r="I202" s="72">
        <v>44186</v>
      </c>
      <c r="J202" s="73">
        <v>1084370.31</v>
      </c>
      <c r="K202" s="78">
        <f t="shared" si="5"/>
        <v>-3.0248178036928933E-2</v>
      </c>
      <c r="L202">
        <v>73</v>
      </c>
      <c r="M202" s="74"/>
      <c r="N202" s="71"/>
      <c r="P202" s="127"/>
    </row>
    <row r="203" spans="1:16" ht="12.75">
      <c r="A203" s="72">
        <v>44187</v>
      </c>
      <c r="B203" s="73">
        <v>69334824.099999994</v>
      </c>
      <c r="C203" s="78">
        <f t="shared" si="4"/>
        <v>-2.2975560540729786E-2</v>
      </c>
      <c r="D203">
        <v>72</v>
      </c>
      <c r="F203" s="71"/>
      <c r="H203" s="127"/>
      <c r="I203" s="72">
        <v>44187</v>
      </c>
      <c r="J203" s="73">
        <v>1084370.31</v>
      </c>
      <c r="K203" s="78">
        <f t="shared" si="5"/>
        <v>-2.9387850719881526E-2</v>
      </c>
      <c r="L203">
        <v>72</v>
      </c>
      <c r="M203" s="74"/>
      <c r="N203" s="71"/>
      <c r="P203" s="127"/>
    </row>
    <row r="204" spans="1:16" ht="12.75">
      <c r="A204" s="72">
        <v>44188</v>
      </c>
      <c r="B204" s="73">
        <v>69331801.859999999</v>
      </c>
      <c r="C204" s="78">
        <f t="shared" si="4"/>
        <v>-2.0946039175320993E-2</v>
      </c>
      <c r="D204">
        <v>71</v>
      </c>
      <c r="F204" s="71"/>
      <c r="H204" s="127"/>
      <c r="I204" s="72">
        <v>44188</v>
      </c>
      <c r="J204" s="73">
        <v>1084370.31</v>
      </c>
      <c r="K204" s="78">
        <f t="shared" si="5"/>
        <v>-2.4547611224047285E-2</v>
      </c>
      <c r="L204">
        <v>71</v>
      </c>
      <c r="M204" s="74"/>
      <c r="N204" s="71"/>
      <c r="P204" s="127"/>
    </row>
    <row r="205" spans="1:16" ht="12.75">
      <c r="A205" s="72">
        <v>44189</v>
      </c>
      <c r="B205" s="73">
        <v>69331801.859999999</v>
      </c>
      <c r="C205" s="78">
        <f t="shared" si="4"/>
        <v>-1.9639968559402469E-2</v>
      </c>
      <c r="D205">
        <v>70</v>
      </c>
      <c r="F205" s="71"/>
      <c r="H205" s="127"/>
      <c r="I205" s="72">
        <v>44189</v>
      </c>
      <c r="J205" s="73">
        <v>1084370.31</v>
      </c>
      <c r="K205" s="78">
        <f t="shared" si="5"/>
        <v>-2.2143562922347735E-2</v>
      </c>
      <c r="L205">
        <v>70</v>
      </c>
      <c r="M205" s="74"/>
      <c r="N205" s="71"/>
      <c r="P205" s="127"/>
    </row>
    <row r="206" spans="1:16" ht="12.75">
      <c r="A206" s="72">
        <v>44190</v>
      </c>
      <c r="B206" s="73">
        <v>69331799.359999999</v>
      </c>
      <c r="C206" s="78">
        <f t="shared" si="4"/>
        <v>-1.6972357955160049E-2</v>
      </c>
      <c r="D206">
        <v>69</v>
      </c>
      <c r="F206" s="71"/>
      <c r="H206" s="127"/>
      <c r="I206" s="72">
        <v>44190</v>
      </c>
      <c r="J206" s="73">
        <v>1084370.31</v>
      </c>
      <c r="K206" s="78">
        <f t="shared" si="5"/>
        <v>-1.9747006806291458E-2</v>
      </c>
      <c r="L206">
        <v>69</v>
      </c>
      <c r="M206" s="74"/>
      <c r="N206" s="71"/>
      <c r="P206" s="127"/>
    </row>
    <row r="207" spans="1:16" ht="12.75">
      <c r="A207" s="72">
        <v>44193</v>
      </c>
      <c r="B207" s="73">
        <v>69241553.760000005</v>
      </c>
      <c r="C207" s="78">
        <f t="shared" si="4"/>
        <v>-1.3128199782151791E-2</v>
      </c>
      <c r="D207">
        <v>68</v>
      </c>
      <c r="F207" s="71"/>
      <c r="H207" s="127"/>
      <c r="I207" s="72">
        <v>44193</v>
      </c>
      <c r="J207" s="73">
        <v>1079370.31</v>
      </c>
      <c r="K207" s="78">
        <f t="shared" si="5"/>
        <v>-2.3384080092887592E-2</v>
      </c>
      <c r="L207">
        <v>68</v>
      </c>
      <c r="M207" s="74"/>
      <c r="N207" s="71"/>
      <c r="P207" s="127"/>
    </row>
    <row r="208" spans="1:16" ht="12.75">
      <c r="A208" s="72">
        <v>44194</v>
      </c>
      <c r="B208" s="73">
        <v>69168244.829999998</v>
      </c>
      <c r="C208" s="78">
        <f t="shared" si="4"/>
        <v>-1.5938310097823778E-2</v>
      </c>
      <c r="D208">
        <v>67</v>
      </c>
      <c r="F208" s="71"/>
      <c r="H208" s="127"/>
      <c r="I208" s="72">
        <v>44194</v>
      </c>
      <c r="J208" s="73">
        <v>1079370.31</v>
      </c>
      <c r="K208" s="78">
        <f t="shared" si="5"/>
        <v>-1.8891797168069619E-2</v>
      </c>
      <c r="L208">
        <v>67</v>
      </c>
      <c r="M208" s="74"/>
      <c r="N208" s="71"/>
      <c r="P208" s="127"/>
    </row>
    <row r="209" spans="1:16" ht="12.75">
      <c r="A209" s="72">
        <v>44195</v>
      </c>
      <c r="B209" s="73">
        <v>69179443.260000005</v>
      </c>
      <c r="C209" s="78">
        <f t="shared" si="4"/>
        <v>-1.370999379061558E-2</v>
      </c>
      <c r="D209">
        <v>66</v>
      </c>
      <c r="F209" s="71"/>
      <c r="H209" s="127"/>
      <c r="I209" s="72">
        <v>44195</v>
      </c>
      <c r="J209" s="73">
        <v>1079370.31</v>
      </c>
      <c r="K209" s="78">
        <f t="shared" si="5"/>
        <v>-1.876665393743332E-2</v>
      </c>
      <c r="L209">
        <v>66</v>
      </c>
      <c r="M209" s="74"/>
      <c r="N209" s="71"/>
      <c r="P209" s="127"/>
    </row>
    <row r="210" spans="1:16" ht="12.75">
      <c r="A210" s="72">
        <v>44196</v>
      </c>
      <c r="B210" s="73">
        <v>69491595.010000005</v>
      </c>
      <c r="C210" s="78">
        <f t="shared" si="4"/>
        <v>-9.0549394612552663E-3</v>
      </c>
      <c r="D210">
        <v>65</v>
      </c>
      <c r="F210" s="71"/>
      <c r="H210" s="127"/>
      <c r="I210" s="72">
        <v>44196</v>
      </c>
      <c r="J210" s="73">
        <v>1078952.25</v>
      </c>
      <c r="K210" s="78">
        <f t="shared" si="5"/>
        <v>-1.5997936842128597E-2</v>
      </c>
      <c r="L210">
        <v>65</v>
      </c>
      <c r="M210" s="74"/>
      <c r="N210" s="71"/>
      <c r="P210" s="127"/>
    </row>
    <row r="211" spans="1:16" ht="12.75">
      <c r="A211" s="72">
        <v>44197</v>
      </c>
      <c r="B211" s="73">
        <v>69491582.510000005</v>
      </c>
      <c r="C211" s="78">
        <f t="shared" si="4"/>
        <v>-8.3250319394621818E-3</v>
      </c>
      <c r="D211">
        <v>64</v>
      </c>
      <c r="F211" s="71"/>
      <c r="H211" s="127"/>
      <c r="I211" s="72">
        <v>44197</v>
      </c>
      <c r="J211" s="73">
        <v>1078952.25</v>
      </c>
      <c r="K211" s="78">
        <f t="shared" si="5"/>
        <v>-9.4458430482399162E-3</v>
      </c>
      <c r="L211">
        <v>64</v>
      </c>
      <c r="M211" s="74"/>
      <c r="N211" s="71"/>
      <c r="P211" s="127"/>
    </row>
    <row r="212" spans="1:16" ht="12.75">
      <c r="A212" s="72">
        <v>44200</v>
      </c>
      <c r="B212" s="76">
        <v>69222921.280000001</v>
      </c>
      <c r="C212" s="78">
        <f t="shared" si="4"/>
        <v>-1.1342913090864066E-2</v>
      </c>
      <c r="D212">
        <v>63</v>
      </c>
      <c r="F212" s="71"/>
      <c r="H212" s="127"/>
      <c r="I212" s="72">
        <v>44200</v>
      </c>
      <c r="J212" s="76">
        <v>1078542.25</v>
      </c>
      <c r="K212" s="78">
        <f t="shared" si="5"/>
        <v>-9.7588505154437601E-3</v>
      </c>
      <c r="L212">
        <v>63</v>
      </c>
      <c r="M212" s="74"/>
      <c r="N212" s="71"/>
      <c r="P212" s="127"/>
    </row>
    <row r="213" spans="1:16" ht="12.75">
      <c r="A213" s="72">
        <v>44201</v>
      </c>
      <c r="B213" s="76">
        <v>69052857.409999996</v>
      </c>
      <c r="C213" s="78">
        <f t="shared" si="4"/>
        <v>-1.2269131477448148E-2</v>
      </c>
      <c r="D213">
        <v>62</v>
      </c>
      <c r="F213" s="71"/>
      <c r="H213" s="127"/>
      <c r="I213" s="72">
        <v>44201</v>
      </c>
      <c r="J213" s="76">
        <v>1076756.3600000001</v>
      </c>
      <c r="K213" s="78">
        <f t="shared" si="5"/>
        <v>-1.0490030287602375E-2</v>
      </c>
      <c r="L213">
        <v>62</v>
      </c>
      <c r="M213" s="74"/>
      <c r="N213" s="71"/>
      <c r="P213" s="127"/>
    </row>
    <row r="214" spans="1:16" ht="12.75">
      <c r="A214" s="72">
        <v>44202</v>
      </c>
      <c r="B214" s="73">
        <v>68777807.280000001</v>
      </c>
      <c r="C214" s="78">
        <f t="shared" si="4"/>
        <v>-1.5555515286863313E-2</v>
      </c>
      <c r="D214">
        <v>61</v>
      </c>
      <c r="F214" s="71"/>
      <c r="H214" s="127"/>
      <c r="I214" s="72">
        <v>44202</v>
      </c>
      <c r="J214" s="73">
        <v>1075366.3600000001</v>
      </c>
      <c r="K214" s="78">
        <f t="shared" si="5"/>
        <v>-1.1767402689563606E-2</v>
      </c>
      <c r="L214">
        <v>61</v>
      </c>
      <c r="M214" s="74"/>
      <c r="N214" s="71"/>
      <c r="P214" s="127"/>
    </row>
    <row r="215" spans="1:16" ht="12.75">
      <c r="A215" s="72">
        <v>44203</v>
      </c>
      <c r="B215" s="73">
        <v>68724613.629999995</v>
      </c>
      <c r="C215" s="78">
        <f t="shared" ref="C215:C274" si="6">(B215-B194)/B194</f>
        <v>-1.6119717038362482E-2</v>
      </c>
      <c r="D215">
        <v>60</v>
      </c>
      <c r="F215" s="71"/>
      <c r="H215" s="127"/>
      <c r="I215" s="72">
        <v>44203</v>
      </c>
      <c r="J215" s="73">
        <v>1075346.3600000001</v>
      </c>
      <c r="K215" s="78">
        <f t="shared" ref="K215:K274" si="7">(J215-J194)/J194</f>
        <v>-8.5101895688648715E-3</v>
      </c>
      <c r="L215">
        <v>60</v>
      </c>
      <c r="M215" s="74"/>
      <c r="N215" s="71"/>
      <c r="P215" s="127"/>
    </row>
    <row r="216" spans="1:16" ht="12.75">
      <c r="A216" s="72">
        <v>44204</v>
      </c>
      <c r="B216" s="73">
        <v>68638259.25</v>
      </c>
      <c r="C216" s="78">
        <f t="shared" si="6"/>
        <v>-1.5866946609571976E-2</v>
      </c>
      <c r="D216">
        <v>59</v>
      </c>
      <c r="F216" s="71"/>
      <c r="H216" s="127"/>
      <c r="I216" s="72">
        <v>44204</v>
      </c>
      <c r="J216" s="73">
        <v>1075346.3600000001</v>
      </c>
      <c r="K216" s="78">
        <f t="shared" si="7"/>
        <v>-8.4187638916703982E-3</v>
      </c>
      <c r="L216">
        <v>59</v>
      </c>
      <c r="M216" s="74"/>
      <c r="N216" s="71"/>
      <c r="P216" s="127"/>
    </row>
    <row r="217" spans="1:16" ht="12.75">
      <c r="A217" s="72">
        <v>44207</v>
      </c>
      <c r="B217" s="73">
        <v>68452541.209999993</v>
      </c>
      <c r="C217" s="78">
        <f t="shared" si="6"/>
        <v>-1.766457804876809E-2</v>
      </c>
      <c r="D217">
        <v>58</v>
      </c>
      <c r="F217" s="71"/>
      <c r="H217" s="127"/>
      <c r="I217" s="72">
        <v>44207</v>
      </c>
      <c r="J217" s="73">
        <v>1075146.3600000001</v>
      </c>
      <c r="K217" s="78">
        <f t="shared" si="7"/>
        <v>-8.6031847021166858E-3</v>
      </c>
      <c r="L217">
        <v>58</v>
      </c>
      <c r="M217" s="74"/>
      <c r="N217" s="71"/>
      <c r="P217" s="127"/>
    </row>
    <row r="218" spans="1:16" ht="12.75">
      <c r="A218" s="72">
        <v>44208</v>
      </c>
      <c r="B218" s="73">
        <v>68290117.180000007</v>
      </c>
      <c r="C218" s="78">
        <f t="shared" si="6"/>
        <v>-1.8411904508888993E-2</v>
      </c>
      <c r="D218">
        <v>57</v>
      </c>
      <c r="F218" s="71"/>
      <c r="H218" s="127"/>
      <c r="I218" s="72">
        <v>44208</v>
      </c>
      <c r="J218" s="73">
        <v>1074646.3600000001</v>
      </c>
      <c r="K218" s="78">
        <f t="shared" si="7"/>
        <v>-9.0642367282324065E-3</v>
      </c>
      <c r="L218">
        <v>57</v>
      </c>
      <c r="M218" s="74"/>
      <c r="N218" s="71"/>
      <c r="P218" s="127"/>
    </row>
    <row r="219" spans="1:16" ht="12.75">
      <c r="A219" s="72">
        <v>44209</v>
      </c>
      <c r="B219" s="73">
        <v>68174619.930000007</v>
      </c>
      <c r="C219" s="78">
        <f t="shared" si="6"/>
        <v>-1.9315391514296173E-2</v>
      </c>
      <c r="D219">
        <v>56</v>
      </c>
      <c r="F219" s="71"/>
      <c r="H219" s="127"/>
      <c r="I219" s="72">
        <v>44209</v>
      </c>
      <c r="J219" s="73">
        <v>1074646.3600000001</v>
      </c>
      <c r="K219" s="78">
        <f t="shared" si="7"/>
        <v>-8.9856483501774866E-3</v>
      </c>
      <c r="L219">
        <v>56</v>
      </c>
      <c r="M219" s="74"/>
      <c r="N219" s="71"/>
      <c r="P219" s="127"/>
    </row>
    <row r="220" spans="1:16" ht="12.75">
      <c r="A220" s="72">
        <v>44210</v>
      </c>
      <c r="B220" s="73">
        <v>68142965.519999996</v>
      </c>
      <c r="C220" s="78">
        <f t="shared" si="6"/>
        <v>-1.9094115630372967E-2</v>
      </c>
      <c r="D220">
        <v>55</v>
      </c>
      <c r="F220" s="71"/>
      <c r="H220" s="127"/>
      <c r="I220" s="72">
        <v>44210</v>
      </c>
      <c r="J220" s="73">
        <v>1074646.3600000001</v>
      </c>
      <c r="K220" s="78">
        <f t="shared" si="7"/>
        <v>-8.9673701966258672E-3</v>
      </c>
      <c r="L220">
        <v>55</v>
      </c>
      <c r="M220" s="74"/>
      <c r="N220" s="71"/>
      <c r="P220" s="127"/>
    </row>
    <row r="221" spans="1:16" ht="12.75">
      <c r="A221" s="72">
        <v>44211</v>
      </c>
      <c r="B221" s="73">
        <v>68112308.269999996</v>
      </c>
      <c r="C221" s="78">
        <f t="shared" si="6"/>
        <v>-1.9021777425849824E-2</v>
      </c>
      <c r="D221">
        <v>54</v>
      </c>
      <c r="F221" s="71"/>
      <c r="H221" s="127"/>
      <c r="I221" s="72">
        <v>44211</v>
      </c>
      <c r="J221" s="73">
        <v>1074646.3600000001</v>
      </c>
      <c r="K221" s="78">
        <f t="shared" si="7"/>
        <v>-8.9673701966258672E-3</v>
      </c>
      <c r="L221">
        <v>54</v>
      </c>
      <c r="M221" s="74"/>
      <c r="N221" s="71"/>
      <c r="P221" s="127"/>
    </row>
    <row r="222" spans="1:16" ht="12.75">
      <c r="A222" s="72">
        <v>44214</v>
      </c>
      <c r="B222" s="73">
        <v>68041330.099999994</v>
      </c>
      <c r="C222" s="78">
        <f t="shared" si="6"/>
        <v>-1.9618117022341692E-2</v>
      </c>
      <c r="D222">
        <v>53</v>
      </c>
      <c r="F222" s="71"/>
      <c r="H222" s="127"/>
      <c r="I222" s="72">
        <v>44214</v>
      </c>
      <c r="J222" s="73">
        <v>1074646.3600000001</v>
      </c>
      <c r="K222" s="78">
        <f t="shared" si="7"/>
        <v>-8.9673701966258672E-3</v>
      </c>
      <c r="L222">
        <v>53</v>
      </c>
      <c r="M222" s="74"/>
      <c r="N222" s="71"/>
      <c r="P222" s="127"/>
    </row>
    <row r="223" spans="1:16" ht="12.75">
      <c r="A223" s="72">
        <v>44215</v>
      </c>
      <c r="B223" s="73">
        <v>67965524.609999999</v>
      </c>
      <c r="C223" s="78">
        <f t="shared" si="6"/>
        <v>-2.0220202766727754E-2</v>
      </c>
      <c r="D223">
        <v>52</v>
      </c>
      <c r="F223" s="71"/>
      <c r="H223" s="127"/>
      <c r="I223" s="72">
        <v>44215</v>
      </c>
      <c r="J223" s="73">
        <v>1073232.28</v>
      </c>
      <c r="K223" s="78">
        <f t="shared" si="7"/>
        <v>-1.0271426557224742E-2</v>
      </c>
      <c r="L223">
        <v>52</v>
      </c>
      <c r="M223" s="74"/>
      <c r="N223" s="71"/>
      <c r="P223" s="127"/>
    </row>
    <row r="224" spans="1:16" ht="12.75">
      <c r="A224" s="72">
        <v>44216</v>
      </c>
      <c r="B224" s="73">
        <v>67946248.780000001</v>
      </c>
      <c r="C224" s="78">
        <f t="shared" si="6"/>
        <v>-2.0027098042352903E-2</v>
      </c>
      <c r="D224">
        <v>51</v>
      </c>
      <c r="F224" s="71"/>
      <c r="H224" s="127"/>
      <c r="I224" s="72">
        <v>44216</v>
      </c>
      <c r="J224" s="73">
        <v>1067803.1000000001</v>
      </c>
      <c r="K224" s="78">
        <f t="shared" si="7"/>
        <v>-1.5278184811238479E-2</v>
      </c>
      <c r="L224">
        <v>51</v>
      </c>
      <c r="M224" s="74"/>
      <c r="N224" s="71"/>
      <c r="P224" s="127"/>
    </row>
    <row r="225" spans="1:16" ht="12.75">
      <c r="A225" s="72">
        <v>44217</v>
      </c>
      <c r="B225" s="73">
        <v>67996713.370000005</v>
      </c>
      <c r="C225" s="78">
        <f t="shared" si="6"/>
        <v>-1.9256509338902023E-2</v>
      </c>
      <c r="D225">
        <v>50</v>
      </c>
      <c r="F225" s="71"/>
      <c r="H225" s="127"/>
      <c r="I225" s="72">
        <v>44217</v>
      </c>
      <c r="J225" s="73">
        <v>1055943.27</v>
      </c>
      <c r="K225" s="78">
        <f t="shared" si="7"/>
        <v>-2.6215251135011282E-2</v>
      </c>
      <c r="L225">
        <v>50</v>
      </c>
      <c r="M225" s="74"/>
      <c r="N225" s="71"/>
      <c r="P225" s="127"/>
    </row>
    <row r="226" spans="1:16" ht="12.75">
      <c r="A226" s="72">
        <v>44218</v>
      </c>
      <c r="B226" s="73">
        <v>67965772</v>
      </c>
      <c r="C226" s="78">
        <f t="shared" si="6"/>
        <v>-1.9702788956190549E-2</v>
      </c>
      <c r="D226">
        <v>49</v>
      </c>
      <c r="F226" s="71"/>
      <c r="H226" s="127"/>
      <c r="I226" s="72">
        <v>44218</v>
      </c>
      <c r="J226" s="73">
        <v>1055713.27</v>
      </c>
      <c r="K226" s="78">
        <f t="shared" si="7"/>
        <v>-2.642735579877693E-2</v>
      </c>
      <c r="L226">
        <v>49</v>
      </c>
      <c r="M226" s="74"/>
      <c r="N226" s="71"/>
      <c r="P226" s="127"/>
    </row>
    <row r="227" spans="1:16" ht="12.75">
      <c r="A227" s="72">
        <v>44221</v>
      </c>
      <c r="B227" s="73">
        <v>67773438.920000002</v>
      </c>
      <c r="C227" s="78">
        <f t="shared" si="6"/>
        <v>-2.2476849791656664E-2</v>
      </c>
      <c r="D227">
        <v>48</v>
      </c>
      <c r="F227" s="71"/>
      <c r="H227" s="127"/>
      <c r="I227" s="72">
        <v>44221</v>
      </c>
      <c r="J227" s="73">
        <v>1055713.27</v>
      </c>
      <c r="K227" s="78">
        <f t="shared" si="7"/>
        <v>-2.642735579877693E-2</v>
      </c>
      <c r="L227">
        <v>48</v>
      </c>
      <c r="M227" s="74"/>
      <c r="N227" s="71"/>
      <c r="P227" s="127"/>
    </row>
    <row r="228" spans="1:16" ht="12.75">
      <c r="A228" s="72">
        <v>44222</v>
      </c>
      <c r="B228" s="73">
        <v>67718917.469999999</v>
      </c>
      <c r="C228" s="78">
        <f t="shared" si="6"/>
        <v>-2.1990209741359311E-2</v>
      </c>
      <c r="D228">
        <v>47</v>
      </c>
      <c r="F228" s="71"/>
      <c r="H228" s="127"/>
      <c r="I228" s="72">
        <v>44222</v>
      </c>
      <c r="J228" s="73">
        <v>1053940.51</v>
      </c>
      <c r="K228" s="78">
        <f t="shared" si="7"/>
        <v>-2.3559847592991554E-2</v>
      </c>
      <c r="L228">
        <v>47</v>
      </c>
      <c r="M228" s="74"/>
      <c r="N228" s="71"/>
      <c r="P228" s="127"/>
    </row>
    <row r="229" spans="1:16" ht="12.75">
      <c r="A229" s="72">
        <v>44223</v>
      </c>
      <c r="B229" s="73">
        <v>67700969.870000005</v>
      </c>
      <c r="C229" s="78">
        <f t="shared" si="6"/>
        <v>-2.1213129863367583E-2</v>
      </c>
      <c r="D229">
        <v>46</v>
      </c>
      <c r="F229" s="71"/>
      <c r="H229" s="127"/>
      <c r="I229" s="72">
        <v>44223</v>
      </c>
      <c r="J229" s="73">
        <v>1053939.6100000001</v>
      </c>
      <c r="K229" s="78">
        <f t="shared" si="7"/>
        <v>-2.3560681412480165E-2</v>
      </c>
      <c r="L229">
        <v>46</v>
      </c>
      <c r="M229" s="74"/>
      <c r="N229" s="71"/>
      <c r="P229" s="127"/>
    </row>
    <row r="230" spans="1:16" ht="12.75">
      <c r="A230" s="72">
        <v>44224</v>
      </c>
      <c r="B230" s="73">
        <v>67662691.25</v>
      </c>
      <c r="C230" s="78">
        <f t="shared" si="6"/>
        <v>-2.1924894716188054E-2</v>
      </c>
      <c r="D230">
        <v>45</v>
      </c>
      <c r="F230" s="71"/>
      <c r="H230" s="127"/>
      <c r="I230" s="72">
        <v>44224</v>
      </c>
      <c r="J230" s="73">
        <v>1053639.6100000001</v>
      </c>
      <c r="K230" s="78">
        <f t="shared" si="7"/>
        <v>-2.3838621242046162E-2</v>
      </c>
      <c r="L230">
        <v>45</v>
      </c>
      <c r="M230" s="74"/>
      <c r="N230" s="71"/>
      <c r="P230" s="127"/>
    </row>
    <row r="231" spans="1:16" ht="12.75">
      <c r="A231" s="72">
        <v>44225</v>
      </c>
      <c r="B231" s="73">
        <v>67669766.810000002</v>
      </c>
      <c r="C231" s="78">
        <f t="shared" si="6"/>
        <v>-2.6216525894071616E-2</v>
      </c>
      <c r="D231">
        <v>44</v>
      </c>
      <c r="F231" s="71"/>
      <c r="H231" s="127"/>
      <c r="I231" s="72">
        <v>44225</v>
      </c>
      <c r="J231" s="73">
        <v>1053639.6100000001</v>
      </c>
      <c r="K231" s="78">
        <f t="shared" si="7"/>
        <v>-2.3460389465798787E-2</v>
      </c>
      <c r="L231">
        <v>44</v>
      </c>
      <c r="M231" s="74"/>
      <c r="N231" s="71"/>
      <c r="P231" s="127"/>
    </row>
    <row r="232" spans="1:16" ht="12.75">
      <c r="A232" s="72">
        <v>44228</v>
      </c>
      <c r="B232" s="73">
        <v>67863378.439999998</v>
      </c>
      <c r="C232" s="78">
        <f t="shared" si="6"/>
        <v>-2.34302344426493E-2</v>
      </c>
      <c r="D232">
        <v>43</v>
      </c>
      <c r="F232" s="71"/>
      <c r="H232" s="127"/>
      <c r="I232" s="72">
        <v>44228</v>
      </c>
      <c r="J232" s="73">
        <v>1048101.69</v>
      </c>
      <c r="K232" s="78">
        <f t="shared" si="7"/>
        <v>-2.8593072585000916E-2</v>
      </c>
      <c r="L232">
        <v>43</v>
      </c>
      <c r="M232" s="74"/>
      <c r="N232" s="71"/>
      <c r="P232" s="127"/>
    </row>
    <row r="233" spans="1:16" ht="12.75">
      <c r="A233" s="72">
        <v>44229</v>
      </c>
      <c r="B233" s="76">
        <v>67801889.829999998</v>
      </c>
      <c r="C233" s="78">
        <f t="shared" si="6"/>
        <v>-2.052833691100768E-2</v>
      </c>
      <c r="D233">
        <v>42</v>
      </c>
      <c r="F233" s="71"/>
      <c r="H233" s="127"/>
      <c r="I233" s="72">
        <v>44229</v>
      </c>
      <c r="J233" s="76">
        <v>1048101.69</v>
      </c>
      <c r="K233" s="78">
        <f t="shared" si="7"/>
        <v>-2.8223799299471167E-2</v>
      </c>
      <c r="L233">
        <v>42</v>
      </c>
      <c r="M233" s="74"/>
      <c r="N233" s="71"/>
      <c r="P233" s="127"/>
    </row>
    <row r="234" spans="1:16" ht="12.75">
      <c r="A234" s="72">
        <v>44230</v>
      </c>
      <c r="B234" s="76">
        <v>67782455.099999994</v>
      </c>
      <c r="C234" s="78">
        <f t="shared" si="6"/>
        <v>-1.8397534260704281E-2</v>
      </c>
      <c r="D234">
        <v>41</v>
      </c>
      <c r="F234" s="71"/>
      <c r="H234" s="127"/>
      <c r="I234" s="72">
        <v>44230</v>
      </c>
      <c r="J234" s="76">
        <v>1047541.69</v>
      </c>
      <c r="K234" s="78">
        <f t="shared" si="7"/>
        <v>-2.7132108140044006E-2</v>
      </c>
      <c r="L234">
        <v>41</v>
      </c>
      <c r="M234" s="74"/>
      <c r="N234" s="71"/>
      <c r="P234" s="127"/>
    </row>
    <row r="235" spans="1:16" ht="12.75">
      <c r="A235" s="72">
        <v>44231</v>
      </c>
      <c r="B235" s="76">
        <v>67760422.980000004</v>
      </c>
      <c r="C235" s="78">
        <f t="shared" si="6"/>
        <v>-1.4792334042551597E-2</v>
      </c>
      <c r="D235">
        <v>40</v>
      </c>
      <c r="F235" s="71"/>
      <c r="H235" s="127"/>
      <c r="I235" s="72">
        <v>44231</v>
      </c>
      <c r="J235" s="76">
        <v>1047541.69</v>
      </c>
      <c r="K235" s="78">
        <f t="shared" si="7"/>
        <v>-2.5874595891208794E-2</v>
      </c>
      <c r="L235">
        <v>40</v>
      </c>
      <c r="M235" s="74"/>
      <c r="N235" s="71"/>
      <c r="P235" s="127"/>
    </row>
    <row r="236" spans="1:16" ht="12.75">
      <c r="A236" s="72">
        <v>44232</v>
      </c>
      <c r="B236" s="73">
        <v>67756885.25</v>
      </c>
      <c r="C236" s="78">
        <f t="shared" si="6"/>
        <v>-1.4081248753322315E-2</v>
      </c>
      <c r="D236">
        <v>39</v>
      </c>
      <c r="F236" s="71"/>
      <c r="H236" s="127"/>
      <c r="I236" s="72">
        <v>44232</v>
      </c>
      <c r="J236" s="73">
        <v>1043502.58</v>
      </c>
      <c r="K236" s="78">
        <f t="shared" si="7"/>
        <v>-2.9612579894723538E-2</v>
      </c>
      <c r="L236">
        <v>39</v>
      </c>
      <c r="M236" s="74"/>
      <c r="N236" s="71"/>
      <c r="P236" s="127"/>
    </row>
    <row r="237" spans="1:16" ht="12.75">
      <c r="A237" s="72">
        <v>44235</v>
      </c>
      <c r="B237" s="73">
        <v>67723604.680000007</v>
      </c>
      <c r="C237" s="78">
        <f t="shared" si="6"/>
        <v>-1.3325725040149424E-2</v>
      </c>
      <c r="D237">
        <v>38</v>
      </c>
      <c r="F237" s="71"/>
      <c r="H237" s="127"/>
      <c r="I237" s="72">
        <v>44235</v>
      </c>
      <c r="J237" s="73">
        <v>1043502.58</v>
      </c>
      <c r="K237" s="78">
        <f t="shared" si="7"/>
        <v>-2.9612579894723538E-2</v>
      </c>
      <c r="L237">
        <v>38</v>
      </c>
      <c r="M237" s="74"/>
      <c r="N237" s="71"/>
      <c r="P237" s="127"/>
    </row>
    <row r="238" spans="1:16" ht="12.75">
      <c r="A238" s="72">
        <v>44236</v>
      </c>
      <c r="B238" s="73">
        <v>67631066</v>
      </c>
      <c r="C238" s="78">
        <f t="shared" si="6"/>
        <v>-1.2000653233308846E-2</v>
      </c>
      <c r="D238">
        <v>37</v>
      </c>
      <c r="F238" s="71"/>
      <c r="H238" s="127"/>
      <c r="I238" s="72">
        <v>44236</v>
      </c>
      <c r="J238" s="73">
        <v>1043396.99</v>
      </c>
      <c r="K238" s="78">
        <f t="shared" si="7"/>
        <v>-2.9530277161520697E-2</v>
      </c>
      <c r="L238">
        <v>37</v>
      </c>
      <c r="M238" s="74"/>
      <c r="N238" s="71"/>
      <c r="P238" s="127"/>
    </row>
    <row r="239" spans="1:16" ht="12.75">
      <c r="A239" s="72">
        <v>44237</v>
      </c>
      <c r="B239" s="73">
        <v>67610278.359999999</v>
      </c>
      <c r="C239" s="78">
        <f t="shared" si="6"/>
        <v>-9.9551567353161723E-3</v>
      </c>
      <c r="D239">
        <v>36</v>
      </c>
      <c r="F239" s="71"/>
      <c r="H239" s="127"/>
      <c r="I239" s="72">
        <v>44237</v>
      </c>
      <c r="J239" s="73">
        <v>1043396.99</v>
      </c>
      <c r="K239" s="78">
        <f t="shared" si="7"/>
        <v>-2.9078747356479306E-2</v>
      </c>
      <c r="L239">
        <v>36</v>
      </c>
      <c r="M239" s="74"/>
      <c r="N239" s="71"/>
      <c r="P239" s="127"/>
    </row>
    <row r="240" spans="1:16" ht="12.75">
      <c r="A240" s="72">
        <v>44238</v>
      </c>
      <c r="B240" s="73">
        <v>67616956.450000003</v>
      </c>
      <c r="C240" s="78">
        <f t="shared" si="6"/>
        <v>-8.1799279639930382E-3</v>
      </c>
      <c r="D240">
        <v>35</v>
      </c>
      <c r="F240" s="71"/>
      <c r="H240" s="127"/>
      <c r="I240" s="72">
        <v>44238</v>
      </c>
      <c r="J240" s="73">
        <v>1043396.99</v>
      </c>
      <c r="K240" s="78">
        <f t="shared" si="7"/>
        <v>-2.9078747356479306E-2</v>
      </c>
      <c r="L240">
        <v>35</v>
      </c>
      <c r="M240" s="74"/>
      <c r="N240" s="71"/>
      <c r="P240" s="127"/>
    </row>
    <row r="241" spans="1:16" ht="12.75">
      <c r="A241" s="72">
        <v>44239</v>
      </c>
      <c r="B241" s="73">
        <v>67607934.75</v>
      </c>
      <c r="C241" s="78">
        <f t="shared" si="6"/>
        <v>-7.8515921037067872E-3</v>
      </c>
      <c r="D241">
        <v>34</v>
      </c>
      <c r="F241" s="71"/>
      <c r="H241" s="127"/>
      <c r="I241" s="72">
        <v>44239</v>
      </c>
      <c r="J241" s="73">
        <v>1043383.06</v>
      </c>
      <c r="K241" s="78">
        <f t="shared" si="7"/>
        <v>-2.909170976022293E-2</v>
      </c>
      <c r="L241">
        <v>34</v>
      </c>
      <c r="M241" s="74"/>
      <c r="N241" s="71"/>
      <c r="P241" s="127"/>
    </row>
    <row r="242" spans="1:16" ht="12.75">
      <c r="A242" s="72">
        <v>44242</v>
      </c>
      <c r="B242" s="73">
        <v>67591040.409999996</v>
      </c>
      <c r="C242" s="78">
        <f t="shared" si="6"/>
        <v>-7.6530640825395631E-3</v>
      </c>
      <c r="D242">
        <v>33</v>
      </c>
      <c r="F242" s="71"/>
      <c r="H242" s="127"/>
      <c r="I242" s="72">
        <v>44242</v>
      </c>
      <c r="J242" s="73">
        <v>1042133.06</v>
      </c>
      <c r="K242" s="78">
        <f t="shared" si="7"/>
        <v>-3.0254883104056707E-2</v>
      </c>
      <c r="L242">
        <v>33</v>
      </c>
      <c r="M242" s="74"/>
      <c r="N242" s="71"/>
      <c r="P242" s="127"/>
    </row>
    <row r="243" spans="1:16" ht="12.75">
      <c r="A243" s="72">
        <v>44243</v>
      </c>
      <c r="B243" s="73">
        <v>67551238.739999995</v>
      </c>
      <c r="C243" s="78">
        <f t="shared" si="6"/>
        <v>-7.2028480231017622E-3</v>
      </c>
      <c r="D243">
        <v>32</v>
      </c>
      <c r="F243" s="71"/>
      <c r="H243" s="127"/>
      <c r="I243" s="72">
        <v>44243</v>
      </c>
      <c r="J243" s="73">
        <v>1042133.06</v>
      </c>
      <c r="K243" s="78">
        <f t="shared" si="7"/>
        <v>-3.0254883104056707E-2</v>
      </c>
      <c r="L243">
        <v>32</v>
      </c>
      <c r="M243" s="74"/>
      <c r="N243" s="71"/>
      <c r="P243" s="127"/>
    </row>
    <row r="244" spans="1:16" ht="12.75">
      <c r="A244" s="72">
        <v>44244</v>
      </c>
      <c r="B244" s="73">
        <v>67517598.340000004</v>
      </c>
      <c r="C244" s="78">
        <f t="shared" si="6"/>
        <v>-6.5904923499125155E-3</v>
      </c>
      <c r="D244">
        <v>31</v>
      </c>
      <c r="F244" s="71"/>
      <c r="H244" s="127"/>
      <c r="I244" s="72">
        <v>44244</v>
      </c>
      <c r="J244" s="73">
        <v>1042133.06</v>
      </c>
      <c r="K244" s="78">
        <f t="shared" si="7"/>
        <v>-2.8977156743738616E-2</v>
      </c>
      <c r="L244">
        <v>31</v>
      </c>
      <c r="M244" s="74"/>
      <c r="N244" s="71"/>
      <c r="P244" s="127"/>
    </row>
    <row r="245" spans="1:16" ht="12.75">
      <c r="A245" s="72">
        <v>44245</v>
      </c>
      <c r="B245" s="73">
        <v>67471805.540000007</v>
      </c>
      <c r="C245" s="78">
        <f t="shared" si="6"/>
        <v>-6.9826259509361928E-3</v>
      </c>
      <c r="D245">
        <v>30</v>
      </c>
      <c r="F245" s="71"/>
      <c r="H245" s="127"/>
      <c r="I245" s="72">
        <v>44245</v>
      </c>
      <c r="J245" s="73">
        <v>1042133.06</v>
      </c>
      <c r="K245" s="78">
        <f t="shared" si="7"/>
        <v>-2.4040050080394067E-2</v>
      </c>
      <c r="L245">
        <v>30</v>
      </c>
      <c r="M245" s="74"/>
      <c r="N245" s="71"/>
      <c r="P245" s="127"/>
    </row>
    <row r="246" spans="1:16" ht="12.75">
      <c r="A246" s="72">
        <v>44246</v>
      </c>
      <c r="B246" s="73">
        <v>67450657.950000003</v>
      </c>
      <c r="C246" s="78">
        <f t="shared" si="6"/>
        <v>-8.0306149067628351E-3</v>
      </c>
      <c r="D246">
        <v>29</v>
      </c>
      <c r="F246" s="71"/>
      <c r="H246" s="127"/>
      <c r="I246" s="72">
        <v>44246</v>
      </c>
      <c r="J246" s="73">
        <v>1042133.06</v>
      </c>
      <c r="K246" s="78">
        <f t="shared" si="7"/>
        <v>-1.3078552979460688E-2</v>
      </c>
      <c r="L246">
        <v>29</v>
      </c>
      <c r="M246" s="74"/>
      <c r="N246" s="71"/>
      <c r="P246" s="127"/>
    </row>
    <row r="247" spans="1:16" ht="12.75">
      <c r="A247" s="72">
        <v>44249</v>
      </c>
      <c r="B247" s="73">
        <v>67261680.5</v>
      </c>
      <c r="C247" s="78">
        <f t="shared" si="6"/>
        <v>-1.0359501250129256E-2</v>
      </c>
      <c r="D247">
        <v>28</v>
      </c>
      <c r="F247" s="71"/>
      <c r="H247" s="127"/>
      <c r="I247" s="72">
        <v>44249</v>
      </c>
      <c r="J247" s="73">
        <v>1001662.49</v>
      </c>
      <c r="K247" s="78">
        <f t="shared" si="7"/>
        <v>-5.1198352370809955E-2</v>
      </c>
      <c r="L247">
        <v>28</v>
      </c>
      <c r="M247" s="74"/>
      <c r="N247" s="71"/>
      <c r="P247" s="127"/>
    </row>
    <row r="248" spans="1:16" ht="12.75">
      <c r="A248" s="72">
        <v>44250</v>
      </c>
      <c r="B248" s="73">
        <v>67234609.170000002</v>
      </c>
      <c r="C248" s="78">
        <f t="shared" si="6"/>
        <v>-7.9504560870230657E-3</v>
      </c>
      <c r="D248">
        <v>27</v>
      </c>
      <c r="F248" s="71"/>
      <c r="H248" s="127"/>
      <c r="I248" s="72">
        <v>44250</v>
      </c>
      <c r="J248" s="73">
        <v>1001642.49</v>
      </c>
      <c r="K248" s="78">
        <f t="shared" si="7"/>
        <v>-5.1217296908657811E-2</v>
      </c>
      <c r="L248">
        <v>27</v>
      </c>
      <c r="M248" s="74"/>
      <c r="N248" s="71"/>
      <c r="P248" s="127"/>
    </row>
    <row r="249" spans="1:16" ht="12.75">
      <c r="A249" s="72">
        <v>44251</v>
      </c>
      <c r="B249" s="73">
        <v>67213934.930000007</v>
      </c>
      <c r="C249" s="78">
        <f t="shared" si="6"/>
        <v>-7.4570379868181269E-3</v>
      </c>
      <c r="D249">
        <v>26</v>
      </c>
      <c r="F249" s="71"/>
      <c r="H249" s="127"/>
      <c r="I249" s="72">
        <v>44251</v>
      </c>
      <c r="J249" s="73">
        <v>1001642.49</v>
      </c>
      <c r="K249" s="78">
        <f t="shared" si="7"/>
        <v>-4.9621415538909322E-2</v>
      </c>
      <c r="L249">
        <v>26</v>
      </c>
      <c r="M249" s="74"/>
      <c r="N249" s="71"/>
      <c r="P249" s="127"/>
    </row>
    <row r="250" spans="1:16" ht="12.75">
      <c r="A250" s="72">
        <v>44252</v>
      </c>
      <c r="B250" s="73">
        <v>67190069.620000005</v>
      </c>
      <c r="C250" s="78">
        <f t="shared" si="6"/>
        <v>-7.5464243862537733E-3</v>
      </c>
      <c r="D250">
        <v>25</v>
      </c>
      <c r="F250" s="71"/>
      <c r="H250" s="127"/>
      <c r="I250" s="72">
        <v>44252</v>
      </c>
      <c r="J250" s="73">
        <v>1001642.49</v>
      </c>
      <c r="K250" s="78">
        <f t="shared" si="7"/>
        <v>-4.9620603973694569E-2</v>
      </c>
      <c r="L250">
        <v>25</v>
      </c>
      <c r="M250" s="74"/>
      <c r="N250" s="71"/>
      <c r="P250" s="127"/>
    </row>
    <row r="251" spans="1:16" ht="12.75">
      <c r="A251" s="72">
        <v>44253</v>
      </c>
      <c r="B251" s="73">
        <v>67138123.299999997</v>
      </c>
      <c r="C251" s="78">
        <f t="shared" si="6"/>
        <v>-7.7526911848928709E-3</v>
      </c>
      <c r="D251">
        <v>24</v>
      </c>
      <c r="F251" s="71"/>
      <c r="H251" s="127"/>
      <c r="I251" s="72">
        <v>44253</v>
      </c>
      <c r="J251" s="73">
        <v>1001637.49</v>
      </c>
      <c r="K251" s="78">
        <f t="shared" si="7"/>
        <v>-4.9354750435018392E-2</v>
      </c>
      <c r="L251">
        <v>24</v>
      </c>
      <c r="M251" s="74"/>
      <c r="N251" s="71"/>
      <c r="P251" s="127"/>
    </row>
    <row r="252" spans="1:16" ht="12.75">
      <c r="A252" s="72">
        <v>44256</v>
      </c>
      <c r="B252" s="73">
        <v>67317826.129999995</v>
      </c>
      <c r="C252" s="78">
        <f t="shared" si="6"/>
        <v>-5.2008555162923742E-3</v>
      </c>
      <c r="D252">
        <v>23</v>
      </c>
      <c r="F252" s="71"/>
      <c r="H252" s="127"/>
      <c r="I252" s="72">
        <v>44256</v>
      </c>
      <c r="J252" s="73">
        <v>997715.65</v>
      </c>
      <c r="K252" s="78">
        <f t="shared" si="7"/>
        <v>-5.3076933962268251E-2</v>
      </c>
      <c r="L252">
        <v>23</v>
      </c>
      <c r="M252" s="74"/>
      <c r="N252" s="71"/>
      <c r="P252" s="127"/>
    </row>
    <row r="253" spans="1:16" ht="12.75">
      <c r="A253" s="72">
        <v>44257</v>
      </c>
      <c r="B253" s="73">
        <v>67272013.840000004</v>
      </c>
      <c r="C253" s="78">
        <f t="shared" si="6"/>
        <v>-8.7140459787577017E-3</v>
      </c>
      <c r="D253">
        <v>22</v>
      </c>
      <c r="F253" s="71"/>
      <c r="H253" s="127"/>
      <c r="I253" s="72">
        <v>44257</v>
      </c>
      <c r="J253" s="73">
        <v>997357.65</v>
      </c>
      <c r="K253" s="78">
        <f t="shared" si="7"/>
        <v>-4.8415187652259127E-2</v>
      </c>
      <c r="L253">
        <v>22</v>
      </c>
      <c r="M253" s="74"/>
      <c r="N253" s="71"/>
      <c r="P253" s="127"/>
    </row>
    <row r="254" spans="1:16" ht="12.75">
      <c r="A254" s="72">
        <v>44258</v>
      </c>
      <c r="B254" s="73">
        <v>67208433.569999993</v>
      </c>
      <c r="C254" s="78">
        <f t="shared" si="6"/>
        <v>-8.7527982109050512E-3</v>
      </c>
      <c r="D254">
        <v>21</v>
      </c>
      <c r="F254" s="71"/>
      <c r="H254" s="127"/>
      <c r="I254" s="72">
        <v>44258</v>
      </c>
      <c r="J254" s="73">
        <v>997357.65</v>
      </c>
      <c r="K254" s="78">
        <f t="shared" si="7"/>
        <v>-4.8415187652259127E-2</v>
      </c>
      <c r="L254">
        <v>21</v>
      </c>
      <c r="M254" s="74"/>
      <c r="N254" s="71"/>
      <c r="P254" s="127"/>
    </row>
    <row r="255" spans="1:16" ht="12.75">
      <c r="A255" s="72">
        <v>44259</v>
      </c>
      <c r="B255" s="73">
        <v>67186399.109999999</v>
      </c>
      <c r="C255" s="78">
        <f t="shared" si="6"/>
        <v>-8.7936618571963568E-3</v>
      </c>
      <c r="D255">
        <v>20</v>
      </c>
      <c r="F255" s="71"/>
      <c r="H255" s="127"/>
      <c r="I255" s="72">
        <v>44259</v>
      </c>
      <c r="J255" s="73">
        <v>984485.74</v>
      </c>
      <c r="K255" s="78">
        <f t="shared" si="7"/>
        <v>-6.0194215277484524E-2</v>
      </c>
      <c r="L255">
        <v>20</v>
      </c>
      <c r="M255" s="74"/>
      <c r="N255" s="71"/>
      <c r="P255" s="127"/>
    </row>
    <row r="256" spans="1:16" ht="12.75">
      <c r="A256" s="72">
        <v>44260</v>
      </c>
      <c r="B256" s="76">
        <v>67052134.060000002</v>
      </c>
      <c r="C256" s="78">
        <f t="shared" si="6"/>
        <v>-1.0452840889276305E-2</v>
      </c>
      <c r="D256">
        <v>19</v>
      </c>
      <c r="F256" s="71"/>
      <c r="H256" s="127"/>
      <c r="I256" s="72">
        <v>44260</v>
      </c>
      <c r="J256" s="76">
        <v>984471.87</v>
      </c>
      <c r="K256" s="78">
        <f t="shared" si="7"/>
        <v>-6.0207455800637348E-2</v>
      </c>
      <c r="L256">
        <v>19</v>
      </c>
      <c r="M256" s="74"/>
      <c r="N256" s="71"/>
      <c r="P256" s="127"/>
    </row>
    <row r="257" spans="1:16" ht="12.75">
      <c r="A257" s="72">
        <v>44263</v>
      </c>
      <c r="B257" s="73">
        <v>67021146.960000001</v>
      </c>
      <c r="C257" s="78">
        <f t="shared" si="6"/>
        <v>-1.0858502236125134E-2</v>
      </c>
      <c r="D257">
        <v>18</v>
      </c>
      <c r="F257" s="71"/>
      <c r="H257" s="127"/>
      <c r="I257" s="72">
        <v>44263</v>
      </c>
      <c r="J257" s="73">
        <v>984304.55</v>
      </c>
      <c r="K257" s="78">
        <f t="shared" si="7"/>
        <v>-5.6730123273868581E-2</v>
      </c>
      <c r="L257">
        <v>18</v>
      </c>
      <c r="M257" s="74"/>
      <c r="N257" s="71"/>
      <c r="P257" s="127"/>
    </row>
    <row r="258" spans="1:16" ht="12.75">
      <c r="A258" s="72">
        <v>44264</v>
      </c>
      <c r="B258" s="73">
        <v>66983536.009999998</v>
      </c>
      <c r="C258" s="78">
        <f t="shared" si="6"/>
        <v>-1.0927780254711764E-2</v>
      </c>
      <c r="D258">
        <v>17</v>
      </c>
      <c r="F258" s="71"/>
      <c r="H258" s="127"/>
      <c r="I258" s="72">
        <v>44264</v>
      </c>
      <c r="J258" s="73">
        <v>981785.24</v>
      </c>
      <c r="K258" s="78">
        <f t="shared" si="7"/>
        <v>-5.9144405757003464E-2</v>
      </c>
      <c r="L258">
        <v>17</v>
      </c>
      <c r="M258" s="74"/>
      <c r="N258" s="71"/>
      <c r="P258" s="127"/>
    </row>
    <row r="259" spans="1:16" ht="12.75">
      <c r="A259" s="72">
        <v>44265</v>
      </c>
      <c r="B259" s="73">
        <v>66966456.140000001</v>
      </c>
      <c r="C259" s="78">
        <f t="shared" si="6"/>
        <v>-9.8269907500792529E-3</v>
      </c>
      <c r="D259">
        <v>16</v>
      </c>
      <c r="F259" s="71"/>
      <c r="H259" s="127"/>
      <c r="I259" s="72">
        <v>44265</v>
      </c>
      <c r="J259" s="73">
        <v>981785.24</v>
      </c>
      <c r="K259" s="78">
        <f t="shared" si="7"/>
        <v>-5.90491927717752E-2</v>
      </c>
      <c r="L259">
        <v>16</v>
      </c>
      <c r="M259" s="74"/>
      <c r="N259" s="71"/>
      <c r="P259" s="127"/>
    </row>
    <row r="260" spans="1:16" ht="12.75">
      <c r="A260" s="72">
        <v>44266</v>
      </c>
      <c r="B260" s="73">
        <v>66933210.32</v>
      </c>
      <c r="C260" s="78">
        <f t="shared" si="6"/>
        <v>-1.001427677009196E-2</v>
      </c>
      <c r="D260">
        <v>15</v>
      </c>
      <c r="F260" s="71"/>
      <c r="H260" s="127"/>
      <c r="I260" s="72">
        <v>44266</v>
      </c>
      <c r="J260" s="73">
        <v>981785.24</v>
      </c>
      <c r="K260" s="78">
        <f t="shared" si="7"/>
        <v>-5.90491927717752E-2</v>
      </c>
      <c r="L260">
        <v>15</v>
      </c>
      <c r="M260" s="74"/>
      <c r="N260" s="71"/>
      <c r="P260" s="127"/>
    </row>
    <row r="261" spans="1:16" ht="12.75">
      <c r="A261" s="72">
        <v>44267</v>
      </c>
      <c r="B261" s="73">
        <v>66912511.729999997</v>
      </c>
      <c r="C261" s="78">
        <f t="shared" si="6"/>
        <v>-1.0418166640211239E-2</v>
      </c>
      <c r="D261">
        <v>14</v>
      </c>
      <c r="F261" s="71"/>
      <c r="H261" s="127"/>
      <c r="I261" s="72">
        <v>44267</v>
      </c>
      <c r="J261" s="73">
        <v>981785.24</v>
      </c>
      <c r="K261" s="78">
        <f t="shared" si="7"/>
        <v>-5.90491927717752E-2</v>
      </c>
      <c r="L261">
        <v>14</v>
      </c>
      <c r="M261" s="74"/>
      <c r="N261" s="71"/>
      <c r="P261" s="127"/>
    </row>
    <row r="262" spans="1:16" ht="12.75">
      <c r="A262" s="72">
        <v>44270</v>
      </c>
      <c r="B262" s="73">
        <v>66798763.399999999</v>
      </c>
      <c r="C262" s="78">
        <f t="shared" si="6"/>
        <v>-1.1968585536478046E-2</v>
      </c>
      <c r="D262">
        <v>13</v>
      </c>
      <c r="F262" s="71"/>
      <c r="H262" s="127"/>
      <c r="I262" s="72">
        <v>44270</v>
      </c>
      <c r="J262" s="73">
        <v>981785.24</v>
      </c>
      <c r="K262" s="78">
        <f t="shared" si="7"/>
        <v>-5.9036630324437185E-2</v>
      </c>
      <c r="L262">
        <v>13</v>
      </c>
      <c r="M262" s="74"/>
      <c r="N262" s="71"/>
      <c r="P262" s="127"/>
    </row>
    <row r="263" spans="1:16" ht="12.75">
      <c r="A263" s="72">
        <v>44271</v>
      </c>
      <c r="B263" s="73">
        <v>66762915.130000003</v>
      </c>
      <c r="C263" s="78">
        <f t="shared" si="6"/>
        <v>-1.2251997823626839E-2</v>
      </c>
      <c r="D263">
        <v>12</v>
      </c>
      <c r="F263" s="71"/>
      <c r="H263" s="127"/>
      <c r="I263" s="72">
        <v>44271</v>
      </c>
      <c r="J263" s="73">
        <v>981726.24</v>
      </c>
      <c r="K263" s="78">
        <f t="shared" si="7"/>
        <v>-5.7964594271675884E-2</v>
      </c>
      <c r="L263">
        <v>12</v>
      </c>
      <c r="M263" s="74"/>
      <c r="N263" s="71"/>
      <c r="P263" s="127"/>
    </row>
    <row r="264" spans="1:16" ht="12.75">
      <c r="A264" s="72">
        <v>44272</v>
      </c>
      <c r="B264" s="73">
        <v>66677656.93</v>
      </c>
      <c r="C264" s="78">
        <f t="shared" si="6"/>
        <v>-1.2932136053971569E-2</v>
      </c>
      <c r="D264">
        <v>11</v>
      </c>
      <c r="F264" s="71"/>
      <c r="H264" s="127"/>
      <c r="I264" s="72">
        <v>44272</v>
      </c>
      <c r="J264" s="73">
        <v>981368.46</v>
      </c>
      <c r="K264" s="78">
        <f t="shared" si="7"/>
        <v>-5.8307909356603745E-2</v>
      </c>
      <c r="L264">
        <v>11</v>
      </c>
      <c r="M264" s="74"/>
      <c r="N264" s="71"/>
      <c r="P264" s="127"/>
    </row>
    <row r="265" spans="1:16" ht="12.75">
      <c r="A265" s="72">
        <v>44273</v>
      </c>
      <c r="B265" s="73">
        <v>66649186.880000003</v>
      </c>
      <c r="C265" s="78">
        <f t="shared" si="6"/>
        <v>-1.2862001631440152E-2</v>
      </c>
      <c r="D265">
        <v>10</v>
      </c>
      <c r="F265" s="71"/>
      <c r="H265" s="127"/>
      <c r="I265" s="72">
        <v>44273</v>
      </c>
      <c r="J265" s="73">
        <v>981368.46</v>
      </c>
      <c r="K265" s="78">
        <f t="shared" si="7"/>
        <v>-5.8307909356603745E-2</v>
      </c>
      <c r="L265">
        <v>10</v>
      </c>
      <c r="M265" s="74"/>
      <c r="N265" s="71"/>
      <c r="P265" s="127"/>
    </row>
    <row r="266" spans="1:16" ht="12.75">
      <c r="A266" s="72">
        <v>44274</v>
      </c>
      <c r="B266" s="73">
        <v>66671256.829999998</v>
      </c>
      <c r="C266" s="78">
        <f t="shared" si="6"/>
        <v>-1.1864936822024287E-2</v>
      </c>
      <c r="D266">
        <v>9</v>
      </c>
      <c r="F266" s="71"/>
      <c r="H266" s="127"/>
      <c r="I266" s="72">
        <v>44274</v>
      </c>
      <c r="J266" s="73">
        <v>980726.46</v>
      </c>
      <c r="K266" s="78">
        <f t="shared" si="7"/>
        <v>-5.8923953530463848E-2</v>
      </c>
      <c r="L266">
        <v>9</v>
      </c>
      <c r="M266" s="74"/>
      <c r="N266" s="71"/>
      <c r="P266" s="127"/>
    </row>
    <row r="267" spans="1:16" ht="12.75">
      <c r="A267" s="72">
        <v>44277</v>
      </c>
      <c r="B267" s="73">
        <v>66595127.539999999</v>
      </c>
      <c r="C267" s="78">
        <f t="shared" si="6"/>
        <v>-1.2683796363175489E-2</v>
      </c>
      <c r="D267">
        <v>8</v>
      </c>
      <c r="F267" s="71"/>
      <c r="H267" s="127"/>
      <c r="I267" s="72">
        <v>44277</v>
      </c>
      <c r="J267" s="73">
        <v>980326.46</v>
      </c>
      <c r="K267" s="78">
        <f t="shared" si="7"/>
        <v>-5.9307781676171074E-2</v>
      </c>
      <c r="L267">
        <v>8</v>
      </c>
      <c r="M267" s="74"/>
      <c r="N267" s="71"/>
      <c r="P267" s="127"/>
    </row>
    <row r="268" spans="1:16" ht="12.75">
      <c r="A268" s="72">
        <v>44278</v>
      </c>
      <c r="B268" s="73">
        <v>66489429.979999997</v>
      </c>
      <c r="C268" s="78">
        <f t="shared" si="6"/>
        <v>-1.1481284949459497E-2</v>
      </c>
      <c r="D268">
        <v>7</v>
      </c>
      <c r="F268" s="71"/>
      <c r="H268" s="127"/>
      <c r="I268" s="72">
        <v>44278</v>
      </c>
      <c r="J268" s="73">
        <v>980326.46</v>
      </c>
      <c r="K268" s="78">
        <f t="shared" si="7"/>
        <v>-2.1300617935688125E-2</v>
      </c>
      <c r="L268">
        <v>7</v>
      </c>
      <c r="M268" s="74"/>
      <c r="N268" s="71"/>
      <c r="P268" s="127"/>
    </row>
    <row r="269" spans="1:16" ht="12.75">
      <c r="A269" s="72">
        <v>44279</v>
      </c>
      <c r="B269" s="73">
        <v>66474662.549999997</v>
      </c>
      <c r="C269" s="78">
        <f t="shared" si="6"/>
        <v>-1.1302908269735165E-2</v>
      </c>
      <c r="D269">
        <v>6</v>
      </c>
      <c r="F269" s="71"/>
      <c r="H269" s="127"/>
      <c r="I269" s="72">
        <v>44279</v>
      </c>
      <c r="J269" s="73">
        <v>977508.14</v>
      </c>
      <c r="K269" s="78">
        <f t="shared" si="7"/>
        <v>-2.4094774573710405E-2</v>
      </c>
      <c r="L269">
        <v>6</v>
      </c>
      <c r="M269" s="74"/>
      <c r="N269" s="71"/>
      <c r="P269" s="127"/>
    </row>
    <row r="270" spans="1:16" ht="12.75">
      <c r="A270" s="72">
        <v>44280</v>
      </c>
      <c r="B270" s="73">
        <v>66456375.670000002</v>
      </c>
      <c r="C270" s="78">
        <f t="shared" si="6"/>
        <v>-1.1270866090327339E-2</v>
      </c>
      <c r="D270">
        <v>5</v>
      </c>
      <c r="F270" s="71"/>
      <c r="H270" s="127"/>
      <c r="I270" s="72">
        <v>44280</v>
      </c>
      <c r="J270" s="73">
        <v>977408.14</v>
      </c>
      <c r="K270" s="78">
        <f t="shared" si="7"/>
        <v>-2.4194610594045363E-2</v>
      </c>
      <c r="L270">
        <v>5</v>
      </c>
      <c r="M270" s="74"/>
      <c r="N270" s="71"/>
      <c r="P270" s="127"/>
    </row>
    <row r="271" spans="1:16" ht="12.75">
      <c r="A271" s="72">
        <v>44281</v>
      </c>
      <c r="B271" s="73">
        <v>66411472.630000003</v>
      </c>
      <c r="C271" s="78">
        <f t="shared" si="6"/>
        <v>-1.1587977128218995E-2</v>
      </c>
      <c r="D271">
        <v>4</v>
      </c>
      <c r="F271" s="71"/>
      <c r="H271" s="127"/>
      <c r="I271" s="72">
        <v>44281</v>
      </c>
      <c r="J271" s="73">
        <v>977408.14</v>
      </c>
      <c r="K271" s="78">
        <f t="shared" si="7"/>
        <v>-2.4194610594045363E-2</v>
      </c>
      <c r="L271">
        <v>4</v>
      </c>
      <c r="M271" s="74"/>
      <c r="N271" s="71"/>
      <c r="P271" s="127"/>
    </row>
    <row r="272" spans="1:16" ht="12.75">
      <c r="A272" s="72">
        <v>44284</v>
      </c>
      <c r="B272" s="73">
        <v>66359266.659999996</v>
      </c>
      <c r="C272" s="78">
        <f t="shared" si="6"/>
        <v>-1.1600810414669434E-2</v>
      </c>
      <c r="D272">
        <v>3</v>
      </c>
      <c r="F272" s="71"/>
      <c r="H272" s="127"/>
      <c r="I272" s="72">
        <v>44284</v>
      </c>
      <c r="J272" s="73">
        <v>976361.7</v>
      </c>
      <c r="K272" s="78">
        <f t="shared" si="7"/>
        <v>-2.5234468809668894E-2</v>
      </c>
      <c r="L272">
        <v>3</v>
      </c>
      <c r="M272" s="74"/>
      <c r="N272" s="71"/>
      <c r="P272" s="127"/>
    </row>
    <row r="273" spans="1:16" ht="12.75">
      <c r="A273" s="72">
        <v>44285</v>
      </c>
      <c r="B273" s="73">
        <v>66345637.640000001</v>
      </c>
      <c r="C273" s="78">
        <f t="shared" si="6"/>
        <v>-1.4441768932385973E-2</v>
      </c>
      <c r="D273">
        <v>2</v>
      </c>
      <c r="F273" s="74"/>
      <c r="H273" s="127"/>
      <c r="I273" s="72">
        <v>44285</v>
      </c>
      <c r="J273" s="73">
        <v>975961.7</v>
      </c>
      <c r="K273" s="78">
        <f t="shared" si="7"/>
        <v>-2.180375741324702E-2</v>
      </c>
      <c r="L273">
        <v>2</v>
      </c>
      <c r="N273" s="74"/>
      <c r="P273" s="127"/>
    </row>
    <row r="274" spans="1:16">
      <c r="A274" s="72">
        <v>44286</v>
      </c>
      <c r="B274" s="73">
        <v>66636389.030000001</v>
      </c>
      <c r="C274" s="78">
        <f t="shared" si="6"/>
        <v>-9.4485771083317755E-3</v>
      </c>
      <c r="D274">
        <v>1</v>
      </c>
      <c r="F274" s="74"/>
      <c r="H274" s="127"/>
      <c r="I274" s="72">
        <v>44286</v>
      </c>
      <c r="J274" s="73">
        <v>976237.22</v>
      </c>
      <c r="K274" s="78">
        <f t="shared" si="7"/>
        <v>-2.1176385422019925E-2</v>
      </c>
      <c r="L274">
        <v>1</v>
      </c>
      <c r="M274" s="81"/>
      <c r="N274" s="74"/>
      <c r="P274" s="127"/>
    </row>
    <row r="275" spans="1:16" ht="16.5">
      <c r="C275" s="83"/>
      <c r="D275" s="80"/>
      <c r="H275" s="483"/>
      <c r="I275" s="82"/>
      <c r="K275" s="83"/>
      <c r="L275" s="80"/>
      <c r="N275" s="296" t="s">
        <v>300</v>
      </c>
      <c r="O275" s="126"/>
      <c r="P275" s="126"/>
    </row>
    <row r="276" spans="1:16" ht="16.5">
      <c r="A276" s="84"/>
      <c r="C276" s="83"/>
      <c r="E276" s="296" t="s">
        <v>300</v>
      </c>
      <c r="F276" s="126"/>
      <c r="H276" s="71"/>
      <c r="I276" s="84" t="s">
        <v>184</v>
      </c>
      <c r="K276" s="83"/>
      <c r="N276" s="296" t="s">
        <v>301</v>
      </c>
      <c r="O276" s="126"/>
      <c r="P276" s="126"/>
    </row>
    <row r="277" spans="1:16" ht="16.5">
      <c r="A277" s="84" t="s">
        <v>302</v>
      </c>
      <c r="B277" s="85">
        <v>1.645</v>
      </c>
      <c r="C277" s="83">
        <f>STDEV(C23:C274)</f>
        <v>4.2952418559991573E-2</v>
      </c>
      <c r="E277" s="296" t="s">
        <v>301</v>
      </c>
      <c r="F277" s="126"/>
      <c r="H277" s="71"/>
      <c r="I277" s="84" t="s">
        <v>185</v>
      </c>
      <c r="J277" s="85">
        <v>1.645</v>
      </c>
      <c r="K277" s="83">
        <f>STDEV(K23:K274)</f>
        <v>3.1238600701539113E-2</v>
      </c>
      <c r="O277" s="126"/>
      <c r="P277" s="126"/>
    </row>
    <row r="278" spans="1:16" ht="16.5">
      <c r="F278" s="296"/>
      <c r="H278" s="483"/>
      <c r="I278" s="82"/>
      <c r="K278" s="86"/>
      <c r="N278" s="87"/>
      <c r="O278" s="126"/>
      <c r="P278" s="126"/>
    </row>
    <row r="279" spans="1:16" ht="12.75">
      <c r="A279" s="110"/>
      <c r="B279" s="128"/>
      <c r="C279" s="112" t="s">
        <v>187</v>
      </c>
      <c r="D279" s="112" t="s">
        <v>188</v>
      </c>
      <c r="E279" s="112" t="s">
        <v>201</v>
      </c>
      <c r="F279" s="129"/>
      <c r="I279" s="110"/>
      <c r="J279" s="128"/>
      <c r="K279" s="112" t="s">
        <v>187</v>
      </c>
      <c r="L279" s="112" t="s">
        <v>188</v>
      </c>
      <c r="M279" s="112" t="s">
        <v>201</v>
      </c>
      <c r="N279" s="129"/>
      <c r="O279" s="126"/>
      <c r="P279" s="126"/>
    </row>
    <row r="280" spans="1:16" ht="12.75">
      <c r="A280" s="766" t="s">
        <v>189</v>
      </c>
      <c r="B280" s="113"/>
      <c r="C280" s="114">
        <f>$C$277*$B$277</f>
        <v>7.0656728531186139E-2</v>
      </c>
      <c r="D280" s="115">
        <f>C280*$B$274</f>
        <v>4708309.2499912204</v>
      </c>
      <c r="E280" s="763">
        <f>IF(D280&gt;$B$274,$B$274,D280)</f>
        <v>4708309.2499912204</v>
      </c>
      <c r="F280" s="129"/>
      <c r="I280" s="766" t="s">
        <v>189</v>
      </c>
      <c r="J280" s="113"/>
      <c r="K280" s="114">
        <f>$K$277*$J$277</f>
        <v>5.138749815403184E-2</v>
      </c>
      <c r="L280" s="115">
        <f>K280*$J$274</f>
        <v>50166.388340647172</v>
      </c>
      <c r="M280" s="763">
        <f>IF(L280&gt;$J$274,$J$274,L280)</f>
        <v>50166.388340647172</v>
      </c>
      <c r="N280" s="129"/>
      <c r="O280" s="126"/>
      <c r="P280" s="126"/>
    </row>
    <row r="281" spans="1:16" ht="12.75">
      <c r="A281" s="766" t="s">
        <v>202</v>
      </c>
      <c r="B281" s="116"/>
      <c r="C281" s="114">
        <f>$C$277*$B$277*SQRT(2)</f>
        <v>9.9923703761717456E-2</v>
      </c>
      <c r="D281" s="115">
        <f>C281*$B$274</f>
        <v>6658554.7971842792</v>
      </c>
      <c r="E281" s="763">
        <f>IF(SUM(D281+D280)&gt;$B$274,$B$274-E280,D281-D280)</f>
        <v>1950245.5471930588</v>
      </c>
      <c r="F281" s="129"/>
      <c r="I281" s="766" t="s">
        <v>202</v>
      </c>
      <c r="J281" s="116"/>
      <c r="K281" s="114">
        <f>$K$277*$J$277*SQRT(2)</f>
        <v>7.2672896825854219E-2</v>
      </c>
      <c r="L281" s="115">
        <f>K281*$J$274</f>
        <v>70945.986766618749</v>
      </c>
      <c r="M281" s="763">
        <f>IF(SUM(L281+L280)&gt;$J$274,$J$274-M280,L281-L280)</f>
        <v>20779.598425971577</v>
      </c>
      <c r="N281" s="129"/>
      <c r="O281" s="126"/>
      <c r="P281" s="126"/>
    </row>
    <row r="282" spans="1:16" ht="12.75">
      <c r="A282" s="766" t="s">
        <v>203</v>
      </c>
      <c r="B282" s="116"/>
      <c r="C282" s="114">
        <f>$C$277*$B$277*SQRT(3)</f>
        <v>0.12238104371261588</v>
      </c>
      <c r="D282" s="115">
        <f>C282*$B$274</f>
        <v>8155030.8387313075</v>
      </c>
      <c r="E282" s="763">
        <f>IF(SUM(D282+D281)&gt;B274,0,D282-D281)</f>
        <v>1496476.0415470283</v>
      </c>
      <c r="F282" s="129"/>
      <c r="I282" s="766" t="s">
        <v>203</v>
      </c>
      <c r="J282" s="116"/>
      <c r="K282" s="114">
        <f>$K$277*$J$277*SQRT(3)</f>
        <v>8.9005757676635031E-2</v>
      </c>
      <c r="L282" s="115">
        <f>K282*$J$274</f>
        <v>86890.733438231837</v>
      </c>
      <c r="M282" s="763">
        <f>IF(SUM(L282+L281)&gt;$J$274,0,L282-L281)</f>
        <v>15944.746671613088</v>
      </c>
      <c r="N282" s="129"/>
      <c r="O282" s="126"/>
      <c r="P282" s="126"/>
    </row>
    <row r="283" spans="1:16" ht="12.75">
      <c r="A283" s="766" t="s">
        <v>305</v>
      </c>
      <c r="B283" s="116"/>
      <c r="C283" s="117"/>
      <c r="D283" s="115"/>
      <c r="E283" s="763">
        <f>B274-SUM(E280:E282)</f>
        <v>58481358.191268697</v>
      </c>
      <c r="F283" s="120"/>
      <c r="I283" s="766" t="s">
        <v>305</v>
      </c>
      <c r="J283" s="116"/>
      <c r="K283" s="117"/>
      <c r="L283" s="115"/>
      <c r="M283" s="763">
        <f>J274-SUM(M280:M282)</f>
        <v>889346.48656176811</v>
      </c>
      <c r="N283" s="120"/>
      <c r="O283" s="126"/>
      <c r="P283" s="126"/>
    </row>
    <row r="284" spans="1:16" ht="12.75">
      <c r="A284" s="118"/>
      <c r="B284" s="118"/>
      <c r="C284" s="119"/>
      <c r="D284" s="120"/>
      <c r="E284" s="121">
        <f>SUM(E280:E283)</f>
        <v>66636389.030000001</v>
      </c>
      <c r="F284" s="120"/>
      <c r="I284" s="546"/>
      <c r="J284" s="546"/>
      <c r="K284" s="547"/>
      <c r="L284" s="120"/>
      <c r="M284" s="121">
        <f>SUM(M280:M283)</f>
        <v>976237.22</v>
      </c>
      <c r="N284" s="120"/>
      <c r="O284" s="126"/>
      <c r="P284" s="126"/>
    </row>
    <row r="285" spans="1:16">
      <c r="C285" s="83"/>
      <c r="D285" s="92"/>
      <c r="E285" s="124">
        <f>+B274-E284</f>
        <v>0</v>
      </c>
      <c r="I285" s="71"/>
      <c r="J285" s="71"/>
      <c r="K285" s="552"/>
      <c r="L285" s="92"/>
      <c r="M285" s="124">
        <f>+J274-M284</f>
        <v>0</v>
      </c>
      <c r="O285" s="126"/>
      <c r="P285" s="126"/>
    </row>
    <row r="286" spans="1:16">
      <c r="D286" s="549">
        <v>211305</v>
      </c>
      <c r="E286" s="80"/>
      <c r="I286" s="71"/>
      <c r="J286" s="71"/>
      <c r="K286" s="553"/>
      <c r="L286" s="549">
        <v>212305</v>
      </c>
      <c r="M286" s="80"/>
      <c r="O286" s="126"/>
      <c r="P286" s="126"/>
    </row>
    <row r="287" spans="1:16">
      <c r="E287" s="80"/>
      <c r="I287" s="71"/>
      <c r="J287" s="71"/>
      <c r="K287" s="553"/>
      <c r="M287" s="80"/>
      <c r="O287" s="126"/>
      <c r="P287" s="126"/>
    </row>
    <row r="288" spans="1:16">
      <c r="I288" s="71"/>
      <c r="J288" s="71"/>
      <c r="K288" s="71"/>
    </row>
    <row r="289" spans="5:11">
      <c r="E289" s="80"/>
      <c r="I289" s="71"/>
      <c r="J289" s="71"/>
      <c r="K289" s="71"/>
    </row>
    <row r="290" spans="5:11">
      <c r="I290" s="71"/>
      <c r="J290" s="71"/>
      <c r="K29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Anx16AMN</vt:lpstr>
      <vt:lpstr>Anx16AME</vt:lpstr>
      <vt:lpstr>Anx16Atotal</vt:lpstr>
      <vt:lpstr>Anx16AInd</vt:lpstr>
      <vt:lpstr>AnxRendInt</vt:lpstr>
      <vt:lpstr>Disponible</vt:lpstr>
      <vt:lpstr>DisponibleDolares</vt:lpstr>
      <vt:lpstr>Ahorro2102</vt:lpstr>
      <vt:lpstr>CTS210305</vt:lpstr>
      <vt:lpstr>DepInmov210701</vt:lpstr>
      <vt:lpstr>OligVista2101</vt:lpstr>
      <vt:lpstr>Anx16BReg</vt:lpstr>
      <vt:lpstr>Creditos</vt:lpstr>
      <vt:lpstr>Anx16BEspecifico</vt:lpstr>
      <vt:lpstr>Créditos-Esc Especifico</vt:lpstr>
      <vt:lpstr>Anx16AMN!Área_de_impresión</vt:lpstr>
      <vt:lpstr>Anx16Atotal!Área_de_impresión</vt:lpstr>
      <vt:lpstr>Anx16BReg!Área_de_impresión</vt:lpstr>
    </vt:vector>
  </TitlesOfParts>
  <Company>S.B.S.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Resolución SBS N° 9075-2012 (Anexos)</dc:title>
  <dc:subject>9075-2012 (Anexos)</dc:subject>
  <dc:creator>Regulación SBS</dc:creator>
  <cp:keywords>20121205</cp:keywords>
  <dc:description>Anexos de la Resolución SBS N° 9075-2012, que aprueba el Reglamento para la Gestión del Riesgo de Liquidez</dc:description>
  <cp:lastModifiedBy>QA - TI</cp:lastModifiedBy>
  <cp:lastPrinted>2014-04-15T14:27:48Z</cp:lastPrinted>
  <dcterms:created xsi:type="dcterms:W3CDTF">2004-02-06T19:42:33Z</dcterms:created>
  <dcterms:modified xsi:type="dcterms:W3CDTF">2021-04-14T21:57:12Z</dcterms:modified>
  <cp:category>20121207</cp:category>
</cp:coreProperties>
</file>