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255" windowWidth="15840" windowHeight="11610" activeTab="1"/>
  </bookViews>
  <sheets>
    <sheet name="Sheet2" sheetId="2" r:id="rId1"/>
    <sheet name="Sheet2 (2)" sheetId="3" r:id="rId2"/>
  </sheets>
  <calcPr calcId="124519"/>
</workbook>
</file>

<file path=xl/calcChain.xml><?xml version="1.0" encoding="utf-8"?>
<calcChain xmlns="http://schemas.openxmlformats.org/spreadsheetml/2006/main">
  <c r="L34" i="2"/>
  <c r="E22"/>
  <c r="O27"/>
  <c r="O23"/>
  <c r="O21"/>
  <c r="M25" i="3" l="1"/>
  <c r="M24"/>
  <c r="M23"/>
  <c r="K25"/>
  <c r="J24"/>
  <c r="J23"/>
  <c r="L19"/>
  <c r="K13"/>
  <c r="G43"/>
  <c r="F43"/>
  <c r="E43"/>
  <c r="G42"/>
  <c r="F42"/>
  <c r="E42"/>
  <c r="G41"/>
  <c r="F41"/>
  <c r="E41"/>
  <c r="F40"/>
  <c r="E40"/>
  <c r="G40" s="1"/>
  <c r="F39"/>
  <c r="E39"/>
  <c r="G39" s="1"/>
  <c r="F38"/>
  <c r="E38"/>
  <c r="G38" s="1"/>
  <c r="F37"/>
  <c r="E37"/>
  <c r="G37" s="1"/>
  <c r="F36"/>
  <c r="E36"/>
  <c r="G36" s="1"/>
  <c r="G35"/>
  <c r="F35"/>
  <c r="E35"/>
  <c r="G34"/>
  <c r="F34"/>
  <c r="E34"/>
  <c r="F14"/>
  <c r="F13"/>
  <c r="D8"/>
  <c r="G6"/>
  <c r="D6"/>
  <c r="F6" s="1"/>
  <c r="G14" s="1"/>
  <c r="G4"/>
  <c r="D4"/>
  <c r="F4" s="1"/>
  <c r="G13" s="1"/>
  <c r="L13" s="1"/>
  <c r="G2"/>
  <c r="F12" s="1"/>
  <c r="D2"/>
  <c r="F2" s="1"/>
  <c r="G12" s="1"/>
  <c r="J14" l="1"/>
  <c r="K14" s="1"/>
  <c r="N14" s="1"/>
  <c r="I17"/>
  <c r="I18" s="1"/>
  <c r="J12"/>
  <c r="G16"/>
  <c r="D16" s="1"/>
  <c r="L14" l="1"/>
  <c r="L12"/>
  <c r="J16"/>
  <c r="J17" s="1"/>
  <c r="D15"/>
  <c r="D14"/>
  <c r="G17" l="1"/>
  <c r="J24" i="2"/>
  <c r="E22" i="3" l="1"/>
  <c r="K12"/>
  <c r="F31"/>
  <c r="G28"/>
  <c r="E26"/>
  <c r="E24"/>
  <c r="E29"/>
  <c r="F26"/>
  <c r="F27"/>
  <c r="G31"/>
  <c r="F24"/>
  <c r="G22"/>
  <c r="F29"/>
  <c r="G26"/>
  <c r="G24"/>
  <c r="G29"/>
  <c r="E27"/>
  <c r="F22"/>
  <c r="F30"/>
  <c r="G27"/>
  <c r="F25"/>
  <c r="E23"/>
  <c r="E28"/>
  <c r="G25"/>
  <c r="E25"/>
  <c r="G30"/>
  <c r="F23"/>
  <c r="E30"/>
  <c r="E31"/>
  <c r="F28"/>
  <c r="G23"/>
  <c r="N12" l="1"/>
  <c r="K16"/>
  <c r="K17" s="1"/>
  <c r="G36" i="2"/>
  <c r="G37"/>
  <c r="G38"/>
  <c r="G39"/>
  <c r="G40"/>
  <c r="G41"/>
  <c r="G42"/>
  <c r="G43"/>
  <c r="F36"/>
  <c r="F37"/>
  <c r="F38"/>
  <c r="F39"/>
  <c r="F40"/>
  <c r="F41"/>
  <c r="F42"/>
  <c r="F43"/>
  <c r="E36"/>
  <c r="E37"/>
  <c r="E38"/>
  <c r="E39"/>
  <c r="E40"/>
  <c r="E41"/>
  <c r="E42"/>
  <c r="E43"/>
  <c r="F14"/>
  <c r="F13"/>
  <c r="F12"/>
  <c r="F34" l="1"/>
  <c r="E34"/>
  <c r="F35" l="1"/>
  <c r="E35"/>
  <c r="G35" s="1"/>
  <c r="G34"/>
  <c r="G6" l="1"/>
  <c r="G4"/>
  <c r="G2"/>
  <c r="D6"/>
  <c r="F6" s="1"/>
  <c r="G14" s="1"/>
  <c r="D4"/>
  <c r="F4" s="1"/>
  <c r="G13" s="1"/>
  <c r="D2"/>
  <c r="F2" s="1"/>
  <c r="G12" s="1"/>
  <c r="G16" s="1"/>
  <c r="D14" s="1"/>
  <c r="D8"/>
  <c r="J25" l="1"/>
  <c r="D15"/>
  <c r="G17" s="1"/>
  <c r="D16"/>
  <c r="F31" l="1"/>
  <c r="G31"/>
  <c r="E31"/>
  <c r="E26"/>
  <c r="E24"/>
  <c r="F30"/>
  <c r="G30"/>
  <c r="E30"/>
  <c r="G29"/>
  <c r="E29"/>
  <c r="E28"/>
  <c r="F26"/>
  <c r="F25"/>
  <c r="F24"/>
  <c r="F29"/>
  <c r="F28"/>
  <c r="G28"/>
  <c r="E25"/>
  <c r="F27"/>
  <c r="G27"/>
  <c r="E27"/>
  <c r="G26"/>
  <c r="G25"/>
  <c r="G24"/>
  <c r="F23"/>
  <c r="F22"/>
  <c r="G22"/>
  <c r="G23"/>
  <c r="E23"/>
</calcChain>
</file>

<file path=xl/sharedStrings.xml><?xml version="1.0" encoding="utf-8"?>
<sst xmlns="http://schemas.openxmlformats.org/spreadsheetml/2006/main" count="115" uniqueCount="48">
  <si>
    <t>Nil</t>
  </si>
  <si>
    <t>TB Ag</t>
  </si>
  <si>
    <t>Result</t>
  </si>
  <si>
    <t>S1</t>
  </si>
  <si>
    <t>S2</t>
  </si>
  <si>
    <t>S3</t>
  </si>
  <si>
    <t>S4</t>
  </si>
  <si>
    <t>Standard</t>
  </si>
  <si>
    <t>농도 (IU/ml)</t>
  </si>
  <si>
    <t>OD 값</t>
  </si>
  <si>
    <t>Mean OD</t>
  </si>
  <si>
    <t>% CV</t>
  </si>
  <si>
    <t>N/A</t>
  </si>
  <si>
    <r>
      <t>log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(OD)</t>
    </r>
  </si>
  <si>
    <r>
      <t>log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(농도)</t>
    </r>
  </si>
  <si>
    <t>X 축</t>
  </si>
  <si>
    <t>Y 축</t>
  </si>
  <si>
    <t>O.D</t>
  </si>
  <si>
    <t>Mitogen</t>
  </si>
  <si>
    <t>Nil(IU/mL)</t>
  </si>
  <si>
    <t>Mitogen(IU/mL)</t>
  </si>
  <si>
    <t>검체 1</t>
  </si>
  <si>
    <t>검체 2</t>
  </si>
  <si>
    <t>검체 3</t>
  </si>
  <si>
    <t>검체 4</t>
  </si>
  <si>
    <t>검체 5</t>
  </si>
  <si>
    <t>검체 6</t>
  </si>
  <si>
    <t>검체 7</t>
  </si>
  <si>
    <t>검체 8</t>
  </si>
  <si>
    <t>TB Ag-Nil</t>
  </si>
  <si>
    <t>Mitogen-Nil</t>
  </si>
  <si>
    <t>TB Ag(IU/mL)</t>
  </si>
  <si>
    <t>Slope</t>
  </si>
  <si>
    <t>수식 대입 exp((LN(검체OD값)+y절편값)/기울기값)</t>
  </si>
  <si>
    <t>검체 9</t>
  </si>
  <si>
    <t>검체 10</t>
  </si>
  <si>
    <t>c=y-(mx)</t>
    <phoneticPr fontId="9" type="noConversion"/>
  </si>
  <si>
    <t>m=(c+y)/x</t>
    <phoneticPr fontId="9" type="noConversion"/>
  </si>
  <si>
    <t>c</t>
    <phoneticPr fontId="9" type="noConversion"/>
  </si>
  <si>
    <t>m</t>
    <phoneticPr fontId="9" type="noConversion"/>
  </si>
  <si>
    <t>y=mx+c</t>
  </si>
  <si>
    <t>c=y-mx</t>
    <phoneticPr fontId="9" type="noConversion"/>
  </si>
  <si>
    <t>x(=exp((y-c)/m))</t>
  </si>
  <si>
    <t xml:space="preserve">y-Intercept </t>
    <phoneticPr fontId="9" type="noConversion"/>
  </si>
  <si>
    <t>수식 대입 exp((LN(검체OD값)+y절편값)/기울기값)</t>
    <phoneticPr fontId="9" type="noConversion"/>
  </si>
  <si>
    <t xml:space="preserve">y-Intercept </t>
    <phoneticPr fontId="9" type="noConversion"/>
  </si>
  <si>
    <t>LN(0.020)</t>
    <phoneticPr fontId="9" type="noConversion"/>
  </si>
  <si>
    <t>(LN(B22)-$G$17)/$G$16)</t>
  </si>
</sst>
</file>

<file path=xl/styles.xml><?xml version="1.0" encoding="utf-8"?>
<styleSheet xmlns="http://schemas.openxmlformats.org/spreadsheetml/2006/main">
  <numFmts count="3">
    <numFmt numFmtId="176" formatCode="0.000"/>
    <numFmt numFmtId="177" formatCode="0.00_ "/>
    <numFmt numFmtId="178" formatCode="0.000_ "/>
  </numFmts>
  <fonts count="10">
    <font>
      <sz val="11"/>
      <color theme="1"/>
      <name val="Arial"/>
      <family val="2"/>
    </font>
    <font>
      <sz val="11"/>
      <color theme="1"/>
      <name val="맑은 고딕"/>
      <family val="2"/>
      <charset val="129"/>
      <scheme val="minor"/>
    </font>
    <font>
      <vertAlign val="subscript"/>
      <sz val="11"/>
      <color theme="1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3" fillId="0" borderId="1" xfId="1" applyFont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178" fontId="6" fillId="0" borderId="4" xfId="0" applyNumberFormat="1" applyFont="1" applyFill="1" applyBorder="1" applyAlignment="1">
      <alignment horizontal="center" vertical="center"/>
    </xf>
    <xf numFmtId="0" fontId="0" fillId="0" borderId="0" xfId="0" applyBorder="1"/>
    <xf numFmtId="178" fontId="6" fillId="0" borderId="0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5" xfId="2" applyFont="1" applyBorder="1" applyAlignment="1">
      <alignment vertical="center"/>
    </xf>
    <xf numFmtId="0" fontId="0" fillId="4" borderId="0" xfId="0" applyFill="1"/>
    <xf numFmtId="176" fontId="4" fillId="0" borderId="1" xfId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</cellXfs>
  <cellStyles count="3">
    <cellStyle name="기본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Standard</a:t>
            </a:r>
            <a:r>
              <a:rPr lang="en-US" altLang="ko-KR" baseline="0"/>
              <a:t> Curve</a:t>
            </a:r>
            <a:endParaRPr lang="ko-KR" altLang="en-US"/>
          </a:p>
        </c:rich>
      </c:tx>
      <c:layout>
        <c:manualLayout>
          <c:xMode val="edge"/>
          <c:yMode val="edge"/>
          <c:x val="0.3704582239720039"/>
          <c:y val="3.2407407407407426E-2"/>
        </c:manualLayout>
      </c:layout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Eq val="1"/>
            <c:trendlineLbl>
              <c:layout>
                <c:manualLayout>
                  <c:x val="-3.4118985126859146E-2"/>
                  <c:y val="-1.8328594342373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Sheet2!$F$12:$F$14</c:f>
              <c:numCache>
                <c:formatCode>General</c:formatCode>
                <c:ptCount val="3"/>
                <c:pt idx="0">
                  <c:v>1.3862943611198906</c:v>
                </c:pt>
                <c:pt idx="1">
                  <c:v>0</c:v>
                </c:pt>
                <c:pt idx="2">
                  <c:v>-1.3862943611198906</c:v>
                </c:pt>
              </c:numCache>
            </c:numRef>
          </c:xVal>
          <c:yVal>
            <c:numRef>
              <c:f>Sheet2!$G$12:$G$14</c:f>
              <c:numCache>
                <c:formatCode>General</c:formatCode>
                <c:ptCount val="3"/>
                <c:pt idx="0">
                  <c:v>-0.13983694518779941</c:v>
                </c:pt>
                <c:pt idx="1">
                  <c:v>-1.742969305058623</c:v>
                </c:pt>
                <c:pt idx="2">
                  <c:v>-2.6882475738060303</c:v>
                </c:pt>
              </c:numCache>
            </c:numRef>
          </c:yVal>
        </c:ser>
        <c:axId val="102022144"/>
        <c:axId val="102036224"/>
      </c:scatterChart>
      <c:valAx>
        <c:axId val="10202214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036224"/>
        <c:crosses val="autoZero"/>
        <c:crossBetween val="midCat"/>
      </c:valAx>
      <c:valAx>
        <c:axId val="1020362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02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Standard</a:t>
            </a:r>
            <a:r>
              <a:rPr lang="en-US" altLang="ko-KR" baseline="0"/>
              <a:t> Curve</a:t>
            </a:r>
            <a:endParaRPr lang="ko-KR" altLang="en-US"/>
          </a:p>
        </c:rich>
      </c:tx>
      <c:layout>
        <c:manualLayout>
          <c:xMode val="edge"/>
          <c:yMode val="edge"/>
          <c:x val="0.37045822397200412"/>
          <c:y val="3.2407407407407447E-2"/>
        </c:manualLayout>
      </c:layout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2.8929099660588022E-2"/>
          <c:y val="0.12273729292844399"/>
          <c:w val="0.92416536288012852"/>
          <c:h val="0.78612408272181455"/>
        </c:manualLayout>
      </c:layout>
      <c:scatterChart>
        <c:scatterStyle val="lineMarker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Eq val="1"/>
            <c:trendlineLbl>
              <c:layout>
                <c:manualLayout>
                  <c:x val="-3.4118985126859146E-2"/>
                  <c:y val="-1.83285943423738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'Sheet2 (2)'!$F$12:$F$14</c:f>
              <c:numCache>
                <c:formatCode>General</c:formatCode>
                <c:ptCount val="3"/>
                <c:pt idx="0">
                  <c:v>1.3862943611198906</c:v>
                </c:pt>
                <c:pt idx="1">
                  <c:v>0</c:v>
                </c:pt>
                <c:pt idx="2">
                  <c:v>-1.3862943611198906</c:v>
                </c:pt>
              </c:numCache>
            </c:numRef>
          </c:xVal>
          <c:yVal>
            <c:numRef>
              <c:f>'Sheet2 (2)'!$G$12:$G$14</c:f>
              <c:numCache>
                <c:formatCode>General</c:formatCode>
                <c:ptCount val="3"/>
                <c:pt idx="0">
                  <c:v>-0.11204950380862289</c:v>
                </c:pt>
                <c:pt idx="1">
                  <c:v>-1.795767490625594</c:v>
                </c:pt>
                <c:pt idx="2">
                  <c:v>-2.7030626595911711</c:v>
                </c:pt>
              </c:numCache>
            </c:numRef>
          </c:yVal>
        </c:ser>
        <c:axId val="102995072"/>
        <c:axId val="102996608"/>
      </c:scatterChart>
      <c:valAx>
        <c:axId val="10299507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996608"/>
        <c:crosses val="autoZero"/>
        <c:crossBetween val="midCat"/>
      </c:valAx>
      <c:valAx>
        <c:axId val="10299660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99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0</xdr:row>
      <xdr:rowOff>49530</xdr:rowOff>
    </xdr:from>
    <xdr:to>
      <xdr:col>14</xdr:col>
      <xdr:colOff>83820</xdr:colOff>
      <xdr:row>15</xdr:row>
      <xdr:rowOff>133350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</xdr:colOff>
      <xdr:row>28</xdr:row>
      <xdr:rowOff>49530</xdr:rowOff>
    </xdr:from>
    <xdr:to>
      <xdr:col>14</xdr:col>
      <xdr:colOff>598170</xdr:colOff>
      <xdr:row>44</xdr:row>
      <xdr:rowOff>9525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activeCell="J29" sqref="J29"/>
    </sheetView>
  </sheetViews>
  <sheetFormatPr defaultRowHeight="14.25"/>
  <cols>
    <col min="2" max="2" width="10.25" bestFit="1" customWidth="1"/>
    <col min="3" max="3" width="10.875" bestFit="1" customWidth="1"/>
    <col min="4" max="7" width="12.5" bestFit="1" customWidth="1"/>
    <col min="14" max="14" width="21.875" customWidth="1"/>
  </cols>
  <sheetData>
    <row r="1" spans="1:7" ht="18.7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</row>
    <row r="2" spans="1:7">
      <c r="A2" s="25" t="s">
        <v>3</v>
      </c>
      <c r="B2" s="26">
        <v>4</v>
      </c>
      <c r="C2" s="20">
        <v>0.85499999999999998</v>
      </c>
      <c r="D2" s="30">
        <f>AVERAGE(C2:C3)</f>
        <v>0.86949999999999994</v>
      </c>
      <c r="E2" s="25">
        <v>2.9</v>
      </c>
      <c r="F2" s="28">
        <f>LN(D2)</f>
        <v>-0.13983694518779941</v>
      </c>
      <c r="G2" s="28">
        <f>LN(4)</f>
        <v>1.3862943611198906</v>
      </c>
    </row>
    <row r="3" spans="1:7">
      <c r="A3" s="25"/>
      <c r="B3" s="26"/>
      <c r="C3" s="20">
        <v>0.88400000000000001</v>
      </c>
      <c r="D3" s="30"/>
      <c r="E3" s="25"/>
      <c r="F3" s="29"/>
      <c r="G3" s="29"/>
    </row>
    <row r="4" spans="1:7">
      <c r="A4" s="25" t="s">
        <v>4</v>
      </c>
      <c r="B4" s="26">
        <v>1</v>
      </c>
      <c r="C4" s="20">
        <v>0.18099999999999999</v>
      </c>
      <c r="D4" s="30">
        <f>AVERAGE(C4:C5)</f>
        <v>0.17499999999999999</v>
      </c>
      <c r="E4" s="25">
        <v>4.2</v>
      </c>
      <c r="F4" s="28">
        <f>LN(D4)</f>
        <v>-1.742969305058623</v>
      </c>
      <c r="G4" s="28">
        <f>LN(1)</f>
        <v>0</v>
      </c>
    </row>
    <row r="5" spans="1:7">
      <c r="A5" s="25"/>
      <c r="B5" s="26"/>
      <c r="C5" s="20">
        <v>0.16900000000000001</v>
      </c>
      <c r="D5" s="30"/>
      <c r="E5" s="25"/>
      <c r="F5" s="29"/>
      <c r="G5" s="29"/>
    </row>
    <row r="6" spans="1:7">
      <c r="A6" s="25" t="s">
        <v>5</v>
      </c>
      <c r="B6" s="26">
        <v>0.25</v>
      </c>
      <c r="C6" s="20">
        <v>7.3999999999999996E-2</v>
      </c>
      <c r="D6" s="30">
        <f>AVERAGE(C6:C7)</f>
        <v>6.8000000000000005E-2</v>
      </c>
      <c r="E6" s="24" t="s">
        <v>12</v>
      </c>
      <c r="F6" s="28">
        <f>LN(D6)</f>
        <v>-2.6882475738060303</v>
      </c>
      <c r="G6" s="28">
        <f>LN(0.25)</f>
        <v>-1.3862943611198906</v>
      </c>
    </row>
    <row r="7" spans="1:7">
      <c r="A7" s="25"/>
      <c r="B7" s="26"/>
      <c r="C7" s="20">
        <v>6.2E-2</v>
      </c>
      <c r="D7" s="30"/>
      <c r="E7" s="24"/>
      <c r="F7" s="29"/>
      <c r="G7" s="29"/>
    </row>
    <row r="8" spans="1:7">
      <c r="A8" s="25" t="s">
        <v>6</v>
      </c>
      <c r="B8" s="25">
        <v>0</v>
      </c>
      <c r="C8" s="20">
        <v>1.2999999999999999E-2</v>
      </c>
      <c r="D8" s="30">
        <f>AVERAGE(C8:C9)</f>
        <v>1.55E-2</v>
      </c>
      <c r="E8" s="25" t="s">
        <v>12</v>
      </c>
      <c r="F8" s="25" t="s">
        <v>12</v>
      </c>
      <c r="G8" s="25" t="s">
        <v>12</v>
      </c>
    </row>
    <row r="9" spans="1:7">
      <c r="A9" s="25"/>
      <c r="B9" s="25"/>
      <c r="C9" s="20">
        <v>1.7999999999999999E-2</v>
      </c>
      <c r="D9" s="30"/>
      <c r="E9" s="25"/>
      <c r="F9" s="25"/>
      <c r="G9" s="25"/>
    </row>
    <row r="11" spans="1:7">
      <c r="F11" s="12" t="s">
        <v>15</v>
      </c>
      <c r="G11" s="12" t="s">
        <v>16</v>
      </c>
    </row>
    <row r="12" spans="1:7">
      <c r="F12" s="1">
        <f>G2</f>
        <v>1.3862943611198906</v>
      </c>
      <c r="G12" s="1">
        <f>F2</f>
        <v>-0.13983694518779941</v>
      </c>
    </row>
    <row r="13" spans="1:7">
      <c r="F13" s="1">
        <f>G4</f>
        <v>0</v>
      </c>
      <c r="G13" s="1">
        <f>F4</f>
        <v>-1.742969305058623</v>
      </c>
    </row>
    <row r="14" spans="1:7">
      <c r="D14" s="11">
        <f>G12-$G$16*F12</f>
        <v>-1.4140422594969146</v>
      </c>
      <c r="F14" s="1">
        <f>G6</f>
        <v>-1.3862943611198906</v>
      </c>
      <c r="G14" s="1">
        <f>F6</f>
        <v>-2.6882475738060303</v>
      </c>
    </row>
    <row r="15" spans="1:7">
      <c r="D15" s="11">
        <f>G13-$G$16*F13</f>
        <v>-1.742969305058623</v>
      </c>
    </row>
    <row r="16" spans="1:7">
      <c r="D16" s="11">
        <f>G14-$G$16*F14</f>
        <v>-1.4140422594969151</v>
      </c>
      <c r="F16" s="13" t="s">
        <v>32</v>
      </c>
      <c r="G16" s="11">
        <f>LINEST(G12:G14,F12:F14)</f>
        <v>0.91914484401406171</v>
      </c>
    </row>
    <row r="17" spans="1:16">
      <c r="F17" s="13" t="s">
        <v>45</v>
      </c>
      <c r="G17" s="10">
        <f>AVERAGE(D14:D16)</f>
        <v>-1.5236846080174844</v>
      </c>
    </row>
    <row r="20" spans="1:16">
      <c r="A20" s="3"/>
      <c r="B20" s="27" t="s">
        <v>17</v>
      </c>
      <c r="C20" s="27"/>
      <c r="D20" s="27"/>
      <c r="E20" s="27" t="s">
        <v>33</v>
      </c>
      <c r="F20" s="27"/>
      <c r="G20" s="27"/>
      <c r="I20" s="21">
        <v>1.386294361</v>
      </c>
      <c r="J20" s="21">
        <v>8.6636306999999996E-2</v>
      </c>
    </row>
    <row r="21" spans="1:16">
      <c r="A21" s="5"/>
      <c r="B21" s="4" t="s">
        <v>0</v>
      </c>
      <c r="C21" s="4" t="s">
        <v>1</v>
      </c>
      <c r="D21" s="4" t="s">
        <v>18</v>
      </c>
      <c r="E21" s="5" t="s">
        <v>19</v>
      </c>
      <c r="F21" s="5" t="s">
        <v>31</v>
      </c>
      <c r="G21" s="5" t="s">
        <v>20</v>
      </c>
      <c r="I21" s="21">
        <v>0</v>
      </c>
      <c r="J21" s="21">
        <v>-1.052683357</v>
      </c>
      <c r="N21" t="s">
        <v>46</v>
      </c>
      <c r="O21">
        <f>LN(B22)</f>
        <v>-3.912023005428146</v>
      </c>
    </row>
    <row r="22" spans="1:16">
      <c r="A22" s="4" t="s">
        <v>21</v>
      </c>
      <c r="B22" s="23">
        <v>0.02</v>
      </c>
      <c r="C22" s="23">
        <v>0.03</v>
      </c>
      <c r="D22" s="23">
        <v>9</v>
      </c>
      <c r="E22" s="6">
        <f>EXP((LN(B22) - G17) / G16)</f>
        <v>7.4389885948522222E-2</v>
      </c>
      <c r="F22" s="6">
        <f>EXP((LN(C22)-$G$17)/$G$16)</f>
        <v>0.11563665322652261</v>
      </c>
      <c r="G22" s="6">
        <f>EXP((LN(D22)-$G$17)/$G$16)</f>
        <v>57.295919335172407</v>
      </c>
      <c r="I22" s="21">
        <v>-1.386294361</v>
      </c>
      <c r="J22" s="21">
        <v>-1.701005106</v>
      </c>
    </row>
    <row r="23" spans="1:16">
      <c r="A23" s="4" t="s">
        <v>22</v>
      </c>
      <c r="B23" s="15">
        <v>9.1999999999999998E-2</v>
      </c>
      <c r="C23" s="15">
        <v>0.16300000000000001</v>
      </c>
      <c r="D23" s="15">
        <v>9</v>
      </c>
      <c r="E23" s="6">
        <f t="shared" ref="E23:E31" si="0">EXP((LN(B23)-$G$17)/$G$16)</f>
        <v>0.39135697401305092</v>
      </c>
      <c r="F23" s="6">
        <f t="shared" ref="F23:F31" si="1">EXP((LN(C23)-$G$17)/$G$16)</f>
        <v>0.72916201770066325</v>
      </c>
      <c r="G23" s="6">
        <f t="shared" ref="G23:G31" si="2">EXP((LN(D23)-$G$17)/$G$16)</f>
        <v>57.295919335172407</v>
      </c>
      <c r="N23" t="s">
        <v>47</v>
      </c>
      <c r="O23">
        <f>(O21-G16) / G17</f>
        <v>3.1707138235964707</v>
      </c>
    </row>
    <row r="24" spans="1:16">
      <c r="A24" s="4" t="s">
        <v>23</v>
      </c>
      <c r="B24" s="15">
        <v>8.2000000000000003E-2</v>
      </c>
      <c r="C24" s="15">
        <v>8.3000000000000004E-2</v>
      </c>
      <c r="D24" s="15">
        <v>9</v>
      </c>
      <c r="E24" s="6">
        <f t="shared" si="0"/>
        <v>0.34530510693780847</v>
      </c>
      <c r="F24" s="6">
        <f t="shared" si="1"/>
        <v>0.3498890289886793</v>
      </c>
      <c r="G24" s="6">
        <f t="shared" si="2"/>
        <v>57.295919335172407</v>
      </c>
      <c r="J24">
        <f>LINEST(J20:J22,I20:I22)</f>
        <v>0.64475535041147003</v>
      </c>
      <c r="O24" s="15"/>
      <c r="P24" s="15"/>
    </row>
    <row r="25" spans="1:16">
      <c r="A25" s="4" t="s">
        <v>24</v>
      </c>
      <c r="B25" s="15">
        <v>9.4E-2</v>
      </c>
      <c r="C25" s="15">
        <v>7.9000000000000001E-2</v>
      </c>
      <c r="D25" s="15">
        <v>9</v>
      </c>
      <c r="E25" s="6">
        <f t="shared" si="0"/>
        <v>0.40062193592795725</v>
      </c>
      <c r="F25" s="6">
        <f t="shared" si="1"/>
        <v>0.33158305342878946</v>
      </c>
      <c r="G25" s="6">
        <f t="shared" si="2"/>
        <v>57.295919335172407</v>
      </c>
      <c r="I25" s="17"/>
      <c r="J25" s="17">
        <f>AVERAGE(D14:D16)</f>
        <v>-1.5236846080174844</v>
      </c>
      <c r="K25" s="17"/>
      <c r="L25" s="17"/>
    </row>
    <row r="26" spans="1:16">
      <c r="A26" s="4" t="s">
        <v>25</v>
      </c>
      <c r="B26" s="15">
        <v>9.6000000000000002E-2</v>
      </c>
      <c r="C26" s="15">
        <v>2.0960000000000001</v>
      </c>
      <c r="D26" s="15">
        <v>9</v>
      </c>
      <c r="E26" s="6">
        <f t="shared" si="0"/>
        <v>0.40990425615094561</v>
      </c>
      <c r="F26" s="6">
        <f t="shared" si="1"/>
        <v>11.738211390033824</v>
      </c>
      <c r="G26" s="6">
        <f t="shared" si="2"/>
        <v>57.295919335172407</v>
      </c>
      <c r="I26" s="18"/>
      <c r="J26" s="18"/>
      <c r="K26" s="18"/>
      <c r="L26" s="17"/>
    </row>
    <row r="27" spans="1:16">
      <c r="A27" s="4" t="s">
        <v>26</v>
      </c>
      <c r="B27" s="15">
        <v>8.1000000000000003E-2</v>
      </c>
      <c r="C27" s="16">
        <v>8.6999999999999994E-2</v>
      </c>
      <c r="D27" s="16">
        <v>9</v>
      </c>
      <c r="E27" s="6">
        <f t="shared" si="0"/>
        <v>0.34072609989791042</v>
      </c>
      <c r="F27" s="6">
        <f t="shared" si="1"/>
        <v>0.36827280473101115</v>
      </c>
      <c r="G27" s="6">
        <f t="shared" si="2"/>
        <v>57.295919335172407</v>
      </c>
      <c r="I27" s="18"/>
      <c r="J27" s="18"/>
      <c r="K27" s="18"/>
      <c r="L27" s="17"/>
      <c r="O27">
        <f>EXP(O23)</f>
        <v>23.824484767460298</v>
      </c>
    </row>
    <row r="28" spans="1:16">
      <c r="A28" s="4" t="s">
        <v>27</v>
      </c>
      <c r="B28" s="16">
        <v>5.5E-2</v>
      </c>
      <c r="C28" s="15">
        <v>0.38500000000000001</v>
      </c>
      <c r="D28" s="15">
        <v>9</v>
      </c>
      <c r="E28" s="6">
        <f t="shared" si="0"/>
        <v>0.22361128647693077</v>
      </c>
      <c r="F28" s="6">
        <f t="shared" si="1"/>
        <v>1.8575186429868273</v>
      </c>
      <c r="G28" s="6">
        <f t="shared" si="2"/>
        <v>57.295919335172407</v>
      </c>
      <c r="I28" s="18"/>
      <c r="J28" s="18"/>
      <c r="K28" s="18"/>
      <c r="L28" s="17"/>
    </row>
    <row r="29" spans="1:16">
      <c r="A29" s="4" t="s">
        <v>28</v>
      </c>
      <c r="B29" s="15">
        <v>0.106</v>
      </c>
      <c r="C29" s="15">
        <v>0.41299999999999998</v>
      </c>
      <c r="D29" s="15">
        <v>9</v>
      </c>
      <c r="E29" s="6">
        <f t="shared" si="0"/>
        <v>0.45656511196300753</v>
      </c>
      <c r="F29" s="6">
        <f t="shared" si="1"/>
        <v>2.0049547812101256</v>
      </c>
      <c r="G29" s="6">
        <f t="shared" si="2"/>
        <v>57.295919335172407</v>
      </c>
      <c r="I29" s="18"/>
      <c r="J29" s="18"/>
      <c r="K29" s="18"/>
      <c r="L29" s="17"/>
    </row>
    <row r="30" spans="1:16">
      <c r="A30" s="4" t="s">
        <v>34</v>
      </c>
      <c r="B30" s="15">
        <v>8.7999999999999995E-2</v>
      </c>
      <c r="C30" s="15">
        <v>2.0350000000000001</v>
      </c>
      <c r="D30" s="15">
        <v>9</v>
      </c>
      <c r="E30" s="6">
        <f t="shared" si="0"/>
        <v>0.37288051524493349</v>
      </c>
      <c r="F30" s="6">
        <f t="shared" si="1"/>
        <v>11.367022258650843</v>
      </c>
      <c r="G30" s="6">
        <f t="shared" si="2"/>
        <v>57.295919335172407</v>
      </c>
      <c r="I30" s="18"/>
      <c r="J30" s="18"/>
      <c r="K30" s="18"/>
      <c r="L30" s="17"/>
    </row>
    <row r="31" spans="1:16">
      <c r="A31" s="4" t="s">
        <v>35</v>
      </c>
      <c r="B31" s="15">
        <v>8.5000000000000006E-2</v>
      </c>
      <c r="C31" s="15">
        <v>3.0649999999999999</v>
      </c>
      <c r="D31" s="15">
        <v>9</v>
      </c>
      <c r="E31" s="6">
        <f t="shared" si="0"/>
        <v>0.35907140319783548</v>
      </c>
      <c r="F31" s="6">
        <f t="shared" si="1"/>
        <v>17.74840226458544</v>
      </c>
      <c r="G31" s="6">
        <f t="shared" si="2"/>
        <v>57.295919335172407</v>
      </c>
      <c r="I31" s="18"/>
      <c r="J31" s="18"/>
      <c r="K31" s="18"/>
      <c r="L31" s="17"/>
    </row>
    <row r="32" spans="1:16">
      <c r="A32" s="4"/>
      <c r="B32" s="15"/>
      <c r="C32" s="15"/>
      <c r="D32" s="15"/>
      <c r="E32" s="6"/>
      <c r="F32" s="6"/>
      <c r="G32" s="7"/>
      <c r="I32" s="18"/>
      <c r="J32" s="18"/>
      <c r="K32" s="18"/>
      <c r="L32" s="17"/>
    </row>
    <row r="33" spans="1:12">
      <c r="A33" s="8"/>
      <c r="B33" s="8" t="s">
        <v>19</v>
      </c>
      <c r="C33" s="8" t="s">
        <v>31</v>
      </c>
      <c r="D33" s="8" t="s">
        <v>20</v>
      </c>
      <c r="E33" s="8" t="s">
        <v>29</v>
      </c>
      <c r="F33" s="8" t="s">
        <v>30</v>
      </c>
      <c r="G33" s="8" t="s">
        <v>2</v>
      </c>
      <c r="I33" s="18"/>
      <c r="J33" s="18"/>
      <c r="K33" s="18"/>
      <c r="L33" s="17"/>
    </row>
    <row r="34" spans="1:12">
      <c r="A34" s="8" t="s">
        <v>21</v>
      </c>
      <c r="B34" s="9">
        <v>0.11164741802879201</v>
      </c>
      <c r="C34" s="9">
        <v>5.9997573272354083</v>
      </c>
      <c r="D34" s="9">
        <v>119.90345290569067</v>
      </c>
      <c r="E34" s="9">
        <f>C34-B34</f>
        <v>5.8881099092066167</v>
      </c>
      <c r="F34" s="9">
        <f>D34-B34</f>
        <v>119.79180548766188</v>
      </c>
      <c r="G34" s="8" t="str">
        <f>IF(B34&gt;8,"Indeterminate",(IF(D34&lt;0.5,"Indeterminate",(IF(E34&gt;0.35,"POSITIVE","NEGATIVE")))))</f>
        <v>POSITIVE</v>
      </c>
      <c r="I34" s="18"/>
      <c r="J34" s="18"/>
      <c r="K34" s="18"/>
      <c r="L34" s="17">
        <f>EXP(-3.91-G17)/G16</f>
        <v>0.10005814285598603</v>
      </c>
    </row>
    <row r="35" spans="1:12">
      <c r="A35" s="8" t="s">
        <v>22</v>
      </c>
      <c r="B35" s="9">
        <v>9.8103494495825172E-2</v>
      </c>
      <c r="C35" s="9">
        <v>0.23820262413477539</v>
      </c>
      <c r="D35" s="9">
        <v>119.90345290569067</v>
      </c>
      <c r="E35" s="9">
        <f t="shared" ref="E35:E43" si="3">C35-B35</f>
        <v>0.14009912963895021</v>
      </c>
      <c r="F35" s="9">
        <f t="shared" ref="F35:F43" si="4">D35-B35</f>
        <v>119.80534941119484</v>
      </c>
      <c r="G35" s="8" t="str">
        <f>IF(B35&gt;8,"Indeterminate",(IF(D35&lt;0.5,"Indeterminate",(IF(E35&gt;0.35,"POSITIVE","NEGATIVE")))))</f>
        <v>NEGATIVE</v>
      </c>
      <c r="I35" s="18"/>
      <c r="J35" s="18"/>
      <c r="K35" s="18"/>
      <c r="L35" s="17"/>
    </row>
    <row r="36" spans="1:12">
      <c r="A36" s="8" t="s">
        <v>23</v>
      </c>
      <c r="B36" s="9">
        <v>8.2068415280728516E-2</v>
      </c>
      <c r="C36" s="9">
        <v>8.3625890738631734E-2</v>
      </c>
      <c r="D36" s="9">
        <v>119.90345290569067</v>
      </c>
      <c r="E36" s="9">
        <f t="shared" si="3"/>
        <v>1.557475457903218E-3</v>
      </c>
      <c r="F36" s="9">
        <f t="shared" si="4"/>
        <v>119.82138449040994</v>
      </c>
      <c r="G36" s="8" t="str">
        <f t="shared" ref="G36:G43" si="5">IF(B36&gt;8,"Indeterminate",(IF(D36&lt;0.5,"Indeterminate",(IF(E36&gt;0.35,"POSITIVE","NEGATIVE")))))</f>
        <v>NEGATIVE</v>
      </c>
      <c r="I36" s="18"/>
      <c r="J36" s="18"/>
      <c r="K36" s="18"/>
      <c r="L36" s="17"/>
    </row>
    <row r="37" spans="1:12">
      <c r="A37" s="8" t="s">
        <v>24</v>
      </c>
      <c r="B37" s="9">
        <v>0.10143098265853466</v>
      </c>
      <c r="C37" s="9">
        <v>7.7458801197385602E-2</v>
      </c>
      <c r="D37" s="9">
        <v>119.90345290569067</v>
      </c>
      <c r="E37" s="9">
        <f t="shared" si="3"/>
        <v>-2.3972181461149059E-2</v>
      </c>
      <c r="F37" s="9">
        <f t="shared" si="4"/>
        <v>119.80202192303214</v>
      </c>
      <c r="G37" s="8" t="str">
        <f t="shared" si="5"/>
        <v>NEGATIVE</v>
      </c>
      <c r="I37" s="17"/>
      <c r="J37" s="17"/>
      <c r="K37" s="17"/>
      <c r="L37" s="17"/>
    </row>
    <row r="38" spans="1:12">
      <c r="A38" s="8" t="s">
        <v>25</v>
      </c>
      <c r="B38" s="9">
        <v>0.10479771029865249</v>
      </c>
      <c r="C38" s="9">
        <v>12.511076841024403</v>
      </c>
      <c r="D38" s="9">
        <v>119.90345290569067</v>
      </c>
      <c r="E38" s="9">
        <f t="shared" si="3"/>
        <v>12.40627913072575</v>
      </c>
      <c r="F38" s="9">
        <f t="shared" si="4"/>
        <v>119.79865519539202</v>
      </c>
      <c r="G38" s="8" t="str">
        <f t="shared" si="5"/>
        <v>POSITIVE</v>
      </c>
    </row>
    <row r="39" spans="1:12">
      <c r="A39" s="8" t="s">
        <v>26</v>
      </c>
      <c r="B39" s="9">
        <v>8.0521369947060675E-2</v>
      </c>
      <c r="C39" s="9">
        <v>8.9958976008926259E-2</v>
      </c>
      <c r="D39" s="9">
        <v>119.90345290569067</v>
      </c>
      <c r="E39" s="9">
        <f t="shared" si="3"/>
        <v>9.4376060618655833E-3</v>
      </c>
      <c r="F39" s="9">
        <f t="shared" si="4"/>
        <v>119.82293153574361</v>
      </c>
      <c r="G39" s="8" t="str">
        <f t="shared" si="5"/>
        <v>NEGATIVE</v>
      </c>
    </row>
    <row r="40" spans="1:12">
      <c r="A40" s="8" t="s">
        <v>27</v>
      </c>
      <c r="B40" s="9">
        <v>4.4173059117632495E-2</v>
      </c>
      <c r="C40" s="9">
        <v>0.90340846817380049</v>
      </c>
      <c r="D40" s="9">
        <v>119.90345290569067</v>
      </c>
      <c r="E40" s="9">
        <f t="shared" si="3"/>
        <v>0.85923540905616802</v>
      </c>
      <c r="F40" s="9">
        <f t="shared" si="4"/>
        <v>119.85927984657303</v>
      </c>
      <c r="G40" s="8" t="str">
        <f t="shared" si="5"/>
        <v>POSITIVE</v>
      </c>
    </row>
    <row r="41" spans="1:12">
      <c r="A41" s="8" t="s">
        <v>28</v>
      </c>
      <c r="B41" s="9">
        <v>0.12220739051933645</v>
      </c>
      <c r="C41" s="9">
        <v>1.0073313739896017</v>
      </c>
      <c r="D41" s="9">
        <v>119.90345290569067</v>
      </c>
      <c r="E41" s="9">
        <f t="shared" si="3"/>
        <v>0.88512398347026522</v>
      </c>
      <c r="F41" s="9">
        <f t="shared" si="4"/>
        <v>119.78124551517134</v>
      </c>
      <c r="G41" s="8" t="str">
        <f t="shared" si="5"/>
        <v>POSITIVE</v>
      </c>
    </row>
    <row r="42" spans="1:12">
      <c r="A42" s="8" t="s">
        <v>34</v>
      </c>
      <c r="B42" s="19">
        <v>9.1567772018211868E-2</v>
      </c>
      <c r="C42" s="19">
        <v>11.95089782975923</v>
      </c>
      <c r="D42" s="19">
        <v>119.90345290569067</v>
      </c>
      <c r="E42" s="9">
        <f t="shared" si="3"/>
        <v>11.859330057741017</v>
      </c>
      <c r="F42" s="9">
        <f t="shared" si="4"/>
        <v>119.81188513367246</v>
      </c>
      <c r="G42" s="8" t="str">
        <f t="shared" si="5"/>
        <v>POSITIVE</v>
      </c>
    </row>
    <row r="43" spans="1:12">
      <c r="A43" s="8" t="s">
        <v>35</v>
      </c>
      <c r="B43" s="19">
        <v>8.6771906540293917E-2</v>
      </c>
      <c r="C43" s="19">
        <v>22.556229858943709</v>
      </c>
      <c r="D43" s="19">
        <v>119.90345290569067</v>
      </c>
      <c r="E43" s="9">
        <f t="shared" si="3"/>
        <v>22.469457952403417</v>
      </c>
      <c r="F43" s="9">
        <f t="shared" si="4"/>
        <v>119.81668099915038</v>
      </c>
      <c r="G43" s="8" t="str">
        <f t="shared" si="5"/>
        <v>POSITIVE</v>
      </c>
    </row>
  </sheetData>
  <mergeCells count="26">
    <mergeCell ref="E20:G20"/>
    <mergeCell ref="B20:D20"/>
    <mergeCell ref="F8:F9"/>
    <mergeCell ref="G8:G9"/>
    <mergeCell ref="F2:F3"/>
    <mergeCell ref="F4:F5"/>
    <mergeCell ref="F6:F7"/>
    <mergeCell ref="G2:G3"/>
    <mergeCell ref="G4:G5"/>
    <mergeCell ref="G6:G7"/>
    <mergeCell ref="D2:D3"/>
    <mergeCell ref="D4:D5"/>
    <mergeCell ref="D6:D7"/>
    <mergeCell ref="D8:D9"/>
    <mergeCell ref="E2:E3"/>
    <mergeCell ref="E4:E5"/>
    <mergeCell ref="E6:E7"/>
    <mergeCell ref="E8:E9"/>
    <mergeCell ref="A2:A3"/>
    <mergeCell ref="A4:A5"/>
    <mergeCell ref="A6:A7"/>
    <mergeCell ref="A8:A9"/>
    <mergeCell ref="B2:B3"/>
    <mergeCell ref="B4:B5"/>
    <mergeCell ref="B6:B7"/>
    <mergeCell ref="B8:B9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>
      <selection activeCell="E22" sqref="E22"/>
    </sheetView>
  </sheetViews>
  <sheetFormatPr defaultRowHeight="14.25"/>
  <cols>
    <col min="2" max="2" width="10.25" bestFit="1" customWidth="1"/>
    <col min="3" max="3" width="10.875" bestFit="1" customWidth="1"/>
    <col min="4" max="7" width="12.5" bestFit="1" customWidth="1"/>
    <col min="9" max="9" width="13.5" bestFit="1" customWidth="1"/>
    <col min="10" max="10" width="22.75" customWidth="1"/>
    <col min="11" max="11" width="23.75" customWidth="1"/>
    <col min="14" max="14" width="18.125" customWidth="1"/>
  </cols>
  <sheetData>
    <row r="1" spans="1:14" ht="18.7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</row>
    <row r="2" spans="1:14">
      <c r="A2" s="25" t="s">
        <v>3</v>
      </c>
      <c r="B2" s="26">
        <v>4</v>
      </c>
      <c r="C2" s="1">
        <v>0.86799999999999999</v>
      </c>
      <c r="D2" s="30">
        <f>AVERAGE(C2:C3)</f>
        <v>0.89400000000000002</v>
      </c>
      <c r="E2" s="25">
        <v>4.1129253490000002</v>
      </c>
      <c r="F2" s="28">
        <f>LN(D2)</f>
        <v>-0.11204950380862289</v>
      </c>
      <c r="G2" s="28">
        <f>LN(4)</f>
        <v>1.3862943611198906</v>
      </c>
    </row>
    <row r="3" spans="1:14">
      <c r="A3" s="25"/>
      <c r="B3" s="26"/>
      <c r="C3" s="1">
        <v>0.92</v>
      </c>
      <c r="D3" s="30"/>
      <c r="E3" s="25"/>
      <c r="F3" s="29"/>
      <c r="G3" s="29"/>
    </row>
    <row r="4" spans="1:14">
      <c r="A4" s="25" t="s">
        <v>4</v>
      </c>
      <c r="B4" s="26">
        <v>1</v>
      </c>
      <c r="C4" s="1">
        <v>0.17499999999999999</v>
      </c>
      <c r="D4" s="30">
        <f>AVERAGE(C4:C5)</f>
        <v>0.16599999999999998</v>
      </c>
      <c r="E4" s="25">
        <v>7.6674229289999998</v>
      </c>
      <c r="F4" s="28">
        <f>LN(D4)</f>
        <v>-1.795767490625594</v>
      </c>
      <c r="G4" s="28">
        <f>LN(1)</f>
        <v>0</v>
      </c>
    </row>
    <row r="5" spans="1:14">
      <c r="A5" s="25"/>
      <c r="B5" s="26"/>
      <c r="C5" s="1">
        <v>0.157</v>
      </c>
      <c r="D5" s="30"/>
      <c r="E5" s="25"/>
      <c r="F5" s="29"/>
      <c r="G5" s="29"/>
    </row>
    <row r="6" spans="1:14">
      <c r="A6" s="25" t="s">
        <v>5</v>
      </c>
      <c r="B6" s="26">
        <v>0.25</v>
      </c>
      <c r="C6" s="1">
        <v>7.0999999999999994E-2</v>
      </c>
      <c r="D6" s="30">
        <f>AVERAGE(C6:C7)</f>
        <v>6.7000000000000004E-2</v>
      </c>
      <c r="E6" s="24" t="s">
        <v>12</v>
      </c>
      <c r="F6" s="28">
        <f>LN(D6)</f>
        <v>-2.7030626595911711</v>
      </c>
      <c r="G6" s="28">
        <f>LN(0.25)</f>
        <v>-1.3862943611198906</v>
      </c>
    </row>
    <row r="7" spans="1:14">
      <c r="A7" s="25"/>
      <c r="B7" s="26"/>
      <c r="C7" s="1">
        <v>6.3E-2</v>
      </c>
      <c r="D7" s="30"/>
      <c r="E7" s="24"/>
      <c r="F7" s="29"/>
      <c r="G7" s="29"/>
    </row>
    <row r="8" spans="1:14">
      <c r="A8" s="25" t="s">
        <v>6</v>
      </c>
      <c r="B8" s="25">
        <v>0</v>
      </c>
      <c r="C8" s="1">
        <v>2.5000000000000001E-2</v>
      </c>
      <c r="D8" s="30">
        <f>AVERAGE(C8:C9)</f>
        <v>2.1999999999999999E-2</v>
      </c>
      <c r="E8" s="25" t="s">
        <v>12</v>
      </c>
      <c r="F8" s="25" t="s">
        <v>12</v>
      </c>
      <c r="G8" s="25" t="s">
        <v>12</v>
      </c>
    </row>
    <row r="9" spans="1:14">
      <c r="A9" s="25"/>
      <c r="B9" s="25"/>
      <c r="C9" s="1">
        <v>1.9E-2</v>
      </c>
      <c r="D9" s="30"/>
      <c r="E9" s="25"/>
      <c r="F9" s="25"/>
      <c r="G9" s="25"/>
    </row>
    <row r="10" spans="1:14">
      <c r="I10" t="s">
        <v>36</v>
      </c>
      <c r="J10" t="s">
        <v>37</v>
      </c>
    </row>
    <row r="11" spans="1:14">
      <c r="F11" s="12" t="s">
        <v>15</v>
      </c>
      <c r="G11" s="12" t="s">
        <v>16</v>
      </c>
      <c r="I11" t="s">
        <v>38</v>
      </c>
      <c r="J11" t="s">
        <v>39</v>
      </c>
      <c r="K11" t="s">
        <v>40</v>
      </c>
      <c r="L11" t="s">
        <v>41</v>
      </c>
      <c r="N11" t="s">
        <v>42</v>
      </c>
    </row>
    <row r="12" spans="1:14">
      <c r="F12" s="1">
        <f>G2</f>
        <v>1.3862943611198906</v>
      </c>
      <c r="G12" s="1">
        <f>F2</f>
        <v>-0.11204950380862289</v>
      </c>
      <c r="I12" s="1">
        <v>-1.052683357</v>
      </c>
      <c r="J12">
        <f>(I12+G12)/F12</f>
        <v>-0.8401771611245078</v>
      </c>
      <c r="K12">
        <f>(J12*F12)+G17</f>
        <v>-2.7016927454837525</v>
      </c>
      <c r="L12">
        <f>G12-(J12*F12)</f>
        <v>1.052683357</v>
      </c>
      <c r="N12">
        <f>EXP((K12-I12)/J12)</f>
        <v>7.1184675537672355</v>
      </c>
    </row>
    <row r="13" spans="1:14">
      <c r="F13" s="1">
        <f>G4</f>
        <v>0</v>
      </c>
      <c r="G13" s="1">
        <f>F4</f>
        <v>-1.795767490625594</v>
      </c>
      <c r="I13" s="1">
        <v>-1.052683357</v>
      </c>
      <c r="J13">
        <v>0</v>
      </c>
      <c r="K13">
        <f>(J13*F13)+G18</f>
        <v>0</v>
      </c>
      <c r="L13">
        <f>G13-(J13*F13)</f>
        <v>-1.795767490625594</v>
      </c>
      <c r="N13">
        <v>0</v>
      </c>
    </row>
    <row r="14" spans="1:14">
      <c r="D14" s="11">
        <f>G12-$G$16*F12</f>
        <v>-1.4075560816998971</v>
      </c>
      <c r="F14" s="1">
        <f>G6</f>
        <v>-1.3862943611198906</v>
      </c>
      <c r="G14" s="1">
        <f>F6</f>
        <v>-2.7030626595911711</v>
      </c>
      <c r="I14" s="1">
        <v>-1.052683357</v>
      </c>
      <c r="J14">
        <f>(I14+G14)/F14</f>
        <v>2.7091980764872807</v>
      </c>
      <c r="K14">
        <f>(J14*F14)+G19</f>
        <v>-3.7557460165911714</v>
      </c>
      <c r="L14">
        <f>G14-(J14*F14)</f>
        <v>1.0526833570000003</v>
      </c>
      <c r="N14">
        <f>EXP((K14-I14)/J14)</f>
        <v>0.36871350770422928</v>
      </c>
    </row>
    <row r="15" spans="1:14">
      <c r="D15" s="11">
        <f>G13-$G$16*F13</f>
        <v>-1.795767490625594</v>
      </c>
    </row>
    <row r="16" spans="1:14">
      <c r="D16" s="11">
        <f>G14-$G$16*F14</f>
        <v>-1.4075560816998969</v>
      </c>
      <c r="F16" s="13" t="s">
        <v>32</v>
      </c>
      <c r="G16" s="11">
        <f>LINEST(G12:G14,F12:F14)</f>
        <v>0.93451045768138652</v>
      </c>
      <c r="J16">
        <f>SUM(J12:J15)</f>
        <v>1.869020915362773</v>
      </c>
      <c r="K16">
        <f>SUM(K12:K15)</f>
        <v>-6.4574387620749238</v>
      </c>
    </row>
    <row r="17" spans="1:16">
      <c r="F17" s="13" t="s">
        <v>43</v>
      </c>
      <c r="G17" s="10">
        <f>AVERAGE(D14:D16)</f>
        <v>-1.5369598846751293</v>
      </c>
      <c r="I17">
        <f>G12+G13+G14</f>
        <v>-4.6108796540253882</v>
      </c>
      <c r="J17" s="22">
        <f>J16/2</f>
        <v>0.93451045768138652</v>
      </c>
      <c r="K17">
        <f>K16/3</f>
        <v>-2.1524795873583078</v>
      </c>
    </row>
    <row r="18" spans="1:16">
      <c r="I18" s="22">
        <f>I17/3</f>
        <v>-1.5369598846751293</v>
      </c>
    </row>
    <row r="19" spans="1:16">
      <c r="L19">
        <f>EXP(1.386)</f>
        <v>3.9988227288003722</v>
      </c>
    </row>
    <row r="20" spans="1:16">
      <c r="A20" s="3"/>
      <c r="B20" s="27" t="s">
        <v>17</v>
      </c>
      <c r="C20" s="27"/>
      <c r="D20" s="27"/>
      <c r="E20" s="27" t="s">
        <v>44</v>
      </c>
      <c r="F20" s="27"/>
      <c r="G20" s="27"/>
    </row>
    <row r="21" spans="1:16">
      <c r="A21" s="14"/>
      <c r="B21" s="4" t="s">
        <v>0</v>
      </c>
      <c r="C21" s="4" t="s">
        <v>1</v>
      </c>
      <c r="D21" s="4" t="s">
        <v>18</v>
      </c>
      <c r="E21" s="14" t="s">
        <v>19</v>
      </c>
      <c r="F21" s="14" t="s">
        <v>31</v>
      </c>
      <c r="G21" s="14" t="s">
        <v>20</v>
      </c>
    </row>
    <row r="22" spans="1:16">
      <c r="A22" s="4" t="s">
        <v>21</v>
      </c>
      <c r="B22" s="15">
        <v>4.2000000000000003E-2</v>
      </c>
      <c r="C22" s="15">
        <v>0.26100000000000001</v>
      </c>
      <c r="D22" s="15">
        <v>1.0149999999999999</v>
      </c>
      <c r="E22" s="6">
        <f>EXP((LN(B22)-$G$17)/$G$16)</f>
        <v>0.17419610585868359</v>
      </c>
      <c r="F22" s="6">
        <f>EXP((LN(C22)-$G$17)/$G$16)</f>
        <v>1.2303529320804081</v>
      </c>
      <c r="G22" s="6">
        <f>EXP((LN(D22)-$G$17)/$G$16)</f>
        <v>5.2624698056968899</v>
      </c>
    </row>
    <row r="23" spans="1:16">
      <c r="A23" s="4" t="s">
        <v>22</v>
      </c>
      <c r="B23" s="15">
        <v>4.2999999999999997E-2</v>
      </c>
      <c r="C23" s="15">
        <v>0.214</v>
      </c>
      <c r="D23" s="15">
        <v>0.94199999999999995</v>
      </c>
      <c r="E23" s="6">
        <f t="shared" ref="E23:G31" si="0">EXP((LN(B23)-$G$17)/$G$16)</f>
        <v>0.17863796225497142</v>
      </c>
      <c r="F23" s="6">
        <f t="shared" si="0"/>
        <v>0.99485615861167009</v>
      </c>
      <c r="G23" s="6">
        <f t="shared" si="0"/>
        <v>4.8585072771065025</v>
      </c>
      <c r="J23">
        <f>EXP(1.71792638917798)</f>
        <v>5.5729603236725422</v>
      </c>
      <c r="K23">
        <v>1.7179263891779799</v>
      </c>
      <c r="M23">
        <f>EXP(1.71792638917798)</f>
        <v>5.5729603236725422</v>
      </c>
    </row>
    <row r="24" spans="1:16">
      <c r="A24" s="4" t="s">
        <v>23</v>
      </c>
      <c r="B24" s="15">
        <v>8.2000000000000003E-2</v>
      </c>
      <c r="C24" s="15">
        <v>8.3000000000000004E-2</v>
      </c>
      <c r="D24" s="15">
        <v>9</v>
      </c>
      <c r="E24" s="6">
        <f t="shared" si="0"/>
        <v>0.35642279628222823</v>
      </c>
      <c r="F24" s="6">
        <f t="shared" si="0"/>
        <v>0.36107600247030247</v>
      </c>
      <c r="G24" s="6">
        <f t="shared" si="0"/>
        <v>54.373250316834095</v>
      </c>
      <c r="J24">
        <f>EXP(-0.190539272358949)</f>
        <v>0.82651329796476081</v>
      </c>
      <c r="K24">
        <v>1.7179263891779799</v>
      </c>
      <c r="M24">
        <f>EXP(1.71792638917798)</f>
        <v>5.5729603236725422</v>
      </c>
      <c r="O24" s="15"/>
      <c r="P24" s="15"/>
    </row>
    <row r="25" spans="1:16">
      <c r="A25" s="4" t="s">
        <v>24</v>
      </c>
      <c r="B25" s="15">
        <v>9.4E-2</v>
      </c>
      <c r="C25" s="15">
        <v>7.9000000000000001E-2</v>
      </c>
      <c r="D25" s="15">
        <v>9</v>
      </c>
      <c r="E25" s="6">
        <f t="shared" si="0"/>
        <v>0.41251157490718637</v>
      </c>
      <c r="F25" s="6">
        <f t="shared" si="0"/>
        <v>0.34248721205870458</v>
      </c>
      <c r="G25" s="6">
        <f t="shared" si="0"/>
        <v>54.373250316834095</v>
      </c>
      <c r="K25">
        <f>K23*K24</f>
        <v>2.9512710786340919</v>
      </c>
      <c r="M25">
        <f>M23*M24</f>
        <v>31.057886769228368</v>
      </c>
    </row>
    <row r="26" spans="1:16">
      <c r="A26" s="4" t="s">
        <v>25</v>
      </c>
      <c r="B26" s="15">
        <v>9.6000000000000002E-2</v>
      </c>
      <c r="C26" s="15">
        <v>2.0960000000000001</v>
      </c>
      <c r="D26" s="15">
        <v>9</v>
      </c>
      <c r="E26" s="6">
        <f t="shared" si="0"/>
        <v>0.42191044524739102</v>
      </c>
      <c r="F26" s="6">
        <f t="shared" si="0"/>
        <v>11.433639457794392</v>
      </c>
      <c r="G26" s="6">
        <f t="shared" si="0"/>
        <v>54.373250316834095</v>
      </c>
    </row>
    <row r="27" spans="1:16">
      <c r="A27" s="4" t="s">
        <v>26</v>
      </c>
      <c r="B27" s="15">
        <v>8.1000000000000003E-2</v>
      </c>
      <c r="C27" s="16">
        <v>8.6999999999999994E-2</v>
      </c>
      <c r="D27" s="16">
        <v>9</v>
      </c>
      <c r="E27" s="6">
        <f t="shared" si="0"/>
        <v>0.35177356522155612</v>
      </c>
      <c r="F27" s="6">
        <f t="shared" si="0"/>
        <v>0.37972770249414056</v>
      </c>
      <c r="G27" s="6">
        <f t="shared" si="0"/>
        <v>54.373250316834095</v>
      </c>
    </row>
    <row r="28" spans="1:16">
      <c r="A28" s="4" t="s">
        <v>27</v>
      </c>
      <c r="B28" s="16">
        <v>5.5E-2</v>
      </c>
      <c r="C28" s="15">
        <v>0.38500000000000001</v>
      </c>
      <c r="D28" s="15">
        <v>9</v>
      </c>
      <c r="E28" s="6">
        <f t="shared" si="0"/>
        <v>0.23246577855146081</v>
      </c>
      <c r="F28" s="6">
        <f t="shared" si="0"/>
        <v>1.8650079189382367</v>
      </c>
      <c r="G28" s="6">
        <f t="shared" si="0"/>
        <v>54.373250316834095</v>
      </c>
    </row>
    <row r="29" spans="1:16">
      <c r="A29" s="4" t="s">
        <v>28</v>
      </c>
      <c r="B29" s="15">
        <v>0.106</v>
      </c>
      <c r="C29" s="15">
        <v>0.41299999999999998</v>
      </c>
      <c r="D29" s="15">
        <v>9</v>
      </c>
      <c r="E29" s="6">
        <f t="shared" si="0"/>
        <v>0.46910572466699252</v>
      </c>
      <c r="F29" s="6">
        <f t="shared" si="0"/>
        <v>2.0105119695925828</v>
      </c>
      <c r="G29" s="6">
        <f t="shared" si="0"/>
        <v>54.373250316834095</v>
      </c>
    </row>
    <row r="30" spans="1:16">
      <c r="A30" s="4" t="s">
        <v>34</v>
      </c>
      <c r="B30" s="15">
        <v>8.7999999999999995E-2</v>
      </c>
      <c r="C30" s="15">
        <v>2.0350000000000001</v>
      </c>
      <c r="D30" s="15">
        <v>9</v>
      </c>
      <c r="E30" s="6">
        <f t="shared" si="0"/>
        <v>0.38440013591685585</v>
      </c>
      <c r="F30" s="6">
        <f t="shared" si="0"/>
        <v>11.077933018417632</v>
      </c>
      <c r="G30" s="6">
        <f t="shared" si="0"/>
        <v>54.373250316834095</v>
      </c>
    </row>
    <row r="31" spans="1:16">
      <c r="A31" s="4" t="s">
        <v>35</v>
      </c>
      <c r="B31" s="15">
        <v>8.5000000000000006E-2</v>
      </c>
      <c r="C31" s="15">
        <v>3.0649999999999999</v>
      </c>
      <c r="D31" s="15">
        <v>9</v>
      </c>
      <c r="E31" s="6">
        <f t="shared" si="0"/>
        <v>0.37039416302177025</v>
      </c>
      <c r="F31" s="6">
        <f t="shared" si="0"/>
        <v>17.170758225178883</v>
      </c>
      <c r="G31" s="6">
        <f t="shared" si="0"/>
        <v>54.373250316834095</v>
      </c>
    </row>
    <row r="32" spans="1:16">
      <c r="A32" s="4"/>
      <c r="B32" s="15"/>
      <c r="C32" s="15"/>
      <c r="D32" s="15"/>
      <c r="E32" s="6"/>
      <c r="F32" s="6"/>
      <c r="G32" s="7"/>
    </row>
    <row r="33" spans="1:7">
      <c r="A33" s="8"/>
      <c r="B33" s="8" t="s">
        <v>19</v>
      </c>
      <c r="C33" s="8" t="s">
        <v>31</v>
      </c>
      <c r="D33" s="8" t="s">
        <v>20</v>
      </c>
      <c r="E33" s="8" t="s">
        <v>29</v>
      </c>
      <c r="F33" s="8" t="s">
        <v>30</v>
      </c>
      <c r="G33" s="8" t="s">
        <v>2</v>
      </c>
    </row>
    <row r="34" spans="1:7">
      <c r="A34" s="8" t="s">
        <v>21</v>
      </c>
      <c r="B34" s="9">
        <v>0.11164741802879201</v>
      </c>
      <c r="C34" s="9">
        <v>5.9997573272354083</v>
      </c>
      <c r="D34" s="9">
        <v>119.90345290569067</v>
      </c>
      <c r="E34" s="9">
        <f>C34-B34</f>
        <v>5.8881099092066167</v>
      </c>
      <c r="F34" s="9">
        <f>D34-B34</f>
        <v>119.79180548766188</v>
      </c>
      <c r="G34" s="8" t="str">
        <f>IF(B34&gt;8,"Indeterminate",(IF(D34&lt;0.5,"Indeterminate",(IF(E34&gt;0.35,"POSITIVE","NEGATIVE")))))</f>
        <v>POSITIVE</v>
      </c>
    </row>
    <row r="35" spans="1:7">
      <c r="A35" s="8" t="s">
        <v>22</v>
      </c>
      <c r="B35" s="9">
        <v>9.8103494495825172E-2</v>
      </c>
      <c r="C35" s="9">
        <v>0.23820262413477539</v>
      </c>
      <c r="D35" s="9">
        <v>119.90345290569067</v>
      </c>
      <c r="E35" s="9">
        <f t="shared" ref="E35:E43" si="1">C35-B35</f>
        <v>0.14009912963895021</v>
      </c>
      <c r="F35" s="9">
        <f t="shared" ref="F35:F43" si="2">D35-B35</f>
        <v>119.80534941119484</v>
      </c>
      <c r="G35" s="8" t="str">
        <f>IF(B35&gt;8,"Indeterminate",(IF(D35&lt;0.5,"Indeterminate",(IF(E35&gt;0.35,"POSITIVE","NEGATIVE")))))</f>
        <v>NEGATIVE</v>
      </c>
    </row>
    <row r="36" spans="1:7">
      <c r="A36" s="8" t="s">
        <v>23</v>
      </c>
      <c r="B36" s="9">
        <v>8.2068415280728516E-2</v>
      </c>
      <c r="C36" s="9">
        <v>8.3625890738631734E-2</v>
      </c>
      <c r="D36" s="9">
        <v>119.90345290569067</v>
      </c>
      <c r="E36" s="9">
        <f t="shared" si="1"/>
        <v>1.557475457903218E-3</v>
      </c>
      <c r="F36" s="9">
        <f t="shared" si="2"/>
        <v>119.82138449040994</v>
      </c>
      <c r="G36" s="8" t="str">
        <f t="shared" ref="G36:G43" si="3">IF(B36&gt;8,"Indeterminate",(IF(D36&lt;0.5,"Indeterminate",(IF(E36&gt;0.35,"POSITIVE","NEGATIVE")))))</f>
        <v>NEGATIVE</v>
      </c>
    </row>
    <row r="37" spans="1:7">
      <c r="A37" s="8" t="s">
        <v>24</v>
      </c>
      <c r="B37" s="9">
        <v>0.10143098265853466</v>
      </c>
      <c r="C37" s="9">
        <v>7.7458801197385602E-2</v>
      </c>
      <c r="D37" s="9">
        <v>119.90345290569067</v>
      </c>
      <c r="E37" s="9">
        <f t="shared" si="1"/>
        <v>-2.3972181461149059E-2</v>
      </c>
      <c r="F37" s="9">
        <f t="shared" si="2"/>
        <v>119.80202192303214</v>
      </c>
      <c r="G37" s="8" t="str">
        <f t="shared" si="3"/>
        <v>NEGATIVE</v>
      </c>
    </row>
    <row r="38" spans="1:7">
      <c r="A38" s="8" t="s">
        <v>25</v>
      </c>
      <c r="B38" s="9">
        <v>0.10479771029865249</v>
      </c>
      <c r="C38" s="9">
        <v>12.511076841024403</v>
      </c>
      <c r="D38" s="9">
        <v>119.90345290569067</v>
      </c>
      <c r="E38" s="9">
        <f t="shared" si="1"/>
        <v>12.40627913072575</v>
      </c>
      <c r="F38" s="9">
        <f t="shared" si="2"/>
        <v>119.79865519539202</v>
      </c>
      <c r="G38" s="8" t="str">
        <f t="shared" si="3"/>
        <v>POSITIVE</v>
      </c>
    </row>
    <row r="39" spans="1:7">
      <c r="A39" s="8" t="s">
        <v>26</v>
      </c>
      <c r="B39" s="9">
        <v>8.0521369947060675E-2</v>
      </c>
      <c r="C39" s="9">
        <v>8.9958976008926259E-2</v>
      </c>
      <c r="D39" s="9">
        <v>119.90345290569067</v>
      </c>
      <c r="E39" s="9">
        <f t="shared" si="1"/>
        <v>9.4376060618655833E-3</v>
      </c>
      <c r="F39" s="9">
        <f t="shared" si="2"/>
        <v>119.82293153574361</v>
      </c>
      <c r="G39" s="8" t="str">
        <f t="shared" si="3"/>
        <v>NEGATIVE</v>
      </c>
    </row>
    <row r="40" spans="1:7">
      <c r="A40" s="8" t="s">
        <v>27</v>
      </c>
      <c r="B40" s="9">
        <v>4.4173059117632495E-2</v>
      </c>
      <c r="C40" s="9">
        <v>0.90340846817380049</v>
      </c>
      <c r="D40" s="9">
        <v>119.90345290569067</v>
      </c>
      <c r="E40" s="9">
        <f t="shared" si="1"/>
        <v>0.85923540905616802</v>
      </c>
      <c r="F40" s="9">
        <f t="shared" si="2"/>
        <v>119.85927984657303</v>
      </c>
      <c r="G40" s="8" t="str">
        <f t="shared" si="3"/>
        <v>POSITIVE</v>
      </c>
    </row>
    <row r="41" spans="1:7">
      <c r="A41" s="8" t="s">
        <v>28</v>
      </c>
      <c r="B41" s="9">
        <v>0.12220739051933645</v>
      </c>
      <c r="C41" s="9">
        <v>1.0073313739896017</v>
      </c>
      <c r="D41" s="9">
        <v>119.90345290569067</v>
      </c>
      <c r="E41" s="9">
        <f t="shared" si="1"/>
        <v>0.88512398347026522</v>
      </c>
      <c r="F41" s="9">
        <f t="shared" si="2"/>
        <v>119.78124551517134</v>
      </c>
      <c r="G41" s="8" t="str">
        <f t="shared" si="3"/>
        <v>POSITIVE</v>
      </c>
    </row>
    <row r="42" spans="1:7">
      <c r="A42" s="8" t="s">
        <v>34</v>
      </c>
      <c r="B42" s="19">
        <v>9.1567772018211868E-2</v>
      </c>
      <c r="C42" s="19">
        <v>11.95089782975923</v>
      </c>
      <c r="D42" s="19">
        <v>119.90345290569067</v>
      </c>
      <c r="E42" s="9">
        <f t="shared" si="1"/>
        <v>11.859330057741017</v>
      </c>
      <c r="F42" s="9">
        <f t="shared" si="2"/>
        <v>119.81188513367246</v>
      </c>
      <c r="G42" s="8" t="str">
        <f t="shared" si="3"/>
        <v>POSITIVE</v>
      </c>
    </row>
    <row r="43" spans="1:7">
      <c r="A43" s="8" t="s">
        <v>35</v>
      </c>
      <c r="B43" s="19">
        <v>8.6771906540293917E-2</v>
      </c>
      <c r="C43" s="19">
        <v>22.556229858943709</v>
      </c>
      <c r="D43" s="19">
        <v>119.90345290569067</v>
      </c>
      <c r="E43" s="9">
        <f t="shared" si="1"/>
        <v>22.469457952403417</v>
      </c>
      <c r="F43" s="9">
        <f t="shared" si="2"/>
        <v>119.81668099915038</v>
      </c>
      <c r="G43" s="8" t="str">
        <f t="shared" si="3"/>
        <v>POSITIVE</v>
      </c>
    </row>
  </sheetData>
  <mergeCells count="26">
    <mergeCell ref="B20:D20"/>
    <mergeCell ref="E20:G20"/>
    <mergeCell ref="A8:A9"/>
    <mergeCell ref="B8:B9"/>
    <mergeCell ref="D8:D9"/>
    <mergeCell ref="E8:E9"/>
    <mergeCell ref="F8:F9"/>
    <mergeCell ref="G8:G9"/>
    <mergeCell ref="G6:G7"/>
    <mergeCell ref="A4:A5"/>
    <mergeCell ref="B4:B5"/>
    <mergeCell ref="D4:D5"/>
    <mergeCell ref="E4:E5"/>
    <mergeCell ref="F4:F5"/>
    <mergeCell ref="G4:G5"/>
    <mergeCell ref="A6:A7"/>
    <mergeCell ref="B6:B7"/>
    <mergeCell ref="D6:D7"/>
    <mergeCell ref="E6:E7"/>
    <mergeCell ref="F6:F7"/>
    <mergeCell ref="G2:G3"/>
    <mergeCell ref="A2:A3"/>
    <mergeCell ref="B2:B3"/>
    <mergeCell ref="D2:D3"/>
    <mergeCell ref="E2:E3"/>
    <mergeCell ref="F2:F3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Sheet2 (2)</vt:lpstr>
    </vt:vector>
  </TitlesOfParts>
  <Company>QIAGEN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 Choi</dc:creator>
  <cp:lastModifiedBy>Sewon</cp:lastModifiedBy>
  <dcterms:created xsi:type="dcterms:W3CDTF">2016-08-25T09:14:31Z</dcterms:created>
  <dcterms:modified xsi:type="dcterms:W3CDTF">2020-01-31T09:05:00Z</dcterms:modified>
</cp:coreProperties>
</file>